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85" windowHeight="1240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1" i="2"/>
  <c r="C16" i="2" s="1"/>
  <c r="C8" i="2"/>
  <c r="C10" i="2" s="1"/>
  <c r="G18" i="2"/>
  <c r="G16" i="2"/>
  <c r="G11" i="2"/>
  <c r="G8" i="2"/>
  <c r="G10" i="2" s="1"/>
  <c r="G27" i="2" s="1"/>
  <c r="D18" i="2"/>
  <c r="D11" i="2"/>
  <c r="D16" i="2"/>
  <c r="D8" i="2"/>
  <c r="D10" i="2" s="1"/>
  <c r="H27" i="2"/>
  <c r="H18" i="2"/>
  <c r="H11" i="2"/>
  <c r="H16" i="2" s="1"/>
  <c r="H8" i="2"/>
  <c r="H10" i="2" s="1"/>
  <c r="E18" i="2"/>
  <c r="E11" i="2"/>
  <c r="E16" i="2"/>
  <c r="E8" i="2"/>
  <c r="E10" i="2" s="1"/>
  <c r="E27" i="2" s="1"/>
  <c r="I18" i="2"/>
  <c r="I11" i="2"/>
  <c r="I16" i="2"/>
  <c r="I8" i="2"/>
  <c r="I10" i="2" s="1"/>
  <c r="I27" i="2" s="1"/>
  <c r="F18" i="2"/>
  <c r="F11" i="2"/>
  <c r="F16" i="2" s="1"/>
  <c r="F8" i="2"/>
  <c r="F10" i="2" s="1"/>
  <c r="F27" i="2" s="1"/>
  <c r="J18" i="2"/>
  <c r="J16" i="2"/>
  <c r="J11" i="2"/>
  <c r="J8" i="2"/>
  <c r="J25" i="2" s="1"/>
  <c r="J10" i="2" l="1"/>
  <c r="J27" i="2" s="1"/>
  <c r="J17" i="2"/>
  <c r="G25" i="2"/>
  <c r="C17" i="2"/>
  <c r="C19" i="2" s="1"/>
  <c r="C21" i="2" s="1"/>
  <c r="C22" i="2" s="1"/>
  <c r="C27" i="2"/>
  <c r="G17" i="2"/>
  <c r="H25" i="2"/>
  <c r="D27" i="2"/>
  <c r="D17" i="2"/>
  <c r="H17" i="2"/>
  <c r="E17" i="2"/>
  <c r="I25" i="2"/>
  <c r="I17" i="2"/>
  <c r="F17" i="2"/>
  <c r="T18" i="2"/>
  <c r="T11" i="2"/>
  <c r="T16" i="2"/>
  <c r="T8" i="2"/>
  <c r="T10" i="2" s="1"/>
  <c r="T27" i="2" s="1"/>
  <c r="U18" i="2"/>
  <c r="U11" i="2"/>
  <c r="U16" i="2"/>
  <c r="U8" i="2"/>
  <c r="U10" i="2" s="1"/>
  <c r="U27" i="2" s="1"/>
  <c r="V18" i="2"/>
  <c r="V11" i="2"/>
  <c r="V16" i="2" s="1"/>
  <c r="V10" i="2"/>
  <c r="V8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M5" i="1"/>
  <c r="M4" i="1"/>
  <c r="M7" i="1" s="1"/>
  <c r="V17" i="2" l="1"/>
  <c r="F19" i="2"/>
  <c r="F21" i="2" s="1"/>
  <c r="F22" i="2" s="1"/>
  <c r="F28" i="2"/>
  <c r="E19" i="2"/>
  <c r="E21" i="2" s="1"/>
  <c r="E22" i="2" s="1"/>
  <c r="E28" i="2"/>
  <c r="U25" i="2"/>
  <c r="H19" i="2"/>
  <c r="H21" i="2" s="1"/>
  <c r="H22" i="2" s="1"/>
  <c r="H28" i="2"/>
  <c r="I19" i="2"/>
  <c r="I21" i="2" s="1"/>
  <c r="I22" i="2" s="1"/>
  <c r="I28" i="2"/>
  <c r="V25" i="2"/>
  <c r="V27" i="2"/>
  <c r="G19" i="2"/>
  <c r="G21" i="2" s="1"/>
  <c r="G22" i="2" s="1"/>
  <c r="G28" i="2"/>
  <c r="J28" i="2"/>
  <c r="J19" i="2"/>
  <c r="J21" i="2" s="1"/>
  <c r="J22" i="2" s="1"/>
  <c r="C28" i="2"/>
  <c r="D28" i="2"/>
  <c r="D19" i="2"/>
  <c r="D21" i="2" s="1"/>
  <c r="D22" i="2" s="1"/>
  <c r="T17" i="2"/>
  <c r="T19" i="2" s="1"/>
  <c r="T21" i="2" s="1"/>
  <c r="T22" i="2" s="1"/>
  <c r="U17" i="2"/>
  <c r="U19" i="2" l="1"/>
  <c r="U21" i="2" s="1"/>
  <c r="U22" i="2" s="1"/>
  <c r="U28" i="2"/>
  <c r="V28" i="2"/>
  <c r="V19" i="2"/>
  <c r="V21" i="2" s="1"/>
  <c r="V22" i="2" s="1"/>
  <c r="T28" i="2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<sst xmlns="http://schemas.openxmlformats.org/spreadsheetml/2006/main" count="44" uniqueCount="39">
  <si>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</si>
  <si>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</si>
  <si>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</si>
  <si>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</si>
  <si>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</si>
  <si>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</si>
  <si>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</si>
  <si>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</si>
  <si>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</si>
  <si>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</si>
  <si>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</si>
  <si>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</si>
  <si>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</si>
  <si>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</si>
  <si>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</si>
  <si>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</si>
  <si>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</si>
  <si>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</si>
  <si>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</si>
  <si>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Agency</t>
  </si>
  <si>
    <t>Merchant</t>
  </si>
  <si>
    <t>Advertising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</si>
  <si>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</si>
  <si>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</si>
  <si>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</si>
  <si>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</si>
  <si>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</si>
  <si>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</si>
  <si>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</si>
  <si>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IT</t>
  </si>
  <si>
    <t>G&amp;A</t>
  </si>
  <si>
    <t>Personnel</t>
  </si>
  <si>
    <t>S&amp;M</t>
  </si>
  <si>
    <t>Gross Profit</t>
  </si>
  <si>
    <t>COGS</t>
  </si>
  <si>
    <t>Revenue Growth</t>
  </si>
  <si>
    <t>Operating Margin</t>
  </si>
  <si>
    <t>Gross Margin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</si>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</sst>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66675</xdr:rowOff>
    </xdr:from>
    <xdr:to>
      <xdr:col>10</xdr:col>
      <xdr:colOff>19050</xdr:colOff>
      <xdr:row>40</xdr:row>
      <xdr:rowOff>123825</xdr:rowOff>
    </xdr:to>
    <xdr:cxnSp macro="">
      <xdr:nvCxnSpPr>
        <xdr:cNvPr id="3" name="Straight Connector 2"/>
        <xdr:cNvCxnSpPr/>
      </xdr:nvCxnSpPr>
      <xdr:spPr>
        <a:xfrm>
          <a:off x="6715125" y="66675"/>
          <a:ext cx="0" cy="6210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7"/>
  <sheetViews>
    <sheetView tabSelected="1" workbookViewId="0"/>
  </sheetViews>
  <sheetFormatPr defaultRowHeight="12.75" x14ac:dyDescent="0.2"/>
  <sheetData>
    <row r="2" spans="12:14" x14ac:dyDescent="0.2">
      <c r="L2" t="s">
        <v>0</v>
      </c>
      <c r="M2" s="1">
        <v>1307.8900000000001</v>
      </c>
    </row>
    <row r="3" spans="12:14" x14ac:dyDescent="0.2">
      <c r="L3" t="s">
        <v>1</v>
      </c>
      <c r="M3" s="2">
        <v>49.616594999999997</v>
      </c>
      <c r="N3" s="3" t="s">
        <v>6</v>
      </c>
    </row>
    <row r="4" spans="12:14" x14ac:dyDescent="0.2">
      <c r="L4" t="s">
        <v>2</v>
      </c>
      <c r="M4" s="2">
        <f>+M3*M2</f>
        <v>64893.048434550001</v>
      </c>
      <c r="N4" s="3"/>
    </row>
    <row r="5" spans="12:14" x14ac:dyDescent="0.2">
      <c r="L5" t="s">
        <v>3</v>
      </c>
      <c r="M5" s="2">
        <f>1477.265+0.806+1171.246+7931.363</f>
        <v>10580.68</v>
      </c>
      <c r="N5" s="3" t="s">
        <v>6</v>
      </c>
    </row>
    <row r="6" spans="12:14" x14ac:dyDescent="0.2">
      <c r="L6" t="s">
        <v>4</v>
      </c>
      <c r="M6" s="2">
        <v>6158.4430000000002</v>
      </c>
      <c r="N6" s="3" t="s">
        <v>6</v>
      </c>
    </row>
    <row r="7" spans="12:14" x14ac:dyDescent="0.2">
      <c r="L7" t="s">
        <v>5</v>
      </c>
      <c r="M7" s="2">
        <f>+M4-M5+M6</f>
        <v>60470.81143455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2.75" x14ac:dyDescent="0.2"/>
  <cols>
    <col min="2" max="2" width="18.140625" bestFit="1" customWidth="1"/>
    <col min="3" max="14" width="9.140625" style="3"/>
  </cols>
  <sheetData>
    <row r="2" spans="2:34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Q2">
        <v>2010</v>
      </c>
      <c r="R2">
        <f>+Q2+1</f>
        <v>2011</v>
      </c>
      <c r="S2">
        <f t="shared" ref="S2:AH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</row>
    <row r="3" spans="2:34" x14ac:dyDescent="0.2">
      <c r="B3" t="s">
        <v>38</v>
      </c>
      <c r="J3" s="9">
        <v>12000</v>
      </c>
    </row>
    <row r="5" spans="2:34" s="2" customFormat="1" x14ac:dyDescent="0.2">
      <c r="B5" s="2" t="s">
        <v>19</v>
      </c>
      <c r="C5" s="9">
        <v>1041.144</v>
      </c>
      <c r="D5" s="9">
        <v>1474.396</v>
      </c>
      <c r="E5" s="9">
        <v>2099.6289999999999</v>
      </c>
      <c r="F5" s="9">
        <v>1230.633</v>
      </c>
      <c r="G5" s="9">
        <v>1199.348</v>
      </c>
      <c r="H5" s="9">
        <v>1582.153</v>
      </c>
      <c r="I5" s="9">
        <v>2345.6729999999998</v>
      </c>
      <c r="J5" s="9">
        <v>1400.7239999999999</v>
      </c>
      <c r="K5" s="9"/>
      <c r="L5" s="9"/>
      <c r="M5" s="9"/>
      <c r="N5" s="9"/>
      <c r="T5" s="2">
        <v>4410.6890000000003</v>
      </c>
      <c r="U5" s="2">
        <v>5845.8019999999997</v>
      </c>
      <c r="V5" s="2">
        <v>6527.8980000000001</v>
      </c>
    </row>
    <row r="6" spans="2:34" s="2" customFormat="1" x14ac:dyDescent="0.2">
      <c r="B6" s="2" t="s">
        <v>20</v>
      </c>
      <c r="C6" s="9">
        <v>526.99800000000005</v>
      </c>
      <c r="D6" s="9">
        <v>567.25300000000004</v>
      </c>
      <c r="E6" s="9">
        <v>613.53499999999997</v>
      </c>
      <c r="F6" s="9">
        <v>478.26799999999997</v>
      </c>
      <c r="G6" s="9">
        <v>494.67500000000001</v>
      </c>
      <c r="H6" s="9">
        <v>546.01300000000003</v>
      </c>
      <c r="I6" s="9">
        <v>596.50300000000004</v>
      </c>
      <c r="J6" s="9">
        <v>445.78199999999998</v>
      </c>
      <c r="K6" s="9"/>
      <c r="L6" s="9"/>
      <c r="M6" s="9"/>
      <c r="N6" s="9"/>
      <c r="T6" s="2">
        <v>2211.4740000000002</v>
      </c>
      <c r="U6" s="2">
        <v>2186.0540000000001</v>
      </c>
      <c r="V6" s="2">
        <v>2082.973</v>
      </c>
    </row>
    <row r="7" spans="2:34" s="2" customFormat="1" x14ac:dyDescent="0.2">
      <c r="B7" s="2" t="s">
        <v>21</v>
      </c>
      <c r="C7" s="9">
        <v>73.66</v>
      </c>
      <c r="D7" s="9">
        <v>81.924999999999997</v>
      </c>
      <c r="E7" s="9">
        <v>123.333</v>
      </c>
      <c r="F7" s="9">
        <v>131.196</v>
      </c>
      <c r="G7" s="9">
        <v>146.67099999999999</v>
      </c>
      <c r="H7" s="9">
        <v>152.23099999999999</v>
      </c>
      <c r="I7" s="9">
        <v>160.72499999999999</v>
      </c>
      <c r="J7" s="9">
        <v>153.489</v>
      </c>
      <c r="K7" s="9"/>
      <c r="L7" s="9"/>
      <c r="M7" s="9"/>
      <c r="N7" s="9"/>
      <c r="T7" s="2">
        <v>171.143</v>
      </c>
      <c r="U7" s="2">
        <v>410.11500000000001</v>
      </c>
      <c r="V7" s="2">
        <v>613.11599999999999</v>
      </c>
    </row>
    <row r="8" spans="2:34" s="6" customFormat="1" x14ac:dyDescent="0.2">
      <c r="B8" s="6" t="s">
        <v>7</v>
      </c>
      <c r="C8" s="10">
        <f t="shared" ref="C8:J8" si="1">SUM(C5:C7)</f>
        <v>1641.8020000000001</v>
      </c>
      <c r="D8" s="10">
        <f t="shared" si="1"/>
        <v>2123.5740000000001</v>
      </c>
      <c r="E8" s="10">
        <f t="shared" si="1"/>
        <v>2836.4969999999998</v>
      </c>
      <c r="F8" s="10">
        <f t="shared" si="1"/>
        <v>1840.097</v>
      </c>
      <c r="G8" s="10">
        <f t="shared" si="1"/>
        <v>1840.694</v>
      </c>
      <c r="H8" s="10">
        <f t="shared" si="1"/>
        <v>2280.3969999999999</v>
      </c>
      <c r="I8" s="10">
        <f t="shared" si="1"/>
        <v>3102.9009999999998</v>
      </c>
      <c r="J8" s="10">
        <f t="shared" si="1"/>
        <v>1999.9949999999999</v>
      </c>
      <c r="K8" s="10"/>
      <c r="L8" s="10"/>
      <c r="M8" s="10"/>
      <c r="N8" s="10"/>
      <c r="T8" s="6">
        <f>SUM(T5:T7)</f>
        <v>6793.3060000000005</v>
      </c>
      <c r="U8" s="6">
        <f>SUM(U5:U7)</f>
        <v>8441.9709999999995</v>
      </c>
      <c r="V8" s="6">
        <f>SUM(V5:V7)</f>
        <v>9223.9869999999992</v>
      </c>
    </row>
    <row r="9" spans="2:34" s="2" customFormat="1" x14ac:dyDescent="0.2">
      <c r="B9" s="2" t="s">
        <v>34</v>
      </c>
      <c r="C9" s="9">
        <v>235.33099999999999</v>
      </c>
      <c r="D9" s="9">
        <v>240.57900000000001</v>
      </c>
      <c r="E9" s="9">
        <v>216.51900000000001</v>
      </c>
      <c r="F9" s="9">
        <v>165.41200000000001</v>
      </c>
      <c r="G9" s="9">
        <v>168.458</v>
      </c>
      <c r="H9" s="9">
        <v>187.49100000000001</v>
      </c>
      <c r="I9" s="9">
        <v>155.619</v>
      </c>
      <c r="J9" s="9">
        <v>120.61199999999999</v>
      </c>
      <c r="K9" s="9"/>
      <c r="L9" s="9"/>
      <c r="M9" s="9"/>
      <c r="N9" s="9"/>
      <c r="T9" s="2">
        <v>1077.42</v>
      </c>
      <c r="U9" s="2">
        <v>857.84100000000001</v>
      </c>
      <c r="V9" s="2">
        <v>632.17999999999995</v>
      </c>
    </row>
    <row r="10" spans="2:34" s="2" customFormat="1" x14ac:dyDescent="0.2">
      <c r="B10" s="2" t="s">
        <v>33</v>
      </c>
      <c r="C10" s="9">
        <f t="shared" ref="C10:J10" si="2">+C8-C9</f>
        <v>1406.4710000000002</v>
      </c>
      <c r="D10" s="9">
        <f t="shared" si="2"/>
        <v>1882.9950000000001</v>
      </c>
      <c r="E10" s="9">
        <f t="shared" si="2"/>
        <v>2619.9780000000001</v>
      </c>
      <c r="F10" s="9">
        <f t="shared" si="2"/>
        <v>1674.6849999999999</v>
      </c>
      <c r="G10" s="9">
        <f t="shared" si="2"/>
        <v>1672.2359999999999</v>
      </c>
      <c r="H10" s="9">
        <f t="shared" si="2"/>
        <v>2092.9059999999999</v>
      </c>
      <c r="I10" s="9">
        <f t="shared" si="2"/>
        <v>2947.2819999999997</v>
      </c>
      <c r="J10" s="9">
        <f t="shared" si="2"/>
        <v>1879.3829999999998</v>
      </c>
      <c r="K10" s="9"/>
      <c r="L10" s="9"/>
      <c r="M10" s="9"/>
      <c r="N10" s="9"/>
      <c r="T10" s="2">
        <f>+T8-T9</f>
        <v>5715.8860000000004</v>
      </c>
      <c r="U10" s="2">
        <f>+U8-U9</f>
        <v>7584.1299999999992</v>
      </c>
      <c r="V10" s="2">
        <f>+V8-V9</f>
        <v>8591.8069999999989</v>
      </c>
    </row>
    <row r="11" spans="2:34" s="2" customFormat="1" x14ac:dyDescent="0.2">
      <c r="B11" s="2" t="s">
        <v>21</v>
      </c>
      <c r="C11" s="9">
        <f>520.848+53.474</f>
        <v>574.322</v>
      </c>
      <c r="D11" s="9">
        <f>639.655+58.026</f>
        <v>697.68099999999993</v>
      </c>
      <c r="E11" s="9">
        <f>699.814+71.593</f>
        <v>771.40699999999993</v>
      </c>
      <c r="F11" s="9">
        <f>499.904+48.216</f>
        <v>548.12</v>
      </c>
      <c r="G11" s="9">
        <f>643.216+63.582</f>
        <v>706.798</v>
      </c>
      <c r="H11" s="9">
        <f>770.818+66.303</f>
        <v>837.12099999999998</v>
      </c>
      <c r="I11" s="9">
        <f>801.147+51.44</f>
        <v>852.58699999999999</v>
      </c>
      <c r="J11" s="9">
        <f>582.056+33.36</f>
        <v>615.41600000000005</v>
      </c>
      <c r="K11" s="9"/>
      <c r="L11" s="9"/>
      <c r="M11" s="9"/>
      <c r="N11" s="9"/>
      <c r="T11" s="2">
        <f>1798.645+127.459</f>
        <v>1926.104</v>
      </c>
      <c r="U11" s="2">
        <f>2360.221+231.309</f>
        <v>2591.5300000000002</v>
      </c>
      <c r="V11" s="2">
        <f>2797.237+214.685</f>
        <v>3011.922</v>
      </c>
    </row>
    <row r="12" spans="2:34" s="2" customFormat="1" x14ac:dyDescent="0.2">
      <c r="B12" s="2" t="s">
        <v>32</v>
      </c>
      <c r="C12" s="9">
        <v>64.311000000000007</v>
      </c>
      <c r="D12" s="9">
        <v>75.052999999999997</v>
      </c>
      <c r="E12" s="9">
        <v>86.091999999999999</v>
      </c>
      <c r="F12" s="9">
        <v>85.453999999999994</v>
      </c>
      <c r="G12" s="9">
        <v>81.944000000000003</v>
      </c>
      <c r="H12" s="9">
        <v>94.522999999999996</v>
      </c>
      <c r="I12" s="9">
        <v>93.069000000000003</v>
      </c>
      <c r="J12" s="9">
        <v>83.685000000000002</v>
      </c>
      <c r="K12" s="9"/>
      <c r="L12" s="9"/>
      <c r="M12" s="9"/>
      <c r="N12" s="9"/>
      <c r="T12" s="2">
        <v>235.81700000000001</v>
      </c>
      <c r="U12" s="2">
        <v>310.91000000000003</v>
      </c>
      <c r="V12" s="2">
        <v>353.221</v>
      </c>
    </row>
    <row r="13" spans="2:34" s="2" customFormat="1" x14ac:dyDescent="0.2">
      <c r="B13" s="2" t="s">
        <v>31</v>
      </c>
      <c r="C13" s="9">
        <v>194.53100000000001</v>
      </c>
      <c r="D13" s="9">
        <v>221.852</v>
      </c>
      <c r="E13" s="9">
        <v>259.471</v>
      </c>
      <c r="F13" s="9">
        <v>274.33699999999999</v>
      </c>
      <c r="G13" s="9">
        <v>258.98399999999998</v>
      </c>
      <c r="H13" s="9">
        <v>289.15600000000001</v>
      </c>
      <c r="I13" s="9">
        <v>305.32900000000001</v>
      </c>
      <c r="J13" s="9">
        <v>312.75700000000001</v>
      </c>
      <c r="K13" s="9"/>
      <c r="L13" s="9"/>
      <c r="M13" s="9"/>
      <c r="N13" s="9"/>
      <c r="T13" s="2">
        <v>698.69200000000001</v>
      </c>
      <c r="U13" s="2">
        <v>950.19100000000003</v>
      </c>
      <c r="V13" s="2">
        <v>1166.2260000000001</v>
      </c>
    </row>
    <row r="14" spans="2:34" s="2" customFormat="1" x14ac:dyDescent="0.2">
      <c r="B14" s="2" t="s">
        <v>30</v>
      </c>
      <c r="C14" s="9">
        <v>72.980999999999995</v>
      </c>
      <c r="D14" s="9">
        <v>91.066999999999993</v>
      </c>
      <c r="E14" s="9">
        <v>97.902000000000001</v>
      </c>
      <c r="F14" s="9">
        <v>90.918999999999997</v>
      </c>
      <c r="G14" s="9">
        <v>100.178</v>
      </c>
      <c r="H14" s="9">
        <v>98.944999999999993</v>
      </c>
      <c r="I14" s="9">
        <v>109.706</v>
      </c>
      <c r="J14" s="9">
        <v>106.59099999999999</v>
      </c>
      <c r="K14" s="9"/>
      <c r="L14" s="9"/>
      <c r="M14" s="9"/>
      <c r="N14" s="9"/>
      <c r="T14" s="2">
        <v>252.994</v>
      </c>
      <c r="U14" s="2">
        <v>352.86900000000003</v>
      </c>
      <c r="V14" s="2">
        <v>415.42</v>
      </c>
    </row>
    <row r="15" spans="2:34" s="2" customFormat="1" x14ac:dyDescent="0.2">
      <c r="B15" s="2" t="s">
        <v>29</v>
      </c>
      <c r="C15" s="9">
        <v>23.224</v>
      </c>
      <c r="D15" s="9">
        <v>24.042000000000002</v>
      </c>
      <c r="E15" s="9">
        <v>24.802</v>
      </c>
      <c r="F15" s="9">
        <v>25.43</v>
      </c>
      <c r="G15" s="9">
        <v>25.361000000000001</v>
      </c>
      <c r="H15" s="9">
        <v>27.155999999999999</v>
      </c>
      <c r="I15" s="9">
        <v>28.83</v>
      </c>
      <c r="J15" s="9">
        <v>32.270000000000003</v>
      </c>
      <c r="K15" s="9"/>
      <c r="L15" s="9"/>
      <c r="M15" s="9"/>
      <c r="N15" s="9"/>
      <c r="T15" s="2">
        <v>71.89</v>
      </c>
      <c r="U15" s="2">
        <v>97.498000000000005</v>
      </c>
      <c r="V15" s="2">
        <v>113.617</v>
      </c>
    </row>
    <row r="16" spans="2:34" s="2" customFormat="1" x14ac:dyDescent="0.2">
      <c r="B16" s="2" t="s">
        <v>28</v>
      </c>
      <c r="C16" s="2">
        <f t="shared" ref="C16:J16" si="3">SUM(C11:C15)</f>
        <v>929.36900000000003</v>
      </c>
      <c r="D16" s="2">
        <f t="shared" si="3"/>
        <v>1109.6949999999997</v>
      </c>
      <c r="E16" s="2">
        <f t="shared" si="3"/>
        <v>1239.6739999999998</v>
      </c>
      <c r="F16" s="2">
        <f t="shared" si="3"/>
        <v>1024.26</v>
      </c>
      <c r="G16" s="2">
        <f t="shared" si="3"/>
        <v>1173.2650000000001</v>
      </c>
      <c r="H16" s="2">
        <f t="shared" si="3"/>
        <v>1346.9009999999998</v>
      </c>
      <c r="I16" s="2">
        <f t="shared" si="3"/>
        <v>1389.5209999999997</v>
      </c>
      <c r="J16" s="2">
        <f t="shared" si="3"/>
        <v>1150.7190000000001</v>
      </c>
      <c r="K16" s="9"/>
      <c r="L16" s="9"/>
      <c r="M16" s="9"/>
      <c r="N16" s="9"/>
      <c r="T16" s="2">
        <f>SUM(T11:T15)</f>
        <v>3185.4970000000003</v>
      </c>
      <c r="U16" s="2">
        <f>SUM(U11:U15)</f>
        <v>4302.9979999999996</v>
      </c>
      <c r="V16" s="2">
        <f>SUM(V11:V15)</f>
        <v>5060.4060000000009</v>
      </c>
    </row>
    <row r="17" spans="2:22" s="2" customFormat="1" x14ac:dyDescent="0.2">
      <c r="B17" s="2" t="s">
        <v>27</v>
      </c>
      <c r="C17" s="2">
        <f t="shared" ref="C17:J17" si="4">C10-C16</f>
        <v>477.1020000000002</v>
      </c>
      <c r="D17" s="2">
        <f t="shared" si="4"/>
        <v>773.30000000000041</v>
      </c>
      <c r="E17" s="2">
        <f t="shared" si="4"/>
        <v>1380.3040000000003</v>
      </c>
      <c r="F17" s="2">
        <f t="shared" si="4"/>
        <v>650.42499999999995</v>
      </c>
      <c r="G17" s="2">
        <f t="shared" si="4"/>
        <v>498.97099999999978</v>
      </c>
      <c r="H17" s="2">
        <f t="shared" si="4"/>
        <v>746.00500000000011</v>
      </c>
      <c r="I17" s="2">
        <f t="shared" si="4"/>
        <v>1557.761</v>
      </c>
      <c r="J17" s="2">
        <f t="shared" si="4"/>
        <v>728.66399999999976</v>
      </c>
      <c r="K17" s="9"/>
      <c r="L17" s="9"/>
      <c r="M17" s="9"/>
      <c r="N17" s="9"/>
      <c r="T17" s="2">
        <f>T10-T16</f>
        <v>2530.3890000000001</v>
      </c>
      <c r="U17" s="2">
        <f>U10-U16</f>
        <v>3281.1319999999996</v>
      </c>
      <c r="V17" s="2">
        <f>V10-V16</f>
        <v>3531.400999999998</v>
      </c>
    </row>
    <row r="18" spans="2:22" s="2" customFormat="1" x14ac:dyDescent="0.2">
      <c r="B18" s="2" t="s">
        <v>26</v>
      </c>
      <c r="C18" s="9">
        <f>1.041-17.745-5.969</f>
        <v>-22.673000000000002</v>
      </c>
      <c r="D18" s="9">
        <f>1.634-17.106-1.777</f>
        <v>-17.249000000000002</v>
      </c>
      <c r="E18" s="9">
        <f>2.49-22.953+3.347</f>
        <v>-17.116</v>
      </c>
      <c r="F18" s="9">
        <f>8.768-30.549-5.045</f>
        <v>-26.826000000000001</v>
      </c>
      <c r="G18" s="9">
        <f>11.596-33.479-4.843</f>
        <v>-26.725999999999999</v>
      </c>
      <c r="H18" s="9">
        <f>13.037-41.547-1.444</f>
        <v>-29.953999999999997</v>
      </c>
      <c r="I18" s="9">
        <f>14.682-41.436-5.783</f>
        <v>-32.536999999999999</v>
      </c>
      <c r="J18" s="9">
        <f>16.414-43.787-14.017</f>
        <v>-41.39</v>
      </c>
      <c r="K18" s="9"/>
      <c r="L18" s="9"/>
      <c r="M18" s="9"/>
      <c r="N18" s="9"/>
      <c r="T18" s="2">
        <f>4.167-83.289-36.755</f>
        <v>-115.87700000000001</v>
      </c>
      <c r="U18" s="2">
        <f>13.933-88.353-9.444</f>
        <v>-83.86399999999999</v>
      </c>
      <c r="V18" s="2">
        <f>55.729-160.229-26.087</f>
        <v>-130.58700000000002</v>
      </c>
    </row>
    <row r="19" spans="2:22" s="2" customFormat="1" x14ac:dyDescent="0.2">
      <c r="B19" s="2" t="s">
        <v>25</v>
      </c>
      <c r="C19" s="9">
        <f t="shared" ref="C19:J19" si="5">+C17+C18</f>
        <v>454.4290000000002</v>
      </c>
      <c r="D19" s="9">
        <f t="shared" si="5"/>
        <v>756.05100000000039</v>
      </c>
      <c r="E19" s="9">
        <f t="shared" si="5"/>
        <v>1363.1880000000003</v>
      </c>
      <c r="F19" s="9">
        <f t="shared" si="5"/>
        <v>623.59899999999993</v>
      </c>
      <c r="G19" s="9">
        <f t="shared" si="5"/>
        <v>472.24499999999978</v>
      </c>
      <c r="H19" s="9">
        <f t="shared" si="5"/>
        <v>716.05100000000016</v>
      </c>
      <c r="I19" s="9">
        <f t="shared" si="5"/>
        <v>1525.2239999999999</v>
      </c>
      <c r="J19" s="9">
        <f t="shared" si="5"/>
        <v>687.27399999999977</v>
      </c>
      <c r="K19" s="9"/>
      <c r="L19" s="9"/>
      <c r="M19" s="9"/>
      <c r="N19" s="9"/>
      <c r="T19" s="2">
        <f>+T17+T18</f>
        <v>2414.5120000000002</v>
      </c>
      <c r="U19" s="2">
        <f>+U17+U18</f>
        <v>3197.2679999999996</v>
      </c>
      <c r="V19" s="2">
        <f>+V17+V18</f>
        <v>3400.813999999998</v>
      </c>
    </row>
    <row r="20" spans="2:22" s="2" customFormat="1" x14ac:dyDescent="0.2">
      <c r="B20" s="2" t="s">
        <v>24</v>
      </c>
      <c r="C20" s="9">
        <v>84.834999999999994</v>
      </c>
      <c r="D20" s="9">
        <v>139.31399999999999</v>
      </c>
      <c r="E20" s="9">
        <v>243.33600000000001</v>
      </c>
      <c r="F20" s="9">
        <v>100.21</v>
      </c>
      <c r="G20" s="9">
        <v>73.915999999999997</v>
      </c>
      <c r="H20" s="9">
        <v>131.345</v>
      </c>
      <c r="I20" s="9">
        <v>259.43799999999999</v>
      </c>
      <c r="J20" s="9">
        <v>112.261</v>
      </c>
      <c r="K20" s="9"/>
      <c r="L20" s="9"/>
      <c r="M20" s="9"/>
      <c r="N20" s="9"/>
      <c r="T20" s="2">
        <v>403.73899999999998</v>
      </c>
      <c r="U20" s="2">
        <v>567.69500000000005</v>
      </c>
      <c r="V20" s="2">
        <v>576.96</v>
      </c>
    </row>
    <row r="21" spans="2:22" s="2" customFormat="1" x14ac:dyDescent="0.2">
      <c r="B21" s="2" t="s">
        <v>23</v>
      </c>
      <c r="C21" s="9">
        <f t="shared" ref="C21:J21" si="6">+C19-C20</f>
        <v>369.59400000000022</v>
      </c>
      <c r="D21" s="9">
        <f t="shared" si="6"/>
        <v>616.73700000000042</v>
      </c>
      <c r="E21" s="9">
        <f t="shared" si="6"/>
        <v>1119.8520000000003</v>
      </c>
      <c r="F21" s="9">
        <f t="shared" si="6"/>
        <v>523.3889999999999</v>
      </c>
      <c r="G21" s="9">
        <f t="shared" si="6"/>
        <v>398.32899999999978</v>
      </c>
      <c r="H21" s="9">
        <f t="shared" si="6"/>
        <v>584.70600000000013</v>
      </c>
      <c r="I21" s="9">
        <f t="shared" si="6"/>
        <v>1265.7860000000001</v>
      </c>
      <c r="J21" s="9">
        <f t="shared" si="6"/>
        <v>575.01299999999981</v>
      </c>
      <c r="K21" s="9"/>
      <c r="L21" s="9"/>
      <c r="M21" s="9"/>
      <c r="N21" s="9"/>
      <c r="T21" s="2">
        <f>+T19-T20</f>
        <v>2010.7730000000001</v>
      </c>
      <c r="U21" s="2">
        <f>+U19-U20</f>
        <v>2629.5729999999994</v>
      </c>
      <c r="V21" s="2">
        <f>+V19-V20</f>
        <v>2823.853999999998</v>
      </c>
    </row>
    <row r="22" spans="2:22" x14ac:dyDescent="0.2">
      <c r="B22" t="s">
        <v>22</v>
      </c>
      <c r="C22" s="11">
        <f t="shared" ref="C22:J22" si="7">C21/C23</f>
        <v>6.9711041533064284</v>
      </c>
      <c r="D22" s="11">
        <f t="shared" si="7"/>
        <v>11.646435652912858</v>
      </c>
      <c r="E22" s="11">
        <f t="shared" si="7"/>
        <v>21.119719372359693</v>
      </c>
      <c r="F22" s="11">
        <f t="shared" si="7"/>
        <v>9.9169903556473447</v>
      </c>
      <c r="G22" s="11">
        <f t="shared" si="7"/>
        <v>7.6008281494485326</v>
      </c>
      <c r="H22" s="11">
        <f t="shared" si="7"/>
        <v>11.236135132018912</v>
      </c>
      <c r="I22" s="11">
        <f t="shared" si="7"/>
        <v>24.756229219636221</v>
      </c>
      <c r="J22" s="11">
        <f t="shared" si="7"/>
        <v>11.408309029224448</v>
      </c>
      <c r="T22" s="1">
        <f>T21/T23</f>
        <v>39.485763097949892</v>
      </c>
      <c r="U22" s="1">
        <f>U21/U23</f>
        <v>50.27768111508383</v>
      </c>
      <c r="V22" s="1">
        <f>V21/V23</f>
        <v>55.434903808402005</v>
      </c>
    </row>
    <row r="23" spans="2:22" s="2" customFormat="1" x14ac:dyDescent="0.2">
      <c r="B23" s="2" t="s">
        <v>1</v>
      </c>
      <c r="C23" s="9">
        <v>53.018000000000001</v>
      </c>
      <c r="D23" s="9">
        <v>52.954999999999998</v>
      </c>
      <c r="E23" s="9">
        <v>53.024000000000001</v>
      </c>
      <c r="F23" s="9">
        <v>52.777000000000001</v>
      </c>
      <c r="G23" s="9">
        <v>52.405999999999999</v>
      </c>
      <c r="H23" s="9">
        <v>52.037999999999997</v>
      </c>
      <c r="I23" s="9">
        <v>51.13</v>
      </c>
      <c r="J23" s="9">
        <v>50.402999999999999</v>
      </c>
      <c r="K23" s="9"/>
      <c r="L23" s="9"/>
      <c r="M23" s="9"/>
      <c r="N23" s="9"/>
      <c r="T23" s="2">
        <v>50.923999999999999</v>
      </c>
      <c r="U23" s="2">
        <v>52.301000000000002</v>
      </c>
      <c r="V23" s="2">
        <v>50.94</v>
      </c>
    </row>
    <row r="24" spans="2:22" x14ac:dyDescent="0.2">
      <c r="H24" s="9"/>
    </row>
    <row r="25" spans="2:22" s="4" customFormat="1" x14ac:dyDescent="0.2">
      <c r="B25" s="4" t="s">
        <v>35</v>
      </c>
      <c r="C25" s="5"/>
      <c r="D25" s="5"/>
      <c r="E25" s="5"/>
      <c r="F25" s="5"/>
      <c r="G25" s="12">
        <f>G8/C8-1</f>
        <v>0.1211425007400404</v>
      </c>
      <c r="H25" s="12">
        <f>H8/D8-1</f>
        <v>7.3848615588625544E-2</v>
      </c>
      <c r="I25" s="12">
        <f>I8/E8-1</f>
        <v>9.3920071129988791E-2</v>
      </c>
      <c r="J25" s="12">
        <f>J8/F8-1</f>
        <v>8.689650599941201E-2</v>
      </c>
      <c r="K25" s="5"/>
      <c r="L25" s="5"/>
      <c r="M25" s="5"/>
      <c r="N25" s="5"/>
      <c r="U25" s="8">
        <f>U8/T8-1</f>
        <v>0.2426896418327098</v>
      </c>
      <c r="V25" s="8">
        <f>V8/U8-1</f>
        <v>9.2634291209955588E-2</v>
      </c>
    </row>
    <row r="27" spans="2:22" x14ac:dyDescent="0.2">
      <c r="B27" t="s">
        <v>37</v>
      </c>
      <c r="C27" s="13">
        <f t="shared" ref="C27:J27" si="8">C10/C8</f>
        <v>0.85666298372154503</v>
      </c>
      <c r="D27" s="13">
        <f t="shared" si="8"/>
        <v>0.88671032890777535</v>
      </c>
      <c r="E27" s="13">
        <f t="shared" si="8"/>
        <v>0.92366676220704635</v>
      </c>
      <c r="F27" s="13">
        <f t="shared" si="8"/>
        <v>0.91010691284209477</v>
      </c>
      <c r="G27" s="13">
        <f t="shared" si="8"/>
        <v>0.90848125761261778</v>
      </c>
      <c r="H27" s="13">
        <f t="shared" si="8"/>
        <v>0.91778142139285401</v>
      </c>
      <c r="I27" s="13">
        <f t="shared" si="8"/>
        <v>0.94984725584219409</v>
      </c>
      <c r="J27" s="13">
        <f t="shared" si="8"/>
        <v>0.93969384923462307</v>
      </c>
      <c r="T27" s="7">
        <f>T10/T8</f>
        <v>0.84139975440529247</v>
      </c>
      <c r="U27" s="7">
        <f>U10/U8</f>
        <v>0.8983838016027299</v>
      </c>
      <c r="V27" s="7">
        <f>V10/V8</f>
        <v>0.93146347669397189</v>
      </c>
    </row>
    <row r="28" spans="2:22" x14ac:dyDescent="0.2">
      <c r="B28" t="s">
        <v>36</v>
      </c>
      <c r="C28" s="13">
        <f t="shared" ref="C28:J28" si="9">C17/C8</f>
        <v>0.29059655183755423</v>
      </c>
      <c r="D28" s="13">
        <f t="shared" si="9"/>
        <v>0.36415024859034834</v>
      </c>
      <c r="E28" s="13">
        <f t="shared" si="9"/>
        <v>0.48662276039777247</v>
      </c>
      <c r="F28" s="13">
        <f t="shared" si="9"/>
        <v>0.35347321364036788</v>
      </c>
      <c r="G28" s="13">
        <f t="shared" si="9"/>
        <v>0.27107764788715549</v>
      </c>
      <c r="H28" s="13">
        <f t="shared" si="9"/>
        <v>0.32713821321462894</v>
      </c>
      <c r="I28" s="13">
        <f t="shared" si="9"/>
        <v>0.50203374197243167</v>
      </c>
      <c r="J28" s="13">
        <f t="shared" si="9"/>
        <v>0.36433291083227698</v>
      </c>
      <c r="T28" s="7">
        <f>T17/T8</f>
        <v>0.37248270576947362</v>
      </c>
      <c r="U28" s="7">
        <f>U17/U8</f>
        <v>0.38866894946689579</v>
      </c>
      <c r="V28" s="7">
        <f>V17/V8</f>
        <v>0.38284973732074845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2016-03-30T02:32:53Z</dcterms:created>
  <dcterms:modified xsi:type="dcterms:W3CDTF">2016-04-27T21:12:07Z</dcterms:modified>
</cp:coreProperties>
</file>