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600" windowHeight="12225" activeTab="1"/>
  </bookViews>
  <sheets>
    <sheet name="Main" sheetId="1" r:id="rId1"/>
    <sheet name="Model" sheetId="2" r:id="rId2"/>
    <sheet name="Compounds" sheetId="5" r:id="rId3"/>
    <sheet name="IP" sheetId="4" r:id="rId4"/>
    <sheet name="Prevnar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2" i="2" l="1"/>
  <c r="AB72" i="2"/>
  <c r="AC72" i="2"/>
  <c r="Y58" i="2"/>
  <c r="Z58" i="2"/>
  <c r="AA58" i="2"/>
  <c r="AB58" i="2"/>
  <c r="AN17" i="2"/>
  <c r="AO17" i="2" s="1"/>
  <c r="AP17" i="2" s="1"/>
  <c r="AQ17" i="2" s="1"/>
  <c r="AR17" i="2" s="1"/>
  <c r="AS17" i="2" s="1"/>
  <c r="AM17" i="2"/>
  <c r="AL17" i="2"/>
  <c r="AH17" i="2"/>
  <c r="AI17" i="2" s="1"/>
  <c r="AJ17" i="2" s="1"/>
  <c r="AK17" i="2" s="1"/>
  <c r="AG17" i="2"/>
  <c r="AF17" i="2"/>
  <c r="AE17" i="2"/>
  <c r="K76" i="2"/>
  <c r="K75" i="2"/>
  <c r="K74" i="2"/>
  <c r="K73" i="2"/>
  <c r="K72" i="2"/>
  <c r="K77" i="2"/>
  <c r="R77" i="2"/>
  <c r="Q77" i="2"/>
  <c r="P77" i="2"/>
  <c r="O77" i="2"/>
  <c r="N77" i="2"/>
  <c r="M77" i="2"/>
  <c r="L77" i="2"/>
  <c r="Q17" i="2"/>
  <c r="R17" i="2" s="1"/>
  <c r="P67" i="2"/>
  <c r="P108" i="2"/>
  <c r="P110" i="2" s="1"/>
  <c r="P105" i="2"/>
  <c r="P102" i="2"/>
  <c r="P99" i="2"/>
  <c r="P88" i="2" s="1"/>
  <c r="P97" i="2"/>
  <c r="P95" i="2"/>
  <c r="P92" i="2"/>
  <c r="P89" i="2"/>
  <c r="L6" i="1"/>
  <c r="L5" i="1"/>
  <c r="P4" i="2" l="1"/>
  <c r="P27" i="2"/>
  <c r="P11" i="2"/>
  <c r="L5" i="2"/>
  <c r="P5" i="2"/>
  <c r="P58" i="2" s="1"/>
  <c r="P60" i="2" s="1"/>
  <c r="P83" i="2" s="1"/>
  <c r="AC70" i="2" l="1"/>
  <c r="AC65" i="2"/>
  <c r="AC62" i="2"/>
  <c r="AC61" i="2"/>
  <c r="AC63" i="2" s="1"/>
  <c r="AC59" i="2"/>
  <c r="G63" i="2"/>
  <c r="G58" i="2"/>
  <c r="G60" i="2" s="1"/>
  <c r="AC57" i="2"/>
  <c r="AC56" i="2"/>
  <c r="AC55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0" i="2"/>
  <c r="AC9" i="2"/>
  <c r="AC8" i="2"/>
  <c r="AC7" i="2"/>
  <c r="AC6" i="2"/>
  <c r="AC3" i="2"/>
  <c r="AE55" i="2"/>
  <c r="AE51" i="2"/>
  <c r="R35" i="2"/>
  <c r="Q35" i="2"/>
  <c r="AE35" i="2" s="1"/>
  <c r="R34" i="2"/>
  <c r="Q34" i="2"/>
  <c r="R33" i="2"/>
  <c r="Q33" i="2"/>
  <c r="AE33" i="2" s="1"/>
  <c r="R32" i="2"/>
  <c r="Q32" i="2"/>
  <c r="R31" i="2"/>
  <c r="Q31" i="2"/>
  <c r="AE31" i="2" s="1"/>
  <c r="R30" i="2"/>
  <c r="Q30" i="2"/>
  <c r="AE30" i="2" s="1"/>
  <c r="R29" i="2"/>
  <c r="Q29" i="2"/>
  <c r="R28" i="2"/>
  <c r="Q28" i="2"/>
  <c r="AE28" i="2" s="1"/>
  <c r="R27" i="2"/>
  <c r="Q27" i="2"/>
  <c r="AE27" i="2" s="1"/>
  <c r="R26" i="2"/>
  <c r="Q26" i="2"/>
  <c r="R25" i="2"/>
  <c r="Q25" i="2"/>
  <c r="R11" i="2"/>
  <c r="R10" i="2"/>
  <c r="Q10" i="2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Q12" i="2"/>
  <c r="R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R14" i="2"/>
  <c r="Q14" i="2"/>
  <c r="R13" i="2"/>
  <c r="Q13" i="2"/>
  <c r="R15" i="2"/>
  <c r="Q15" i="2"/>
  <c r="Q16" i="2"/>
  <c r="R16" i="2" s="1"/>
  <c r="R18" i="2"/>
  <c r="Q18" i="2"/>
  <c r="R19" i="2"/>
  <c r="Q19" i="2"/>
  <c r="R20" i="2"/>
  <c r="Q20" i="2"/>
  <c r="R24" i="2"/>
  <c r="Q24" i="2"/>
  <c r="AE24" i="2" s="1"/>
  <c r="R23" i="2"/>
  <c r="Q23" i="2"/>
  <c r="R22" i="2"/>
  <c r="AE22" i="2" s="1"/>
  <c r="Q22" i="2"/>
  <c r="R21" i="2"/>
  <c r="Q21" i="2"/>
  <c r="R37" i="2"/>
  <c r="Q37" i="2"/>
  <c r="R36" i="2"/>
  <c r="Q36" i="2"/>
  <c r="R38" i="2"/>
  <c r="Q38" i="2"/>
  <c r="Q39" i="2"/>
  <c r="R39" i="2" s="1"/>
  <c r="R40" i="2"/>
  <c r="Q40" i="2"/>
  <c r="R41" i="2"/>
  <c r="Q41" i="2"/>
  <c r="Q42" i="2"/>
  <c r="R42" i="2" s="1"/>
  <c r="R43" i="2"/>
  <c r="Q43" i="2"/>
  <c r="Q45" i="2"/>
  <c r="R45" i="2" s="1"/>
  <c r="Q44" i="2"/>
  <c r="R46" i="2"/>
  <c r="Q46" i="2"/>
  <c r="R47" i="2"/>
  <c r="Q47" i="2"/>
  <c r="R50" i="2"/>
  <c r="Q50" i="2"/>
  <c r="R49" i="2"/>
  <c r="Q49" i="2"/>
  <c r="R48" i="2"/>
  <c r="Q48" i="2"/>
  <c r="R57" i="2"/>
  <c r="Q57" i="2"/>
  <c r="Q56" i="2"/>
  <c r="R56" i="2" s="1"/>
  <c r="R8" i="2"/>
  <c r="R76" i="2" s="1"/>
  <c r="Q8" i="2"/>
  <c r="Q76" i="2" s="1"/>
  <c r="P76" i="2"/>
  <c r="R7" i="2"/>
  <c r="R75" i="2" s="1"/>
  <c r="Q7" i="2"/>
  <c r="Q75" i="2" s="1"/>
  <c r="P75" i="2"/>
  <c r="O76" i="2"/>
  <c r="N76" i="2"/>
  <c r="M76" i="2"/>
  <c r="L76" i="2"/>
  <c r="N75" i="2"/>
  <c r="M75" i="2"/>
  <c r="L75" i="2"/>
  <c r="O75" i="2"/>
  <c r="AD70" i="2"/>
  <c r="AD65" i="2"/>
  <c r="AD62" i="2"/>
  <c r="AD61" i="2"/>
  <c r="AD59" i="2"/>
  <c r="AD57" i="2"/>
  <c r="AD56" i="2"/>
  <c r="AD55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0" i="2"/>
  <c r="AD9" i="2"/>
  <c r="AD8" i="2"/>
  <c r="AD7" i="2"/>
  <c r="AD6" i="2"/>
  <c r="AD3" i="2"/>
  <c r="AD72" i="2" s="1"/>
  <c r="R62" i="2"/>
  <c r="R81" i="2" s="1"/>
  <c r="Q62" i="2"/>
  <c r="R61" i="2"/>
  <c r="Q61" i="2"/>
  <c r="Q80" i="2" s="1"/>
  <c r="P81" i="2"/>
  <c r="P80" i="2"/>
  <c r="Q70" i="2"/>
  <c r="R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P63" i="2"/>
  <c r="Q6" i="2"/>
  <c r="R6" i="2" s="1"/>
  <c r="Q4" i="2"/>
  <c r="Q73" i="2" s="1"/>
  <c r="P74" i="2"/>
  <c r="M74" i="2"/>
  <c r="L74" i="2"/>
  <c r="P73" i="2"/>
  <c r="M73" i="2"/>
  <c r="L73" i="2"/>
  <c r="R3" i="2"/>
  <c r="R72" i="2" s="1"/>
  <c r="Q3" i="2"/>
  <c r="AE3" i="2" s="1"/>
  <c r="P72" i="2"/>
  <c r="N72" i="2"/>
  <c r="M72" i="2"/>
  <c r="L72" i="2"/>
  <c r="O72" i="2"/>
  <c r="O81" i="2"/>
  <c r="N81" i="2"/>
  <c r="M81" i="2"/>
  <c r="L81" i="2"/>
  <c r="O80" i="2"/>
  <c r="N80" i="2"/>
  <c r="M80" i="2"/>
  <c r="L80" i="2"/>
  <c r="H63" i="2"/>
  <c r="L63" i="2"/>
  <c r="H58" i="2"/>
  <c r="H60" i="2" s="1"/>
  <c r="I63" i="2"/>
  <c r="M63" i="2"/>
  <c r="I11" i="2"/>
  <c r="I58" i="2" s="1"/>
  <c r="I60" i="2" s="1"/>
  <c r="M11" i="2"/>
  <c r="Q11" i="2" s="1"/>
  <c r="I5" i="2"/>
  <c r="M5" i="2"/>
  <c r="Q5" i="2" s="1"/>
  <c r="Q74" i="2" s="1"/>
  <c r="AE20" i="2" l="1"/>
  <c r="AC11" i="2"/>
  <c r="AD63" i="2"/>
  <c r="AE49" i="2"/>
  <c r="AE50" i="2"/>
  <c r="AE34" i="2"/>
  <c r="AE36" i="2"/>
  <c r="AE29" i="2"/>
  <c r="AE37" i="2"/>
  <c r="AE13" i="2"/>
  <c r="AE14" i="2"/>
  <c r="AE48" i="2"/>
  <c r="H64" i="2"/>
  <c r="H66" i="2" s="1"/>
  <c r="H68" i="2" s="1"/>
  <c r="H69" i="2" s="1"/>
  <c r="AE11" i="2"/>
  <c r="AE25" i="2"/>
  <c r="AE41" i="2"/>
  <c r="AE19" i="2"/>
  <c r="AE32" i="2"/>
  <c r="AE42" i="2"/>
  <c r="Q63" i="2"/>
  <c r="AE26" i="2"/>
  <c r="AE47" i="2"/>
  <c r="AE21" i="2"/>
  <c r="AE18" i="2"/>
  <c r="AE6" i="2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Q72" i="2"/>
  <c r="R63" i="2"/>
  <c r="AE62" i="2"/>
  <c r="AE40" i="2"/>
  <c r="AE46" i="2"/>
  <c r="AE61" i="2"/>
  <c r="AF61" i="2" s="1"/>
  <c r="AF63" i="2" s="1"/>
  <c r="AE57" i="2"/>
  <c r="AE39" i="2"/>
  <c r="AE23" i="2"/>
  <c r="AE38" i="2"/>
  <c r="AE43" i="2"/>
  <c r="AE15" i="2"/>
  <c r="AE72" i="2"/>
  <c r="AF3" i="2"/>
  <c r="I64" i="2"/>
  <c r="I83" i="2"/>
  <c r="AE7" i="2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E45" i="2"/>
  <c r="R80" i="2"/>
  <c r="H83" i="2"/>
  <c r="Q81" i="2"/>
  <c r="AE16" i="2"/>
  <c r="AE56" i="2"/>
  <c r="G64" i="2"/>
  <c r="G66" i="2" s="1"/>
  <c r="G68" i="2" s="1"/>
  <c r="G69" i="2" s="1"/>
  <c r="R44" i="2"/>
  <c r="AE44" i="2" s="1"/>
  <c r="AE8" i="2"/>
  <c r="Q9" i="2"/>
  <c r="Q58" i="2" s="1"/>
  <c r="Q79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J67" i="2"/>
  <c r="AC67" i="2" s="1"/>
  <c r="N67" i="2"/>
  <c r="J63" i="2"/>
  <c r="N63" i="2"/>
  <c r="J4" i="2"/>
  <c r="AC4" i="2" s="1"/>
  <c r="N4" i="2"/>
  <c r="J5" i="2"/>
  <c r="J58" i="2" s="1"/>
  <c r="N5" i="2"/>
  <c r="K67" i="2"/>
  <c r="O67" i="2"/>
  <c r="O65" i="2"/>
  <c r="AE65" i="2" s="1"/>
  <c r="L4" i="1"/>
  <c r="L7" i="1" s="1"/>
  <c r="K63" i="2"/>
  <c r="O63" i="2"/>
  <c r="O58" i="2"/>
  <c r="O60" i="2" s="1"/>
  <c r="O83" i="2" s="1"/>
  <c r="K4" i="2"/>
  <c r="AD4" i="2" s="1"/>
  <c r="AD58" i="2" s="1"/>
  <c r="AD60" i="2" s="1"/>
  <c r="O4" i="2"/>
  <c r="M58" i="2"/>
  <c r="L58" i="2"/>
  <c r="O11" i="2"/>
  <c r="K11" i="2"/>
  <c r="AD11" i="2" s="1"/>
  <c r="O5" i="2"/>
  <c r="O74" i="2" s="1"/>
  <c r="K5" i="2"/>
  <c r="AD5" i="2" s="1"/>
  <c r="AD67" i="2" l="1"/>
  <c r="R5" i="2"/>
  <c r="N74" i="2"/>
  <c r="R4" i="2"/>
  <c r="N73" i="2"/>
  <c r="N58" i="2"/>
  <c r="N60" i="2" s="1"/>
  <c r="N83" i="2" s="1"/>
  <c r="H85" i="2"/>
  <c r="H84" i="2"/>
  <c r="K58" i="2"/>
  <c r="O73" i="2"/>
  <c r="AC5" i="2"/>
  <c r="AC58" i="2" s="1"/>
  <c r="AC60" i="2" s="1"/>
  <c r="AC83" i="2" s="1"/>
  <c r="AD64" i="2"/>
  <c r="AD83" i="2"/>
  <c r="J60" i="2"/>
  <c r="J83" i="2" s="1"/>
  <c r="AE63" i="2"/>
  <c r="AG61" i="2"/>
  <c r="AG63" i="2" s="1"/>
  <c r="L60" i="2"/>
  <c r="L79" i="2"/>
  <c r="I66" i="2"/>
  <c r="I84" i="2"/>
  <c r="AH61" i="2"/>
  <c r="M60" i="2"/>
  <c r="M83" i="2" s="1"/>
  <c r="M79" i="2"/>
  <c r="R9" i="2"/>
  <c r="R58" i="2" s="1"/>
  <c r="R60" i="2" s="1"/>
  <c r="R83" i="2" s="1"/>
  <c r="AG3" i="2"/>
  <c r="AF72" i="2"/>
  <c r="AF8" i="2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K60" i="2"/>
  <c r="K83" i="2" s="1"/>
  <c r="O79" i="2"/>
  <c r="Q60" i="2"/>
  <c r="Q64" i="2" s="1"/>
  <c r="P79" i="2"/>
  <c r="P64" i="2"/>
  <c r="O64" i="2"/>
  <c r="N64" i="2" l="1"/>
  <c r="N79" i="2"/>
  <c r="R73" i="2"/>
  <c r="AE4" i="2"/>
  <c r="AF4" i="2" s="1"/>
  <c r="AG4" i="2" s="1"/>
  <c r="AH4" i="2" s="1"/>
  <c r="AI4" i="2" s="1"/>
  <c r="AJ4" i="2" s="1"/>
  <c r="J64" i="2"/>
  <c r="J66" i="2" s="1"/>
  <c r="R74" i="2"/>
  <c r="AE5" i="2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C64" i="2"/>
  <c r="AC84" i="2"/>
  <c r="AC66" i="2"/>
  <c r="AD66" i="2"/>
  <c r="AD84" i="2"/>
  <c r="AE9" i="2"/>
  <c r="AH63" i="2"/>
  <c r="AI61" i="2"/>
  <c r="R79" i="2"/>
  <c r="K64" i="2"/>
  <c r="K66" i="2" s="1"/>
  <c r="AH3" i="2"/>
  <c r="AG72" i="2"/>
  <c r="J84" i="2"/>
  <c r="Q59" i="2"/>
  <c r="R64" i="2"/>
  <c r="R84" i="2" s="1"/>
  <c r="M64" i="2"/>
  <c r="Q83" i="2"/>
  <c r="I68" i="2"/>
  <c r="I69" i="2" s="1"/>
  <c r="I85" i="2"/>
  <c r="R59" i="2"/>
  <c r="N66" i="2"/>
  <c r="N84" i="2"/>
  <c r="L83" i="2"/>
  <c r="L64" i="2"/>
  <c r="P84" i="2"/>
  <c r="P66" i="2"/>
  <c r="P68" i="2" s="1"/>
  <c r="P69" i="2" s="1"/>
  <c r="Q84" i="2"/>
  <c r="Q66" i="2"/>
  <c r="Q67" i="2" s="1"/>
  <c r="Q85" i="2" s="1"/>
  <c r="O66" i="2"/>
  <c r="O84" i="2"/>
  <c r="AE59" i="2" l="1"/>
  <c r="K84" i="2"/>
  <c r="AC85" i="2"/>
  <c r="AC68" i="2"/>
  <c r="AC69" i="2" s="1"/>
  <c r="AD68" i="2"/>
  <c r="AD69" i="2" s="1"/>
  <c r="AD85" i="2"/>
  <c r="AF9" i="2"/>
  <c r="AE58" i="2"/>
  <c r="AE79" i="2" s="1"/>
  <c r="M66" i="2"/>
  <c r="M84" i="2"/>
  <c r="AI3" i="2"/>
  <c r="AH72" i="2"/>
  <c r="R66" i="2"/>
  <c r="N68" i="2"/>
  <c r="N69" i="2" s="1"/>
  <c r="N85" i="2"/>
  <c r="J68" i="2"/>
  <c r="J69" i="2" s="1"/>
  <c r="J85" i="2"/>
  <c r="L66" i="2"/>
  <c r="L84" i="2"/>
  <c r="AJ61" i="2"/>
  <c r="AI63" i="2"/>
  <c r="AK4" i="2"/>
  <c r="K68" i="2"/>
  <c r="K69" i="2" s="1"/>
  <c r="K85" i="2"/>
  <c r="P85" i="2"/>
  <c r="Q68" i="2"/>
  <c r="O68" i="2"/>
  <c r="O69" i="2" s="1"/>
  <c r="O85" i="2"/>
  <c r="Q69" i="2" l="1"/>
  <c r="Q88" i="2"/>
  <c r="AG9" i="2"/>
  <c r="AF58" i="2"/>
  <c r="AE60" i="2"/>
  <c r="L68" i="2"/>
  <c r="L69" i="2" s="1"/>
  <c r="L85" i="2"/>
  <c r="AI72" i="2"/>
  <c r="AJ3" i="2"/>
  <c r="R67" i="2"/>
  <c r="M68" i="2"/>
  <c r="M69" i="2" s="1"/>
  <c r="M85" i="2"/>
  <c r="AJ63" i="2"/>
  <c r="AK61" i="2"/>
  <c r="AL4" i="2"/>
  <c r="AE64" i="2" l="1"/>
  <c r="AE83" i="2"/>
  <c r="AF60" i="2"/>
  <c r="AF79" i="2"/>
  <c r="AH9" i="2"/>
  <c r="AG58" i="2"/>
  <c r="AK63" i="2"/>
  <c r="AL61" i="2"/>
  <c r="R85" i="2"/>
  <c r="AE67" i="2"/>
  <c r="R68" i="2"/>
  <c r="R69" i="2" s="1"/>
  <c r="AJ72" i="2"/>
  <c r="AK3" i="2"/>
  <c r="AM4" i="2"/>
  <c r="R88" i="2" l="1"/>
  <c r="AE88" i="2" s="1"/>
  <c r="AG60" i="2"/>
  <c r="AG59" i="2" s="1"/>
  <c r="AG79" i="2"/>
  <c r="AI9" i="2"/>
  <c r="AH58" i="2"/>
  <c r="AF59" i="2"/>
  <c r="AF83" i="2"/>
  <c r="AF64" i="2"/>
  <c r="AE66" i="2"/>
  <c r="AE68" i="2" s="1"/>
  <c r="AE69" i="2" s="1"/>
  <c r="AE84" i="2"/>
  <c r="AM61" i="2"/>
  <c r="AL63" i="2"/>
  <c r="AK72" i="2"/>
  <c r="AL3" i="2"/>
  <c r="AN4" i="2"/>
  <c r="AF84" i="2" l="1"/>
  <c r="AF66" i="2"/>
  <c r="AF67" i="2" s="1"/>
  <c r="AF85" i="2" s="1"/>
  <c r="AH60" i="2"/>
  <c r="AH79" i="2"/>
  <c r="AE85" i="2"/>
  <c r="AJ9" i="2"/>
  <c r="AI58" i="2"/>
  <c r="AG83" i="2"/>
  <c r="AG64" i="2"/>
  <c r="AL72" i="2"/>
  <c r="AM3" i="2"/>
  <c r="AM63" i="2"/>
  <c r="AN61" i="2"/>
  <c r="AO4" i="2"/>
  <c r="AF68" i="2" l="1"/>
  <c r="AF88" i="2" s="1"/>
  <c r="AF69" i="2"/>
  <c r="AI60" i="2"/>
  <c r="AI59" i="2" s="1"/>
  <c r="AI79" i="2"/>
  <c r="AG66" i="2"/>
  <c r="AG84" i="2"/>
  <c r="AK9" i="2"/>
  <c r="AL9" i="2" s="1"/>
  <c r="AM9" i="2" s="1"/>
  <c r="AN9" i="2" s="1"/>
  <c r="AO9" i="2" s="1"/>
  <c r="AP9" i="2" s="1"/>
  <c r="AQ9" i="2" s="1"/>
  <c r="AR9" i="2" s="1"/>
  <c r="AS9" i="2" s="1"/>
  <c r="AJ58" i="2"/>
  <c r="AH59" i="2"/>
  <c r="AH64" i="2"/>
  <c r="AH83" i="2"/>
  <c r="AN63" i="2"/>
  <c r="AO61" i="2"/>
  <c r="AM72" i="2"/>
  <c r="AN3" i="2"/>
  <c r="AP4" i="2"/>
  <c r="AH84" i="2" l="1"/>
  <c r="AH66" i="2"/>
  <c r="AJ60" i="2"/>
  <c r="AJ59" i="2" s="1"/>
  <c r="AJ79" i="2"/>
  <c r="AG67" i="2"/>
  <c r="AG85" i="2" s="1"/>
  <c r="AK58" i="2"/>
  <c r="AI83" i="2"/>
  <c r="AI64" i="2"/>
  <c r="AN72" i="2"/>
  <c r="AO3" i="2"/>
  <c r="AP61" i="2"/>
  <c r="AO63" i="2"/>
  <c r="AQ4" i="2"/>
  <c r="AI66" i="2" l="1"/>
  <c r="AI84" i="2"/>
  <c r="AL58" i="2"/>
  <c r="AK60" i="2"/>
  <c r="AK59" i="2" s="1"/>
  <c r="AG68" i="2"/>
  <c r="AJ64" i="2"/>
  <c r="AJ83" i="2"/>
  <c r="AH67" i="2"/>
  <c r="AH85" i="2" s="1"/>
  <c r="AP63" i="2"/>
  <c r="AQ61" i="2"/>
  <c r="AO72" i="2"/>
  <c r="AP3" i="2"/>
  <c r="AR4" i="2"/>
  <c r="AG69" i="2" l="1"/>
  <c r="AG88" i="2"/>
  <c r="AH68" i="2"/>
  <c r="AH69" i="2" s="1"/>
  <c r="AK64" i="2"/>
  <c r="AK83" i="2"/>
  <c r="AL60" i="2"/>
  <c r="AL59" i="2" s="1"/>
  <c r="AM58" i="2"/>
  <c r="AJ84" i="2"/>
  <c r="AJ66" i="2"/>
  <c r="AI67" i="2"/>
  <c r="AI85" i="2" s="1"/>
  <c r="AP72" i="2"/>
  <c r="AQ3" i="2"/>
  <c r="AQ63" i="2"/>
  <c r="AR61" i="2"/>
  <c r="AS4" i="2"/>
  <c r="AH88" i="2" l="1"/>
  <c r="AI68" i="2"/>
  <c r="AI69" i="2" s="1"/>
  <c r="AM60" i="2"/>
  <c r="AM59" i="2" s="1"/>
  <c r="AN58" i="2"/>
  <c r="AJ67" i="2"/>
  <c r="AJ85" i="2" s="1"/>
  <c r="AL64" i="2"/>
  <c r="AL83" i="2"/>
  <c r="AK66" i="2"/>
  <c r="AK84" i="2"/>
  <c r="AS61" i="2"/>
  <c r="AS63" i="2" s="1"/>
  <c r="AR63" i="2"/>
  <c r="AQ72" i="2"/>
  <c r="AR3" i="2"/>
  <c r="AI88" i="2" l="1"/>
  <c r="AJ68" i="2"/>
  <c r="AJ69" i="2" s="1"/>
  <c r="AK67" i="2"/>
  <c r="AK85" i="2" s="1"/>
  <c r="AL66" i="2"/>
  <c r="AL84" i="2"/>
  <c r="AN60" i="2"/>
  <c r="AN59" i="2" s="1"/>
  <c r="AO58" i="2"/>
  <c r="AM64" i="2"/>
  <c r="AM83" i="2"/>
  <c r="AR72" i="2"/>
  <c r="AS3" i="2"/>
  <c r="AJ88" i="2" l="1"/>
  <c r="AM66" i="2"/>
  <c r="AM84" i="2"/>
  <c r="AP58" i="2"/>
  <c r="AN64" i="2"/>
  <c r="AN83" i="2"/>
  <c r="AL67" i="2"/>
  <c r="AL85" i="2" s="1"/>
  <c r="AK68" i="2"/>
  <c r="AK69" i="2" s="1"/>
  <c r="AO60" i="2"/>
  <c r="AO59" i="2" s="1"/>
  <c r="AS72" i="2"/>
  <c r="AK88" i="2" l="1"/>
  <c r="AL68" i="2"/>
  <c r="AL69" i="2" s="1"/>
  <c r="AN66" i="2"/>
  <c r="AN84" i="2"/>
  <c r="AP60" i="2"/>
  <c r="AP59" i="2" s="1"/>
  <c r="AQ58" i="2"/>
  <c r="AO83" i="2"/>
  <c r="AO64" i="2"/>
  <c r="AM67" i="2"/>
  <c r="AM85" i="2" s="1"/>
  <c r="AL88" i="2" l="1"/>
  <c r="AM68" i="2"/>
  <c r="AM69" i="2" s="1"/>
  <c r="AO66" i="2"/>
  <c r="AO84" i="2"/>
  <c r="AQ60" i="2"/>
  <c r="AQ59" i="2"/>
  <c r="AS58" i="2"/>
  <c r="AS60" i="2" s="1"/>
  <c r="AS83" i="2" s="1"/>
  <c r="AR58" i="2"/>
  <c r="AP83" i="2"/>
  <c r="AP64" i="2"/>
  <c r="AN67" i="2"/>
  <c r="AN85" i="2" s="1"/>
  <c r="AS64" i="2" l="1"/>
  <c r="AS59" i="2"/>
  <c r="AM88" i="2"/>
  <c r="AN68" i="2"/>
  <c r="AN69" i="2" s="1"/>
  <c r="AR60" i="2"/>
  <c r="AR59" i="2" s="1"/>
  <c r="AP84" i="2"/>
  <c r="AP66" i="2"/>
  <c r="AQ83" i="2"/>
  <c r="AQ64" i="2"/>
  <c r="AO67" i="2"/>
  <c r="AO85" i="2" s="1"/>
  <c r="AS84" i="2"/>
  <c r="AS66" i="2"/>
  <c r="AN88" i="2" l="1"/>
  <c r="AO68" i="2"/>
  <c r="AO69" i="2" s="1"/>
  <c r="AQ66" i="2"/>
  <c r="AQ84" i="2"/>
  <c r="AP67" i="2"/>
  <c r="AP85" i="2" s="1"/>
  <c r="AR83" i="2"/>
  <c r="AR64" i="2"/>
  <c r="AS67" i="2"/>
  <c r="AS85" i="2" s="1"/>
  <c r="AO88" i="2" l="1"/>
  <c r="AS68" i="2"/>
  <c r="AS69" i="2" s="1"/>
  <c r="AR84" i="2"/>
  <c r="AR66" i="2"/>
  <c r="AP68" i="2"/>
  <c r="AP69" i="2" s="1"/>
  <c r="AQ67" i="2"/>
  <c r="AQ85" i="2" s="1"/>
  <c r="AQ68" i="2"/>
  <c r="AQ69" i="2" s="1"/>
  <c r="AP88" i="2" l="1"/>
  <c r="AQ88" i="2" s="1"/>
  <c r="AR67" i="2"/>
  <c r="AR85" i="2" s="1"/>
  <c r="AR68" i="2" l="1"/>
  <c r="AR69" i="2" s="1"/>
  <c r="AR88" i="2" l="1"/>
  <c r="AS88" i="2" s="1"/>
</calcChain>
</file>

<file path=xl/comments1.xml><?xml version="1.0" encoding="utf-8"?>
<comments xmlns="http://schemas.openxmlformats.org/spreadsheetml/2006/main">
  <authors>
    <author>Martin Shkreli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Decline due to the capture of the adult cohort in late 2014</t>
        </r>
      </text>
    </comment>
    <comment ref="AL9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1/22/2023 LOE Orange Book</t>
        </r>
      </text>
    </comment>
    <comment ref="H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12702 non-gaap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12296 non-GAAP</t>
        </r>
      </text>
    </comment>
    <comment ref="J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13118 reported</t>
        </r>
      </text>
    </comment>
    <comment ref="K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10864 reported total (rounding)</t>
        </r>
      </text>
    </comment>
    <comment ref="L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11853 non-gaap</t>
        </r>
      </text>
    </comment>
    <comment ref="M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12087 reported revenue</t>
        </r>
      </text>
    </comment>
    <comment ref="N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14047 reported</t>
        </r>
      </text>
    </comment>
    <comment ref="O5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13005 reported total (rounding)</t>
        </r>
      </text>
    </comment>
  </commentList>
</comments>
</file>

<file path=xl/sharedStrings.xml><?xml version="1.0" encoding="utf-8"?>
<sst xmlns="http://schemas.openxmlformats.org/spreadsheetml/2006/main" count="449" uniqueCount="311">
  <si>
    <t>Price</t>
  </si>
  <si>
    <t>Shares</t>
  </si>
  <si>
    <t>MC</t>
  </si>
  <si>
    <t>Cash</t>
  </si>
  <si>
    <t>Debt</t>
  </si>
  <si>
    <t>EV</t>
  </si>
  <si>
    <t>Main</t>
  </si>
  <si>
    <t>Lyrica</t>
  </si>
  <si>
    <t>Q114</t>
  </si>
  <si>
    <t>Q214</t>
  </si>
  <si>
    <t>Q314</t>
  </si>
  <si>
    <t>Q414</t>
  </si>
  <si>
    <t>Q115</t>
  </si>
  <si>
    <t>Q215</t>
  </si>
  <si>
    <t>Q315</t>
  </si>
  <si>
    <t>Q316</t>
  </si>
  <si>
    <t>Q415</t>
  </si>
  <si>
    <t>Q116</t>
  </si>
  <si>
    <t>Q216</t>
  </si>
  <si>
    <t>Q416</t>
  </si>
  <si>
    <t>Enbrel</t>
  </si>
  <si>
    <t>Viagra</t>
  </si>
  <si>
    <t>Chantix</t>
  </si>
  <si>
    <t>Xeljanz</t>
  </si>
  <si>
    <t>BeneFIX</t>
  </si>
  <si>
    <t>Refacto AF/Xyntha</t>
  </si>
  <si>
    <t>Genotropin</t>
  </si>
  <si>
    <t>Toviaz</t>
  </si>
  <si>
    <t>Somavert</t>
  </si>
  <si>
    <t>BMP2</t>
  </si>
  <si>
    <t>Rapamune</t>
  </si>
  <si>
    <t>Alliance</t>
  </si>
  <si>
    <t>GIP</t>
  </si>
  <si>
    <t>Prevnar</t>
  </si>
  <si>
    <t>Ibrance</t>
  </si>
  <si>
    <t>Sutent</t>
  </si>
  <si>
    <t>Xalkori</t>
  </si>
  <si>
    <t>Inlyta</t>
  </si>
  <si>
    <t>Other VO</t>
  </si>
  <si>
    <t>Consumer</t>
  </si>
  <si>
    <t>Lipitor</t>
  </si>
  <si>
    <t>Premarin</t>
  </si>
  <si>
    <t>Norvasc</t>
  </si>
  <si>
    <t>EpiPen</t>
  </si>
  <si>
    <t>Xalatan</t>
  </si>
  <si>
    <t>Zithromax</t>
  </si>
  <si>
    <t>Zoloft</t>
  </si>
  <si>
    <t>Relpax</t>
  </si>
  <si>
    <t>Effexor</t>
  </si>
  <si>
    <t>Tikosyn</t>
  </si>
  <si>
    <t>Xanax</t>
  </si>
  <si>
    <t>Cardura</t>
  </si>
  <si>
    <t>Neurontin</t>
  </si>
  <si>
    <t>Established</t>
  </si>
  <si>
    <t>Pristiq</t>
  </si>
  <si>
    <t>Celebrex</t>
  </si>
  <si>
    <t>Vfend</t>
  </si>
  <si>
    <t>Zyvox</t>
  </si>
  <si>
    <t>Revatio</t>
  </si>
  <si>
    <t>Medrol</t>
  </si>
  <si>
    <t>Sulperazon</t>
  </si>
  <si>
    <t>Fragmin</t>
  </si>
  <si>
    <t>Tygacil</t>
  </si>
  <si>
    <t>Injectables</t>
  </si>
  <si>
    <t>Infusion Systems</t>
  </si>
  <si>
    <t>Biosimilars</t>
  </si>
  <si>
    <t>CentreOne</t>
  </si>
  <si>
    <t>Revenue</t>
  </si>
  <si>
    <t>COGS</t>
  </si>
  <si>
    <t>Gross Profit</t>
  </si>
  <si>
    <t>SG&amp;A</t>
  </si>
  <si>
    <t>R&amp;D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</si>
  <si>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</si>
  <si>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</si>
  <si>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</si>
  <si>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</si>
  <si>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</si>
  <si>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</si>
  <si>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</si>
  <si>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9/3/2015: Hospira acquisition</t>
  </si>
  <si>
    <t>TicoVac?</t>
  </si>
  <si>
    <t>Diflucan</t>
  </si>
  <si>
    <t>Depo-Provera</t>
  </si>
  <si>
    <t>Unasyn</t>
  </si>
  <si>
    <t>Brand</t>
  </si>
  <si>
    <t>Generic</t>
  </si>
  <si>
    <t>palbociclib</t>
  </si>
  <si>
    <t>Indication</t>
  </si>
  <si>
    <t>mBC</t>
  </si>
  <si>
    <t>Approval</t>
  </si>
  <si>
    <t>avelumab</t>
  </si>
  <si>
    <t>MOA</t>
  </si>
  <si>
    <t>PDL1 mab</t>
  </si>
  <si>
    <t>bococizumab</t>
  </si>
  <si>
    <t>PCKS9 mab</t>
  </si>
  <si>
    <t>dacomitinib</t>
  </si>
  <si>
    <t>HER2 TKI</t>
  </si>
  <si>
    <t>ertugliflozin</t>
  </si>
  <si>
    <t>MRK</t>
  </si>
  <si>
    <t>SGLT2</t>
  </si>
  <si>
    <t>Q113</t>
  </si>
  <si>
    <t>Q213</t>
  </si>
  <si>
    <t>Q313</t>
  </si>
  <si>
    <t>Q413</t>
  </si>
  <si>
    <t>Hyperlipidemia</t>
  </si>
  <si>
    <t>Phase</t>
  </si>
  <si>
    <t>III</t>
  </si>
  <si>
    <t>Economics</t>
  </si>
  <si>
    <t>PF-04950615/RN316</t>
  </si>
  <si>
    <t>PF-04971729</t>
  </si>
  <si>
    <t>Type 2 Diabetes</t>
  </si>
  <si>
    <t>PF-06291874</t>
  </si>
  <si>
    <t>II</t>
  </si>
  <si>
    <t>Glucagon R antagonist</t>
  </si>
  <si>
    <t>PF-06282999</t>
  </si>
  <si>
    <t>ACS</t>
  </si>
  <si>
    <t>PF-06293620</t>
  </si>
  <si>
    <t>Biologic</t>
  </si>
  <si>
    <t>PF-06427878</t>
  </si>
  <si>
    <t>PF-06815345</t>
  </si>
  <si>
    <t>I</t>
  </si>
  <si>
    <t>tofacitinib</t>
  </si>
  <si>
    <t>JAK</t>
  </si>
  <si>
    <t>RA</t>
  </si>
  <si>
    <t>pregabalin</t>
  </si>
  <si>
    <t>Pain</t>
  </si>
  <si>
    <t>alpha-2-delta</t>
  </si>
  <si>
    <t>crizotinib</t>
  </si>
  <si>
    <t>NSCLC</t>
  </si>
  <si>
    <t>Dekavil</t>
  </si>
  <si>
    <t>Philogen</t>
  </si>
  <si>
    <t>IL-10</t>
  </si>
  <si>
    <t>PF-00547659</t>
  </si>
  <si>
    <t>Crohn's</t>
  </si>
  <si>
    <t>PF-04236921</t>
  </si>
  <si>
    <t>IL-6 inhibitor</t>
  </si>
  <si>
    <t>MAdCAM inhibitor</t>
  </si>
  <si>
    <t>PF-06342674</t>
  </si>
  <si>
    <t>Type 1 Diabetes</t>
  </si>
  <si>
    <t>PF-06480605</t>
  </si>
  <si>
    <t>PF-06650833</t>
  </si>
  <si>
    <t>Lupus</t>
  </si>
  <si>
    <t>PF-06651600</t>
  </si>
  <si>
    <t>PF-06700841</t>
  </si>
  <si>
    <t>ALO-02</t>
  </si>
  <si>
    <t>oxycodone-naltrexone</t>
  </si>
  <si>
    <t>Filed</t>
  </si>
  <si>
    <t>MOR-1 agonist</t>
  </si>
  <si>
    <t>tanezumab</t>
  </si>
  <si>
    <t>OA</t>
  </si>
  <si>
    <t>NGF antibody</t>
  </si>
  <si>
    <t>PF-02545920</t>
  </si>
  <si>
    <t>Huntington's</t>
  </si>
  <si>
    <t>PDE10 inhibitor</t>
  </si>
  <si>
    <t>PF-06372865</t>
  </si>
  <si>
    <t>Epilepsy</t>
  </si>
  <si>
    <t>GABA-A Agonist</t>
  </si>
  <si>
    <t>PF-06649751</t>
  </si>
  <si>
    <t>Parkinson's</t>
  </si>
  <si>
    <t>Dopamine</t>
  </si>
  <si>
    <t>PF-04958242</t>
  </si>
  <si>
    <t>Schizophrenia</t>
  </si>
  <si>
    <t>PF-06266047</t>
  </si>
  <si>
    <t>PF-05251749</t>
  </si>
  <si>
    <t>Alzheimer's</t>
  </si>
  <si>
    <t>PF-06648671</t>
  </si>
  <si>
    <t>PF-06751979</t>
  </si>
  <si>
    <t>PF-06412562</t>
  </si>
  <si>
    <t>Cognitive Disorder</t>
  </si>
  <si>
    <t>PF-06669571</t>
  </si>
  <si>
    <t>PF-06834635</t>
  </si>
  <si>
    <t>NSCLC, GC, OC, RCC</t>
  </si>
  <si>
    <t>MRK GR</t>
  </si>
  <si>
    <t>PF-00299804</t>
  </si>
  <si>
    <t>Bosulif</t>
  </si>
  <si>
    <t>bosutinib</t>
  </si>
  <si>
    <t>CML</t>
  </si>
  <si>
    <t>Abl/src TKI</t>
  </si>
  <si>
    <t>axitinib</t>
  </si>
  <si>
    <t>sunitinib</t>
  </si>
  <si>
    <t>RCC</t>
  </si>
  <si>
    <t>inotuzumab ozogamicin</t>
  </si>
  <si>
    <t>ALL</t>
  </si>
  <si>
    <t>CD22</t>
  </si>
  <si>
    <t>glasdegib</t>
  </si>
  <si>
    <t>PF-04449913</t>
  </si>
  <si>
    <t>Cancer, AML</t>
  </si>
  <si>
    <t>SMO antagonist</t>
  </si>
  <si>
    <t>PF-06463922</t>
  </si>
  <si>
    <t>lorlatinib</t>
  </si>
  <si>
    <t>ALK</t>
  </si>
  <si>
    <t>PF-05212384</t>
  </si>
  <si>
    <t>gedatolisib</t>
  </si>
  <si>
    <t>Cancer</t>
  </si>
  <si>
    <t>PF-04136309</t>
  </si>
  <si>
    <t>PF-05082566</t>
  </si>
  <si>
    <t>PF-06647020</t>
  </si>
  <si>
    <t>PF-06647263</t>
  </si>
  <si>
    <t>PF-06650808</t>
  </si>
  <si>
    <t>PF-06747775</t>
  </si>
  <si>
    <t>PF-06801591</t>
  </si>
  <si>
    <t>tafamidis meglumine</t>
  </si>
  <si>
    <t>TTR</t>
  </si>
  <si>
    <t>PF-06836922/MOD-4023</t>
  </si>
  <si>
    <t>AGHD</t>
  </si>
  <si>
    <t>GH agonist</t>
  </si>
  <si>
    <t>Vyndaqel</t>
  </si>
  <si>
    <t>PF-06252616</t>
  </si>
  <si>
    <t>DMD</t>
  </si>
  <si>
    <t>Myostatin</t>
  </si>
  <si>
    <t>PF-06838435</t>
  </si>
  <si>
    <t>Hemophilia</t>
  </si>
  <si>
    <t>FIX</t>
  </si>
  <si>
    <t>PF-04447943</t>
  </si>
  <si>
    <t>Sickle Cell</t>
  </si>
  <si>
    <t>PF-05230907</t>
  </si>
  <si>
    <t>PF-06741086</t>
  </si>
  <si>
    <t>ICH</t>
  </si>
  <si>
    <t>Trumenba/MnB rLP2086</t>
  </si>
  <si>
    <t>Meningitis</t>
  </si>
  <si>
    <t>Vaccine</t>
  </si>
  <si>
    <t>SA4Ag/PF-06290510</t>
  </si>
  <si>
    <t>PF-06425090</t>
  </si>
  <si>
    <t>C. difficile</t>
  </si>
  <si>
    <t>S. aureus</t>
  </si>
  <si>
    <t>PF-06753512</t>
  </si>
  <si>
    <t>PF-05402536</t>
  </si>
  <si>
    <t>Smoking Cessation</t>
  </si>
  <si>
    <t>HRPC</t>
  </si>
  <si>
    <t>Retacrit</t>
  </si>
  <si>
    <t>epotein alfa</t>
  </si>
  <si>
    <t>Anemia</t>
  </si>
  <si>
    <t>Biosimilar</t>
  </si>
  <si>
    <t>PF-05280014/Herceptin</t>
  </si>
  <si>
    <t>HER2 BC</t>
  </si>
  <si>
    <t>PF-05280586/Rituxan</t>
  </si>
  <si>
    <t>PF-06410293/Humira</t>
  </si>
  <si>
    <t>PF-06438179/Remicade</t>
  </si>
  <si>
    <t>PF-06439535/Avastin</t>
  </si>
  <si>
    <t>FL</t>
  </si>
  <si>
    <t>filgrastim</t>
  </si>
  <si>
    <t>Neutropenia</t>
  </si>
  <si>
    <t>PF-05206388</t>
  </si>
  <si>
    <t>AMD</t>
  </si>
  <si>
    <t>Discontinuations</t>
  </si>
  <si>
    <t>PF-00489791, PDE5, DN</t>
  </si>
  <si>
    <t>PF-04171327, GR, RA</t>
  </si>
  <si>
    <t>ponezumab/PF-04360365, beta-amyloid, CAA</t>
  </si>
  <si>
    <t>PF-06664178, NSCLC</t>
  </si>
  <si>
    <t>PFE ROW, AMGN US</t>
  </si>
  <si>
    <t>TNF-alpha</t>
  </si>
  <si>
    <t>etanercept</t>
  </si>
  <si>
    <t>Revenue Growth</t>
  </si>
  <si>
    <t>Gross Margin</t>
  </si>
  <si>
    <t>SG&amp;A Growth</t>
  </si>
  <si>
    <t>R&amp;D Growth</t>
  </si>
  <si>
    <t>Operating Margin</t>
  </si>
  <si>
    <t>Tax Rate</t>
  </si>
  <si>
    <t>Prevnar Growth</t>
  </si>
  <si>
    <t>Established Growth</t>
  </si>
  <si>
    <t>Lyrica Growth</t>
  </si>
  <si>
    <t>Consumer Growth</t>
  </si>
  <si>
    <t>Enbrel Growth</t>
  </si>
  <si>
    <t>Q117</t>
  </si>
  <si>
    <t>Q217</t>
  </si>
  <si>
    <t>Q317</t>
  </si>
  <si>
    <t>Q417</t>
  </si>
  <si>
    <t>Other Rare</t>
  </si>
  <si>
    <t>Other I&amp;I</t>
  </si>
  <si>
    <t>Other IM</t>
  </si>
  <si>
    <t>Net Cash</t>
  </si>
  <si>
    <t>A/R</t>
  </si>
  <si>
    <t>Inventories</t>
  </si>
  <si>
    <t>OCA</t>
  </si>
  <si>
    <t>PP&amp;E</t>
  </si>
  <si>
    <t>Goodwill</t>
  </si>
  <si>
    <t>ONCA</t>
  </si>
  <si>
    <t>Assets</t>
  </si>
  <si>
    <t>A/P</t>
  </si>
  <si>
    <t>Dividends</t>
  </si>
  <si>
    <t>Compensation</t>
  </si>
  <si>
    <t>OCL</t>
  </si>
  <si>
    <t>Pension</t>
  </si>
  <si>
    <t>ONCL</t>
  </si>
  <si>
    <t>L</t>
  </si>
  <si>
    <t>S/E</t>
  </si>
  <si>
    <t>L+S/E</t>
  </si>
  <si>
    <t>Prevnar/Prevnar 13</t>
  </si>
  <si>
    <t>IP</t>
  </si>
  <si>
    <t>Admin</t>
  </si>
  <si>
    <t>IM</t>
  </si>
  <si>
    <t>Oral</t>
  </si>
  <si>
    <t>S. pneumoniae</t>
  </si>
  <si>
    <t>CDK4/6</t>
  </si>
  <si>
    <t>Xeljanz Growth</t>
  </si>
  <si>
    <t>Brand Name</t>
  </si>
  <si>
    <t>Prevnar, Prevnar 13, Prevenar</t>
  </si>
  <si>
    <t>DGAT2 inhibitor</t>
  </si>
  <si>
    <t>BACE1/2 inhibitor</t>
  </si>
  <si>
    <t>MPO inhibitor</t>
  </si>
  <si>
    <t>gamma secretase modulator</t>
  </si>
  <si>
    <t>KAT II inhibitor</t>
  </si>
  <si>
    <t>D1 agonist</t>
  </si>
  <si>
    <t>AMPA modulator</t>
  </si>
  <si>
    <t>Unknown, KAT II?</t>
  </si>
  <si>
    <t>The Discovery and Characterization of the α-Amino-3-hydroxy-5-methyl-4-isoxazolepropionic Acid (AMPA) Receptor Potentiator N-{(3S,4S)-4-[4-(5-Cyano-2-thienyl)phenoxy]tetrahydrofuran-3-yl}propane-2-sulfonamide (PF-04958242)</t>
  </si>
  <si>
    <t>AMPA potentiator</t>
  </si>
  <si>
    <t>I/II</t>
  </si>
  <si>
    <t>Schizophrenia, Hearing Loss</t>
  </si>
  <si>
    <t>Papers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</si>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</sst>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0" borderId="0" xfId="0" applyFont="1"/>
    <xf numFmtId="0" fontId="0" fillId="0" borderId="0" xfId="0" applyBorder="1" applyAlignment="1"/>
    <xf numFmtId="3" fontId="0" fillId="2" borderId="0" xfId="0" applyNumberFormat="1" applyFill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 applyBorder="1" applyAlignment="1">
      <alignment horizontal="center"/>
    </xf>
    <xf numFmtId="0" fontId="2" fillId="0" borderId="1" xfId="1" applyBorder="1"/>
    <xf numFmtId="0" fontId="0" fillId="0" borderId="8" xfId="0" applyBorder="1"/>
    <xf numFmtId="0" fontId="0" fillId="0" borderId="2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0</xdr:row>
      <xdr:rowOff>0</xdr:rowOff>
    </xdr:from>
    <xdr:to>
      <xdr:col>16</xdr:col>
      <xdr:colOff>57150</xdr:colOff>
      <xdr:row>114</xdr:row>
      <xdr:rowOff>114300</xdr:rowOff>
    </xdr:to>
    <xdr:cxnSp macro="">
      <xdr:nvCxnSpPr>
        <xdr:cNvPr id="3" name="Straight Connector 2"/>
        <xdr:cNvCxnSpPr/>
      </xdr:nvCxnSpPr>
      <xdr:spPr>
        <a:xfrm>
          <a:off x="10163175" y="0"/>
          <a:ext cx="0" cy="1841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0</xdr:row>
      <xdr:rowOff>38100</xdr:rowOff>
    </xdr:from>
    <xdr:to>
      <xdr:col>30</xdr:col>
      <xdr:colOff>38100</xdr:colOff>
      <xdr:row>85</xdr:row>
      <xdr:rowOff>133350</xdr:rowOff>
    </xdr:to>
    <xdr:cxnSp macro="">
      <xdr:nvCxnSpPr>
        <xdr:cNvPr id="5" name="Straight Connector 4"/>
        <xdr:cNvCxnSpPr/>
      </xdr:nvCxnSpPr>
      <xdr:spPr>
        <a:xfrm>
          <a:off x="18678525" y="38100"/>
          <a:ext cx="0" cy="13858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workbookViewId="0">
      <selection activeCell="D14" sqref="D14"/>
    </sheetView>
  </sheetViews>
  <sheetFormatPr defaultRowHeight="12.75" x14ac:dyDescent="0.2"/>
  <cols>
    <col min="1" max="1" width="7" customWidth="1"/>
    <col min="2" max="2" width="19.85546875" customWidth="1"/>
    <col min="3" max="3" width="12.28515625" customWidth="1"/>
    <col min="4" max="4" width="14.5703125" bestFit="1" customWidth="1"/>
    <col min="6" max="6" width="20.140625" bestFit="1" customWidth="1"/>
    <col min="7" max="7" width="12.42578125" customWidth="1"/>
    <col min="8" max="8" width="10.5703125" customWidth="1"/>
  </cols>
  <sheetData>
    <row r="2" spans="2:13" x14ac:dyDescent="0.2">
      <c r="B2" s="17" t="s">
        <v>84</v>
      </c>
      <c r="C2" s="19" t="s">
        <v>85</v>
      </c>
      <c r="D2" s="19" t="s">
        <v>87</v>
      </c>
      <c r="E2" s="19" t="s">
        <v>89</v>
      </c>
      <c r="F2" s="19" t="s">
        <v>91</v>
      </c>
      <c r="G2" s="19" t="s">
        <v>107</v>
      </c>
      <c r="H2" s="19" t="s">
        <v>288</v>
      </c>
      <c r="I2" s="20" t="s">
        <v>289</v>
      </c>
      <c r="K2" t="s">
        <v>0</v>
      </c>
      <c r="L2">
        <v>34.61</v>
      </c>
    </row>
    <row r="3" spans="2:13" x14ac:dyDescent="0.2">
      <c r="B3" s="36" t="s">
        <v>287</v>
      </c>
      <c r="C3" s="21"/>
      <c r="D3" s="21" t="s">
        <v>292</v>
      </c>
      <c r="E3" s="35">
        <v>40233</v>
      </c>
      <c r="F3" s="21" t="s">
        <v>220</v>
      </c>
      <c r="G3" s="27">
        <v>1</v>
      </c>
      <c r="H3" s="21" t="s">
        <v>220</v>
      </c>
      <c r="I3" s="22" t="s">
        <v>290</v>
      </c>
      <c r="K3" t="s">
        <v>1</v>
      </c>
      <c r="L3" s="2">
        <v>6065.6524239999999</v>
      </c>
      <c r="M3" s="1" t="s">
        <v>18</v>
      </c>
    </row>
    <row r="4" spans="2:13" x14ac:dyDescent="0.2">
      <c r="B4" s="13" t="s">
        <v>34</v>
      </c>
      <c r="C4" s="21" t="s">
        <v>86</v>
      </c>
      <c r="D4" s="21" t="s">
        <v>88</v>
      </c>
      <c r="E4" s="35">
        <v>42038</v>
      </c>
      <c r="F4" s="21" t="s">
        <v>293</v>
      </c>
      <c r="G4" s="27">
        <v>1</v>
      </c>
      <c r="H4" s="35">
        <v>44948</v>
      </c>
      <c r="I4" s="22" t="s">
        <v>291</v>
      </c>
      <c r="K4" t="s">
        <v>2</v>
      </c>
      <c r="L4" s="2">
        <f>+L3*L2</f>
        <v>209932.23039464001</v>
      </c>
    </row>
    <row r="5" spans="2:13" x14ac:dyDescent="0.2">
      <c r="B5" s="13" t="s">
        <v>20</v>
      </c>
      <c r="C5" s="21" t="s">
        <v>251</v>
      </c>
      <c r="D5" s="21" t="s">
        <v>123</v>
      </c>
      <c r="E5" s="35">
        <v>36101</v>
      </c>
      <c r="F5" s="21" t="s">
        <v>250</v>
      </c>
      <c r="G5" s="29" t="s">
        <v>249</v>
      </c>
      <c r="H5" s="21" t="s">
        <v>65</v>
      </c>
      <c r="I5" s="22" t="s">
        <v>290</v>
      </c>
      <c r="K5" t="s">
        <v>3</v>
      </c>
      <c r="L5" s="2">
        <f>3411+17531+13124</f>
        <v>34066</v>
      </c>
      <c r="M5" s="1" t="s">
        <v>18</v>
      </c>
    </row>
    <row r="6" spans="2:13" x14ac:dyDescent="0.2">
      <c r="B6" s="13" t="s">
        <v>23</v>
      </c>
      <c r="C6" s="21" t="s">
        <v>121</v>
      </c>
      <c r="D6" s="21" t="s">
        <v>123</v>
      </c>
      <c r="E6" s="35">
        <v>41219</v>
      </c>
      <c r="F6" s="21" t="s">
        <v>122</v>
      </c>
      <c r="G6" s="27">
        <v>1</v>
      </c>
      <c r="H6" s="35">
        <v>45010</v>
      </c>
      <c r="I6" s="22" t="s">
        <v>291</v>
      </c>
      <c r="K6" t="s">
        <v>4</v>
      </c>
      <c r="L6" s="2">
        <f>13724+30457+5224+1877</f>
        <v>51282</v>
      </c>
      <c r="M6" s="1" t="s">
        <v>18</v>
      </c>
    </row>
    <row r="7" spans="2:13" x14ac:dyDescent="0.2">
      <c r="B7" s="13" t="s">
        <v>7</v>
      </c>
      <c r="C7" s="21" t="s">
        <v>124</v>
      </c>
      <c r="D7" s="21" t="s">
        <v>125</v>
      </c>
      <c r="E7" s="21"/>
      <c r="F7" s="21" t="s">
        <v>126</v>
      </c>
      <c r="G7" s="21"/>
      <c r="H7" s="21"/>
      <c r="I7" s="22"/>
      <c r="K7" t="s">
        <v>5</v>
      </c>
      <c r="L7" s="2">
        <f>+L4-L5+L6</f>
        <v>227148.23039464001</v>
      </c>
    </row>
    <row r="8" spans="2:13" x14ac:dyDescent="0.2">
      <c r="B8" s="13" t="s">
        <v>36</v>
      </c>
      <c r="C8" s="21" t="s">
        <v>127</v>
      </c>
      <c r="D8" s="21" t="s">
        <v>128</v>
      </c>
      <c r="E8" s="21"/>
      <c r="F8" s="21"/>
      <c r="G8" s="21"/>
      <c r="H8" s="21"/>
      <c r="I8" s="22"/>
    </row>
    <row r="9" spans="2:13" x14ac:dyDescent="0.2">
      <c r="B9" s="13" t="s">
        <v>37</v>
      </c>
      <c r="C9" s="21" t="s">
        <v>178</v>
      </c>
      <c r="D9" s="21" t="s">
        <v>180</v>
      </c>
      <c r="E9" s="21"/>
      <c r="F9" s="21"/>
      <c r="G9" s="21"/>
      <c r="H9" s="21"/>
      <c r="I9" s="22"/>
    </row>
    <row r="10" spans="2:13" x14ac:dyDescent="0.2">
      <c r="B10" s="13" t="s">
        <v>35</v>
      </c>
      <c r="C10" s="21" t="s">
        <v>179</v>
      </c>
      <c r="D10" s="21" t="s">
        <v>180</v>
      </c>
      <c r="E10" s="21"/>
      <c r="F10" s="21"/>
      <c r="G10" s="21"/>
      <c r="H10" s="21"/>
      <c r="I10" s="22"/>
    </row>
    <row r="11" spans="2:13" x14ac:dyDescent="0.2">
      <c r="B11" s="13" t="s">
        <v>40</v>
      </c>
      <c r="C11" s="21"/>
      <c r="D11" s="21"/>
      <c r="E11" s="21"/>
      <c r="F11" s="21"/>
      <c r="G11" s="21"/>
      <c r="H11" s="21"/>
      <c r="I11" s="22"/>
    </row>
    <row r="12" spans="2:13" x14ac:dyDescent="0.2">
      <c r="B12" s="13" t="s">
        <v>21</v>
      </c>
      <c r="C12" s="21"/>
      <c r="D12" s="21"/>
      <c r="E12" s="21"/>
      <c r="F12" s="21"/>
      <c r="G12" s="21"/>
      <c r="H12" s="21"/>
      <c r="I12" s="22"/>
    </row>
    <row r="13" spans="2:13" x14ac:dyDescent="0.2">
      <c r="B13" s="13" t="s">
        <v>41</v>
      </c>
      <c r="C13" s="21"/>
      <c r="D13" s="21"/>
      <c r="E13" s="21"/>
      <c r="F13" s="21"/>
      <c r="G13" s="21"/>
      <c r="H13" s="21"/>
      <c r="I13" s="22"/>
    </row>
    <row r="14" spans="2:13" x14ac:dyDescent="0.2">
      <c r="B14" s="13" t="s">
        <v>42</v>
      </c>
      <c r="C14" s="21"/>
      <c r="D14" s="21"/>
      <c r="E14" s="21"/>
      <c r="F14" s="21"/>
      <c r="G14" s="21"/>
      <c r="H14" s="21"/>
      <c r="I14" s="22"/>
    </row>
    <row r="15" spans="2:13" x14ac:dyDescent="0.2">
      <c r="B15" s="13"/>
      <c r="C15" s="21"/>
      <c r="D15" s="21"/>
      <c r="E15" s="21"/>
      <c r="F15" s="21"/>
      <c r="G15" s="21"/>
      <c r="H15" s="21"/>
      <c r="I15" s="22"/>
    </row>
    <row r="16" spans="2:13" x14ac:dyDescent="0.2">
      <c r="B16" s="13"/>
      <c r="C16" s="21"/>
      <c r="D16" s="21"/>
      <c r="E16" s="21"/>
      <c r="F16" s="21"/>
      <c r="G16" s="21"/>
      <c r="H16" s="21"/>
      <c r="I16" s="22"/>
    </row>
    <row r="17" spans="2:9" x14ac:dyDescent="0.2">
      <c r="B17" s="15"/>
      <c r="C17" s="23"/>
      <c r="D17" s="23"/>
      <c r="E17" s="23"/>
      <c r="F17" s="23"/>
      <c r="G17" s="23"/>
      <c r="H17" s="23"/>
      <c r="I17" s="24"/>
    </row>
    <row r="18" spans="2:9" x14ac:dyDescent="0.2">
      <c r="B18" s="17"/>
      <c r="C18" s="18"/>
      <c r="D18" s="18"/>
      <c r="E18" s="19" t="s">
        <v>105</v>
      </c>
      <c r="F18" s="19"/>
      <c r="G18" s="19"/>
      <c r="H18" s="19"/>
      <c r="I18" s="20"/>
    </row>
    <row r="19" spans="2:9" x14ac:dyDescent="0.2">
      <c r="B19" s="13" t="s">
        <v>144</v>
      </c>
      <c r="C19" s="14" t="s">
        <v>145</v>
      </c>
      <c r="D19" s="14" t="s">
        <v>125</v>
      </c>
      <c r="E19" s="21" t="s">
        <v>146</v>
      </c>
      <c r="F19" s="21" t="s">
        <v>147</v>
      </c>
      <c r="G19" s="21"/>
      <c r="H19" s="21"/>
      <c r="I19" s="22"/>
    </row>
    <row r="20" spans="2:9" x14ac:dyDescent="0.2">
      <c r="B20" s="13" t="s">
        <v>206</v>
      </c>
      <c r="C20" s="14" t="s">
        <v>201</v>
      </c>
      <c r="D20" s="14" t="s">
        <v>202</v>
      </c>
      <c r="E20" s="21" t="s">
        <v>146</v>
      </c>
      <c r="F20" s="21" t="s">
        <v>202</v>
      </c>
      <c r="G20" s="21"/>
      <c r="H20" s="21"/>
      <c r="I20" s="22"/>
    </row>
    <row r="21" spans="2:9" s="14" customFormat="1" x14ac:dyDescent="0.2">
      <c r="B21" s="13" t="s">
        <v>229</v>
      </c>
      <c r="C21" s="14" t="s">
        <v>230</v>
      </c>
      <c r="D21" s="14" t="s">
        <v>231</v>
      </c>
      <c r="E21" s="21" t="s">
        <v>146</v>
      </c>
      <c r="F21" s="21" t="s">
        <v>232</v>
      </c>
      <c r="G21" s="21"/>
      <c r="H21" s="21"/>
      <c r="I21" s="22"/>
    </row>
    <row r="22" spans="2:9" x14ac:dyDescent="0.2">
      <c r="B22" s="13" t="s">
        <v>170</v>
      </c>
      <c r="C22" s="14" t="s">
        <v>90</v>
      </c>
      <c r="D22" s="14" t="s">
        <v>171</v>
      </c>
      <c r="E22" s="21" t="s">
        <v>106</v>
      </c>
      <c r="F22" s="21" t="s">
        <v>92</v>
      </c>
      <c r="G22" s="21" t="s">
        <v>172</v>
      </c>
      <c r="H22" s="21"/>
      <c r="I22" s="22"/>
    </row>
    <row r="23" spans="2:9" x14ac:dyDescent="0.2">
      <c r="B23" s="13"/>
      <c r="C23" s="14" t="s">
        <v>148</v>
      </c>
      <c r="D23" s="14" t="s">
        <v>149</v>
      </c>
      <c r="E23" s="21" t="s">
        <v>106</v>
      </c>
      <c r="F23" s="21" t="s">
        <v>150</v>
      </c>
      <c r="G23" s="21"/>
      <c r="H23" s="21"/>
      <c r="I23" s="22"/>
    </row>
    <row r="24" spans="2:9" x14ac:dyDescent="0.2">
      <c r="B24" s="13" t="s">
        <v>108</v>
      </c>
      <c r="C24" s="14" t="s">
        <v>93</v>
      </c>
      <c r="D24" s="14" t="s">
        <v>104</v>
      </c>
      <c r="E24" s="26" t="s">
        <v>106</v>
      </c>
      <c r="F24" s="21" t="s">
        <v>94</v>
      </c>
      <c r="G24" s="21"/>
      <c r="H24" s="21"/>
      <c r="I24" s="22"/>
    </row>
    <row r="25" spans="2:9" x14ac:dyDescent="0.2">
      <c r="B25" s="13" t="s">
        <v>173</v>
      </c>
      <c r="C25" s="14" t="s">
        <v>95</v>
      </c>
      <c r="D25" s="25" t="s">
        <v>128</v>
      </c>
      <c r="E25" s="21" t="s">
        <v>106</v>
      </c>
      <c r="F25" s="21" t="s">
        <v>96</v>
      </c>
      <c r="G25" s="21"/>
      <c r="H25" s="21"/>
      <c r="I25" s="22"/>
    </row>
    <row r="26" spans="2:9" x14ac:dyDescent="0.2">
      <c r="B26" s="13" t="s">
        <v>174</v>
      </c>
      <c r="C26" s="25" t="s">
        <v>175</v>
      </c>
      <c r="D26" s="25" t="s">
        <v>176</v>
      </c>
      <c r="E26" s="21" t="s">
        <v>106</v>
      </c>
      <c r="F26" s="21" t="s">
        <v>177</v>
      </c>
      <c r="G26" s="21"/>
      <c r="H26" s="21"/>
      <c r="I26" s="22"/>
    </row>
    <row r="27" spans="2:9" x14ac:dyDescent="0.2">
      <c r="B27" s="13" t="s">
        <v>109</v>
      </c>
      <c r="C27" s="14" t="s">
        <v>97</v>
      </c>
      <c r="D27" s="14" t="s">
        <v>110</v>
      </c>
      <c r="E27" s="21" t="s">
        <v>106</v>
      </c>
      <c r="F27" s="26" t="s">
        <v>99</v>
      </c>
      <c r="G27" s="21" t="s">
        <v>98</v>
      </c>
      <c r="H27" s="21"/>
      <c r="I27" s="22"/>
    </row>
    <row r="28" spans="2:9" x14ac:dyDescent="0.2">
      <c r="B28" s="13"/>
      <c r="C28" s="25" t="s">
        <v>181</v>
      </c>
      <c r="D28" s="25" t="s">
        <v>182</v>
      </c>
      <c r="E28" s="21" t="s">
        <v>106</v>
      </c>
      <c r="F28" s="26" t="s">
        <v>183</v>
      </c>
      <c r="G28" s="21"/>
      <c r="H28" s="21"/>
      <c r="I28" s="22"/>
    </row>
    <row r="29" spans="2:9" x14ac:dyDescent="0.2">
      <c r="B29" s="13" t="s">
        <v>203</v>
      </c>
      <c r="C29" s="25"/>
      <c r="D29" s="25" t="s">
        <v>204</v>
      </c>
      <c r="E29" s="21" t="s">
        <v>106</v>
      </c>
      <c r="F29" s="26" t="s">
        <v>205</v>
      </c>
      <c r="G29" s="21"/>
      <c r="H29" s="21"/>
      <c r="I29" s="22"/>
    </row>
    <row r="30" spans="2:9" x14ac:dyDescent="0.2">
      <c r="B30" s="13" t="s">
        <v>218</v>
      </c>
      <c r="C30" s="25"/>
      <c r="D30" s="25" t="s">
        <v>219</v>
      </c>
      <c r="E30" s="21" t="s">
        <v>106</v>
      </c>
      <c r="F30" s="26" t="s">
        <v>220</v>
      </c>
      <c r="G30" s="21"/>
      <c r="H30" s="21"/>
      <c r="I30" s="22"/>
    </row>
    <row r="31" spans="2:9" x14ac:dyDescent="0.2">
      <c r="B31" s="13" t="s">
        <v>233</v>
      </c>
      <c r="C31" s="25"/>
      <c r="D31" s="25" t="s">
        <v>234</v>
      </c>
      <c r="E31" s="21" t="s">
        <v>106</v>
      </c>
      <c r="F31" s="26" t="s">
        <v>232</v>
      </c>
      <c r="G31" s="21"/>
      <c r="H31" s="21"/>
      <c r="I31" s="22"/>
    </row>
    <row r="32" spans="2:9" x14ac:dyDescent="0.2">
      <c r="B32" s="13" t="s">
        <v>235</v>
      </c>
      <c r="C32" s="25"/>
      <c r="D32" s="25" t="s">
        <v>239</v>
      </c>
      <c r="E32" s="21" t="s">
        <v>106</v>
      </c>
      <c r="F32" s="26" t="s">
        <v>232</v>
      </c>
      <c r="G32" s="21"/>
      <c r="H32" s="21"/>
      <c r="I32" s="22"/>
    </row>
    <row r="33" spans="2:9" x14ac:dyDescent="0.2">
      <c r="B33" s="13" t="s">
        <v>236</v>
      </c>
      <c r="C33" s="25"/>
      <c r="D33" s="25" t="s">
        <v>123</v>
      </c>
      <c r="E33" s="21" t="s">
        <v>106</v>
      </c>
      <c r="F33" s="26" t="s">
        <v>232</v>
      </c>
      <c r="G33" s="21"/>
      <c r="H33" s="21"/>
      <c r="I33" s="22"/>
    </row>
    <row r="34" spans="2:9" x14ac:dyDescent="0.2">
      <c r="B34" s="13" t="s">
        <v>237</v>
      </c>
      <c r="C34" s="25"/>
      <c r="D34" s="25" t="s">
        <v>123</v>
      </c>
      <c r="E34" s="21" t="s">
        <v>106</v>
      </c>
      <c r="F34" s="26" t="s">
        <v>232</v>
      </c>
      <c r="G34" s="21"/>
      <c r="H34" s="21"/>
      <c r="I34" s="22"/>
    </row>
    <row r="35" spans="2:9" x14ac:dyDescent="0.2">
      <c r="B35" s="13" t="s">
        <v>238</v>
      </c>
      <c r="C35" s="25"/>
      <c r="D35" s="25" t="s">
        <v>128</v>
      </c>
      <c r="E35" s="21" t="s">
        <v>106</v>
      </c>
      <c r="F35" s="26" t="s">
        <v>232</v>
      </c>
      <c r="G35" s="21"/>
      <c r="H35" s="21"/>
      <c r="I35" s="22"/>
    </row>
    <row r="36" spans="2:9" x14ac:dyDescent="0.2">
      <c r="B36" s="13" t="s">
        <v>221</v>
      </c>
      <c r="C36" s="25"/>
      <c r="D36" s="25" t="s">
        <v>224</v>
      </c>
      <c r="E36" s="21" t="s">
        <v>112</v>
      </c>
      <c r="F36" s="26" t="s">
        <v>220</v>
      </c>
      <c r="G36" s="21"/>
      <c r="H36" s="21"/>
      <c r="I36" s="22"/>
    </row>
    <row r="37" spans="2:9" x14ac:dyDescent="0.2">
      <c r="B37" s="13" t="s">
        <v>222</v>
      </c>
      <c r="C37" s="25"/>
      <c r="D37" s="25" t="s">
        <v>223</v>
      </c>
      <c r="E37" s="21" t="s">
        <v>112</v>
      </c>
      <c r="F37" s="26" t="s">
        <v>220</v>
      </c>
      <c r="G37" s="21"/>
      <c r="H37" s="21"/>
      <c r="I37" s="22"/>
    </row>
    <row r="38" spans="2:9" x14ac:dyDescent="0.2">
      <c r="B38" s="13" t="s">
        <v>185</v>
      </c>
      <c r="C38" s="25" t="s">
        <v>184</v>
      </c>
      <c r="D38" s="25" t="s">
        <v>186</v>
      </c>
      <c r="E38" s="21" t="s">
        <v>112</v>
      </c>
      <c r="F38" s="26" t="s">
        <v>187</v>
      </c>
      <c r="G38" s="21"/>
      <c r="H38" s="21"/>
      <c r="I38" s="22"/>
    </row>
    <row r="39" spans="2:9" x14ac:dyDescent="0.2">
      <c r="B39" s="13" t="s">
        <v>188</v>
      </c>
      <c r="C39" s="25" t="s">
        <v>189</v>
      </c>
      <c r="D39" s="25" t="s">
        <v>128</v>
      </c>
      <c r="E39" s="21" t="s">
        <v>112</v>
      </c>
      <c r="F39" s="26" t="s">
        <v>190</v>
      </c>
      <c r="G39" s="21"/>
      <c r="H39" s="21"/>
      <c r="I39" s="22"/>
    </row>
    <row r="40" spans="2:9" x14ac:dyDescent="0.2">
      <c r="B40" s="13" t="s">
        <v>111</v>
      </c>
      <c r="C40" s="14"/>
      <c r="D40" s="14" t="s">
        <v>110</v>
      </c>
      <c r="E40" s="21" t="s">
        <v>112</v>
      </c>
      <c r="F40" s="21" t="s">
        <v>113</v>
      </c>
      <c r="G40" s="21"/>
      <c r="H40" s="21"/>
      <c r="I40" s="22"/>
    </row>
    <row r="41" spans="2:9" x14ac:dyDescent="0.2">
      <c r="B41" s="13" t="s">
        <v>129</v>
      </c>
      <c r="C41" s="14"/>
      <c r="D41" s="25" t="s">
        <v>123</v>
      </c>
      <c r="E41" s="21" t="s">
        <v>112</v>
      </c>
      <c r="F41" s="21" t="s">
        <v>131</v>
      </c>
      <c r="G41" s="21" t="s">
        <v>130</v>
      </c>
      <c r="H41" s="21"/>
      <c r="I41" s="22"/>
    </row>
    <row r="42" spans="2:9" x14ac:dyDescent="0.2">
      <c r="B42" s="13" t="s">
        <v>132</v>
      </c>
      <c r="C42" s="14"/>
      <c r="D42" s="25" t="s">
        <v>133</v>
      </c>
      <c r="E42" s="21" t="s">
        <v>112</v>
      </c>
      <c r="F42" s="21" t="s">
        <v>136</v>
      </c>
      <c r="G42" s="21"/>
      <c r="H42" s="21"/>
      <c r="I42" s="22"/>
    </row>
    <row r="43" spans="2:9" x14ac:dyDescent="0.2">
      <c r="B43" s="13" t="s">
        <v>134</v>
      </c>
      <c r="C43" s="14"/>
      <c r="D43" s="25" t="s">
        <v>133</v>
      </c>
      <c r="E43" s="21" t="s">
        <v>112</v>
      </c>
      <c r="F43" s="21" t="s">
        <v>135</v>
      </c>
      <c r="G43" s="21"/>
      <c r="H43" s="21"/>
      <c r="I43" s="22"/>
    </row>
    <row r="44" spans="2:9" x14ac:dyDescent="0.2">
      <c r="B44" s="13" t="s">
        <v>151</v>
      </c>
      <c r="C44" s="14"/>
      <c r="D44" s="25" t="s">
        <v>152</v>
      </c>
      <c r="E44" s="21" t="s">
        <v>112</v>
      </c>
      <c r="F44" s="21" t="s">
        <v>153</v>
      </c>
      <c r="G44" s="21"/>
      <c r="H44" s="21"/>
      <c r="I44" s="22"/>
    </row>
    <row r="45" spans="2:9" x14ac:dyDescent="0.2">
      <c r="B45" s="13" t="s">
        <v>154</v>
      </c>
      <c r="C45" s="14"/>
      <c r="D45" s="25" t="s">
        <v>155</v>
      </c>
      <c r="E45" s="21" t="s">
        <v>112</v>
      </c>
      <c r="F45" s="21" t="s">
        <v>156</v>
      </c>
      <c r="G45" s="21"/>
      <c r="H45" s="21"/>
      <c r="I45" s="22"/>
    </row>
    <row r="46" spans="2:9" x14ac:dyDescent="0.2">
      <c r="B46" s="13" t="s">
        <v>157</v>
      </c>
      <c r="C46" s="14"/>
      <c r="D46" s="25" t="s">
        <v>158</v>
      </c>
      <c r="E46" s="21" t="s">
        <v>112</v>
      </c>
      <c r="F46" s="21" t="s">
        <v>159</v>
      </c>
      <c r="G46" s="21"/>
      <c r="H46" s="21"/>
      <c r="I46" s="22"/>
    </row>
    <row r="47" spans="2:9" x14ac:dyDescent="0.2">
      <c r="B47" s="13" t="s">
        <v>207</v>
      </c>
      <c r="C47" s="14"/>
      <c r="D47" s="25" t="s">
        <v>208</v>
      </c>
      <c r="E47" s="21" t="s">
        <v>112</v>
      </c>
      <c r="F47" s="21" t="s">
        <v>209</v>
      </c>
      <c r="G47" s="21"/>
      <c r="H47" s="21"/>
      <c r="I47" s="22"/>
    </row>
    <row r="48" spans="2:9" x14ac:dyDescent="0.2">
      <c r="B48" s="13" t="s">
        <v>210</v>
      </c>
      <c r="C48" s="14"/>
      <c r="D48" s="25" t="s">
        <v>211</v>
      </c>
      <c r="E48" s="21" t="s">
        <v>112</v>
      </c>
      <c r="F48" s="21" t="s">
        <v>212</v>
      </c>
      <c r="G48" s="21"/>
      <c r="H48" s="21"/>
      <c r="I48" s="22"/>
    </row>
    <row r="49" spans="2:11" x14ac:dyDescent="0.2">
      <c r="B49" s="13"/>
      <c r="C49" s="25" t="s">
        <v>240</v>
      </c>
      <c r="D49" s="25" t="s">
        <v>241</v>
      </c>
      <c r="E49" s="21" t="s">
        <v>120</v>
      </c>
      <c r="F49" s="26" t="s">
        <v>232</v>
      </c>
      <c r="G49" s="21"/>
      <c r="H49" s="21"/>
      <c r="I49" s="22"/>
    </row>
    <row r="50" spans="2:11" x14ac:dyDescent="0.2">
      <c r="B50" s="13" t="s">
        <v>226</v>
      </c>
      <c r="C50" s="14"/>
      <c r="D50" s="25" t="s">
        <v>227</v>
      </c>
      <c r="E50" s="21" t="s">
        <v>120</v>
      </c>
      <c r="F50" s="21" t="s">
        <v>220</v>
      </c>
      <c r="G50" s="21"/>
      <c r="H50" s="21"/>
      <c r="I50" s="22"/>
    </row>
    <row r="51" spans="2:11" x14ac:dyDescent="0.2">
      <c r="B51" s="13" t="s">
        <v>225</v>
      </c>
      <c r="C51" s="14"/>
      <c r="D51" s="25" t="s">
        <v>228</v>
      </c>
      <c r="E51" s="21" t="s">
        <v>120</v>
      </c>
      <c r="F51" s="21" t="s">
        <v>220</v>
      </c>
      <c r="G51" s="21"/>
      <c r="H51" s="21"/>
      <c r="I51" s="22"/>
    </row>
    <row r="52" spans="2:11" x14ac:dyDescent="0.2">
      <c r="B52" s="13" t="s">
        <v>213</v>
      </c>
      <c r="C52" s="14"/>
      <c r="D52" s="25" t="s">
        <v>214</v>
      </c>
      <c r="E52" s="21" t="s">
        <v>120</v>
      </c>
      <c r="F52" s="21"/>
      <c r="G52" s="21"/>
      <c r="H52" s="21"/>
      <c r="I52" s="22"/>
    </row>
    <row r="53" spans="2:11" x14ac:dyDescent="0.2">
      <c r="B53" s="13" t="s">
        <v>215</v>
      </c>
      <c r="C53" s="14"/>
      <c r="D53" s="25" t="s">
        <v>217</v>
      </c>
      <c r="E53" s="21" t="s">
        <v>120</v>
      </c>
      <c r="F53" s="21"/>
      <c r="G53" s="21"/>
      <c r="H53" s="21"/>
      <c r="I53" s="22"/>
    </row>
    <row r="54" spans="2:11" x14ac:dyDescent="0.2">
      <c r="B54" s="13" t="s">
        <v>216</v>
      </c>
      <c r="C54" s="14"/>
      <c r="D54" s="25" t="s">
        <v>211</v>
      </c>
      <c r="E54" s="21" t="s">
        <v>120</v>
      </c>
      <c r="F54" s="21"/>
      <c r="G54" s="21"/>
      <c r="H54" s="21"/>
      <c r="I54" s="22"/>
    </row>
    <row r="55" spans="2:11" x14ac:dyDescent="0.2">
      <c r="B55" s="13" t="s">
        <v>191</v>
      </c>
      <c r="C55" s="14" t="s">
        <v>192</v>
      </c>
      <c r="D55" s="25" t="s">
        <v>193</v>
      </c>
      <c r="E55" s="21" t="s">
        <v>120</v>
      </c>
      <c r="F55" s="21"/>
      <c r="G55" s="21"/>
      <c r="H55" s="21"/>
      <c r="I55" s="22"/>
    </row>
    <row r="56" spans="2:11" x14ac:dyDescent="0.2">
      <c r="B56" s="13" t="s">
        <v>194</v>
      </c>
      <c r="C56" s="14"/>
      <c r="D56" s="25" t="s">
        <v>193</v>
      </c>
      <c r="E56" s="21" t="s">
        <v>120</v>
      </c>
      <c r="F56" s="21"/>
      <c r="G56" s="21"/>
      <c r="H56" s="21"/>
      <c r="I56" s="22"/>
    </row>
    <row r="57" spans="2:11" x14ac:dyDescent="0.2">
      <c r="B57" s="13" t="s">
        <v>195</v>
      </c>
      <c r="C57" s="14"/>
      <c r="D57" s="25" t="s">
        <v>193</v>
      </c>
      <c r="E57" s="21" t="s">
        <v>120</v>
      </c>
      <c r="F57" s="21"/>
      <c r="G57" s="21"/>
      <c r="H57" s="21"/>
      <c r="I57" s="22"/>
    </row>
    <row r="58" spans="2:11" x14ac:dyDescent="0.2">
      <c r="B58" s="13" t="s">
        <v>196</v>
      </c>
      <c r="C58" s="14"/>
      <c r="D58" s="25" t="s">
        <v>193</v>
      </c>
      <c r="E58" s="21" t="s">
        <v>120</v>
      </c>
      <c r="F58" s="21"/>
      <c r="G58" s="21"/>
      <c r="H58" s="21"/>
      <c r="I58" s="22"/>
    </row>
    <row r="59" spans="2:11" x14ac:dyDescent="0.2">
      <c r="B59" s="13" t="s">
        <v>197</v>
      </c>
      <c r="C59" s="14"/>
      <c r="D59" s="25" t="s">
        <v>193</v>
      </c>
      <c r="E59" s="21" t="s">
        <v>120</v>
      </c>
      <c r="F59" s="21"/>
      <c r="G59" s="21"/>
      <c r="H59" s="21"/>
      <c r="I59" s="22"/>
    </row>
    <row r="60" spans="2:11" x14ac:dyDescent="0.2">
      <c r="B60" s="13" t="s">
        <v>198</v>
      </c>
      <c r="C60" s="14"/>
      <c r="D60" s="25" t="s">
        <v>193</v>
      </c>
      <c r="E60" s="21" t="s">
        <v>120</v>
      </c>
      <c r="F60" s="21"/>
      <c r="G60" s="21"/>
      <c r="H60" s="21"/>
      <c r="I60" s="22"/>
    </row>
    <row r="61" spans="2:11" x14ac:dyDescent="0.2">
      <c r="B61" s="13" t="s">
        <v>199</v>
      </c>
      <c r="C61" s="14"/>
      <c r="D61" s="25" t="s">
        <v>193</v>
      </c>
      <c r="E61" s="21" t="s">
        <v>120</v>
      </c>
      <c r="F61" s="21"/>
      <c r="G61" s="21"/>
      <c r="H61" s="21"/>
      <c r="I61" s="22"/>
    </row>
    <row r="62" spans="2:11" x14ac:dyDescent="0.2">
      <c r="B62" s="13" t="s">
        <v>200</v>
      </c>
      <c r="C62" s="14"/>
      <c r="D62" s="25" t="s">
        <v>193</v>
      </c>
      <c r="E62" s="21" t="s">
        <v>120</v>
      </c>
      <c r="F62" s="21"/>
      <c r="G62" s="21"/>
      <c r="H62" s="21"/>
      <c r="I62" s="22"/>
      <c r="K62" s="28" t="s">
        <v>244</v>
      </c>
    </row>
    <row r="63" spans="2:11" x14ac:dyDescent="0.2">
      <c r="B63" s="13" t="s">
        <v>242</v>
      </c>
      <c r="C63" s="14"/>
      <c r="D63" s="25" t="s">
        <v>243</v>
      </c>
      <c r="E63" s="21" t="s">
        <v>120</v>
      </c>
      <c r="F63" s="21"/>
      <c r="G63" s="21"/>
      <c r="H63" s="21"/>
      <c r="I63" s="22"/>
      <c r="K63" t="s">
        <v>245</v>
      </c>
    </row>
    <row r="64" spans="2:11" x14ac:dyDescent="0.2">
      <c r="B64" s="13" t="s">
        <v>160</v>
      </c>
      <c r="C64" s="14"/>
      <c r="D64" s="25" t="s">
        <v>161</v>
      </c>
      <c r="E64" s="21" t="s">
        <v>120</v>
      </c>
      <c r="F64" s="21" t="s">
        <v>303</v>
      </c>
      <c r="G64" s="21"/>
      <c r="H64" s="21"/>
      <c r="I64" s="22"/>
      <c r="K64" t="s">
        <v>246</v>
      </c>
    </row>
    <row r="65" spans="2:11" x14ac:dyDescent="0.2">
      <c r="B65" s="13" t="s">
        <v>162</v>
      </c>
      <c r="C65" s="14"/>
      <c r="D65" s="25" t="s">
        <v>161</v>
      </c>
      <c r="E65" s="21" t="s">
        <v>120</v>
      </c>
      <c r="F65" s="21" t="s">
        <v>304</v>
      </c>
      <c r="G65" s="21"/>
      <c r="H65" s="21"/>
      <c r="I65" s="22"/>
      <c r="K65" t="s">
        <v>247</v>
      </c>
    </row>
    <row r="66" spans="2:11" x14ac:dyDescent="0.2">
      <c r="B66" s="13" t="s">
        <v>163</v>
      </c>
      <c r="C66" s="14"/>
      <c r="D66" s="25" t="s">
        <v>164</v>
      </c>
      <c r="E66" s="21" t="s">
        <v>120</v>
      </c>
      <c r="F66" s="21"/>
      <c r="G66" s="21"/>
      <c r="H66" s="21"/>
      <c r="I66" s="22"/>
      <c r="K66" t="s">
        <v>248</v>
      </c>
    </row>
    <row r="67" spans="2:11" x14ac:dyDescent="0.2">
      <c r="B67" s="13" t="s">
        <v>165</v>
      </c>
      <c r="C67" s="14"/>
      <c r="D67" s="25" t="s">
        <v>164</v>
      </c>
      <c r="E67" s="21" t="s">
        <v>120</v>
      </c>
      <c r="F67" s="21"/>
      <c r="G67" s="21"/>
      <c r="H67" s="21"/>
      <c r="I67" s="22"/>
    </row>
    <row r="68" spans="2:11" x14ac:dyDescent="0.2">
      <c r="B68" s="13" t="s">
        <v>166</v>
      </c>
      <c r="C68" s="14"/>
      <c r="D68" s="25" t="s">
        <v>164</v>
      </c>
      <c r="E68" s="21" t="s">
        <v>120</v>
      </c>
      <c r="F68" s="21"/>
      <c r="G68" s="21"/>
      <c r="H68" s="21"/>
      <c r="I68" s="22"/>
    </row>
    <row r="69" spans="2:11" x14ac:dyDescent="0.2">
      <c r="B69" s="13" t="s">
        <v>167</v>
      </c>
      <c r="C69" s="14"/>
      <c r="D69" s="25" t="s">
        <v>168</v>
      </c>
      <c r="E69" s="21" t="s">
        <v>120</v>
      </c>
      <c r="F69" s="21"/>
      <c r="G69" s="21"/>
      <c r="H69" s="21"/>
      <c r="I69" s="22"/>
    </row>
    <row r="70" spans="2:11" x14ac:dyDescent="0.2">
      <c r="B70" s="13" t="s">
        <v>169</v>
      </c>
      <c r="C70" s="14"/>
      <c r="D70" s="25" t="s">
        <v>168</v>
      </c>
      <c r="E70" s="21" t="s">
        <v>120</v>
      </c>
      <c r="F70" s="21"/>
      <c r="G70" s="21"/>
      <c r="H70" s="21"/>
      <c r="I70" s="22"/>
    </row>
    <row r="71" spans="2:11" x14ac:dyDescent="0.2">
      <c r="B71" s="13" t="s">
        <v>137</v>
      </c>
      <c r="C71" s="14"/>
      <c r="D71" s="25" t="s">
        <v>138</v>
      </c>
      <c r="E71" s="21" t="s">
        <v>120</v>
      </c>
      <c r="F71" s="21" t="s">
        <v>117</v>
      </c>
      <c r="G71" s="21"/>
      <c r="H71" s="21"/>
      <c r="I71" s="22"/>
    </row>
    <row r="72" spans="2:11" x14ac:dyDescent="0.2">
      <c r="B72" s="13" t="s">
        <v>139</v>
      </c>
      <c r="C72" s="14"/>
      <c r="D72" s="25" t="s">
        <v>133</v>
      </c>
      <c r="E72" s="21" t="s">
        <v>120</v>
      </c>
      <c r="F72" s="21"/>
      <c r="G72" s="21"/>
      <c r="H72" s="21"/>
      <c r="I72" s="22"/>
    </row>
    <row r="73" spans="2:11" x14ac:dyDescent="0.2">
      <c r="B73" s="13" t="s">
        <v>140</v>
      </c>
      <c r="C73" s="14"/>
      <c r="D73" s="25" t="s">
        <v>141</v>
      </c>
      <c r="E73" s="21" t="s">
        <v>120</v>
      </c>
      <c r="F73" s="21"/>
      <c r="G73" s="21"/>
      <c r="H73" s="21"/>
      <c r="I73" s="22"/>
    </row>
    <row r="74" spans="2:11" x14ac:dyDescent="0.2">
      <c r="B74" s="13" t="s">
        <v>142</v>
      </c>
      <c r="C74" s="14"/>
      <c r="D74" s="25" t="s">
        <v>133</v>
      </c>
      <c r="E74" s="21" t="s">
        <v>120</v>
      </c>
      <c r="F74" s="21"/>
      <c r="G74" s="21"/>
      <c r="H74" s="21"/>
      <c r="I74" s="22"/>
    </row>
    <row r="75" spans="2:11" x14ac:dyDescent="0.2">
      <c r="B75" s="13" t="s">
        <v>143</v>
      </c>
      <c r="C75" s="14"/>
      <c r="D75" s="25" t="s">
        <v>141</v>
      </c>
      <c r="E75" s="21" t="s">
        <v>120</v>
      </c>
      <c r="F75" s="21"/>
      <c r="G75" s="21"/>
      <c r="H75" s="21"/>
      <c r="I75" s="22"/>
    </row>
    <row r="76" spans="2:11" x14ac:dyDescent="0.2">
      <c r="B76" s="13" t="s">
        <v>114</v>
      </c>
      <c r="C76" s="14"/>
      <c r="D76" s="25" t="s">
        <v>115</v>
      </c>
      <c r="E76" s="21" t="s">
        <v>120</v>
      </c>
      <c r="F76" s="21"/>
      <c r="G76" s="21"/>
      <c r="H76" s="21"/>
      <c r="I76" s="22"/>
    </row>
    <row r="77" spans="2:11" x14ac:dyDescent="0.2">
      <c r="B77" s="13" t="s">
        <v>116</v>
      </c>
      <c r="C77" s="14"/>
      <c r="D77" s="25" t="s">
        <v>110</v>
      </c>
      <c r="E77" s="21" t="s">
        <v>120</v>
      </c>
      <c r="F77" s="21" t="s">
        <v>117</v>
      </c>
      <c r="G77" s="21"/>
      <c r="H77" s="21"/>
      <c r="I77" s="22"/>
    </row>
    <row r="78" spans="2:11" x14ac:dyDescent="0.2">
      <c r="B78" s="13" t="s">
        <v>118</v>
      </c>
      <c r="C78" s="14"/>
      <c r="D78" s="25" t="s">
        <v>104</v>
      </c>
      <c r="E78" s="21" t="s">
        <v>120</v>
      </c>
      <c r="F78" s="21"/>
      <c r="G78" s="21"/>
      <c r="H78" s="21"/>
      <c r="I78" s="22"/>
    </row>
    <row r="79" spans="2:11" x14ac:dyDescent="0.2">
      <c r="B79" s="13" t="s">
        <v>119</v>
      </c>
      <c r="C79" s="14"/>
      <c r="D79" s="25" t="s">
        <v>104</v>
      </c>
      <c r="E79" s="21" t="s">
        <v>120</v>
      </c>
      <c r="F79" s="21"/>
      <c r="G79" s="21"/>
      <c r="H79" s="21"/>
      <c r="I79" s="22"/>
    </row>
    <row r="80" spans="2:11" x14ac:dyDescent="0.2">
      <c r="B80" s="13"/>
      <c r="C80" s="14"/>
      <c r="D80" s="25"/>
      <c r="E80" s="21"/>
      <c r="F80" s="21"/>
      <c r="G80" s="21"/>
      <c r="H80" s="21"/>
      <c r="I80" s="22"/>
    </row>
    <row r="81" spans="2:9" x14ac:dyDescent="0.2">
      <c r="B81" s="13"/>
      <c r="C81" s="14"/>
      <c r="D81" s="25"/>
      <c r="E81" s="21"/>
      <c r="F81" s="21"/>
      <c r="G81" s="21"/>
      <c r="H81" s="21"/>
      <c r="I81" s="22"/>
    </row>
    <row r="82" spans="2:9" x14ac:dyDescent="0.2">
      <c r="B82" s="15"/>
      <c r="C82" s="16"/>
      <c r="D82" s="16"/>
      <c r="E82" s="23"/>
      <c r="F82" s="23"/>
      <c r="G82" s="23"/>
      <c r="H82" s="23"/>
      <c r="I82" s="24"/>
    </row>
    <row r="84" spans="2:9" x14ac:dyDescent="0.2">
      <c r="B84" s="12" t="s">
        <v>79</v>
      </c>
    </row>
  </sheetData>
  <hyperlinks>
    <hyperlink ref="B3" location="Prevnar!A1" display="Prevnar/Prevnar 1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8" sqref="P8"/>
    </sheetView>
  </sheetViews>
  <sheetFormatPr defaultRowHeight="12.75" x14ac:dyDescent="0.2"/>
  <cols>
    <col min="1" max="1" width="5" bestFit="1" customWidth="1"/>
    <col min="2" max="2" width="18.5703125" customWidth="1"/>
    <col min="3" max="26" width="9.140625" style="1"/>
  </cols>
  <sheetData>
    <row r="1" spans="1:47" x14ac:dyDescent="0.2">
      <c r="A1" s="4" t="s">
        <v>6</v>
      </c>
      <c r="O1" s="9"/>
    </row>
    <row r="2" spans="1:47" x14ac:dyDescent="0.2">
      <c r="C2" s="1" t="s">
        <v>100</v>
      </c>
      <c r="D2" s="1" t="s">
        <v>101</v>
      </c>
      <c r="E2" s="1" t="s">
        <v>102</v>
      </c>
      <c r="F2" s="1" t="s">
        <v>103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9" t="s">
        <v>16</v>
      </c>
      <c r="O2" s="9" t="s">
        <v>17</v>
      </c>
      <c r="P2" s="1" t="s">
        <v>18</v>
      </c>
      <c r="Q2" s="1" t="s">
        <v>15</v>
      </c>
      <c r="R2" s="1" t="s">
        <v>19</v>
      </c>
      <c r="S2" s="1" t="s">
        <v>263</v>
      </c>
      <c r="T2" s="1" t="s">
        <v>264</v>
      </c>
      <c r="U2" s="1" t="s">
        <v>265</v>
      </c>
      <c r="V2" s="1" t="s">
        <v>266</v>
      </c>
      <c r="X2" s="1">
        <v>2009</v>
      </c>
      <c r="Y2" s="1">
        <v>2010</v>
      </c>
      <c r="Z2" s="1">
        <f>+Y2+1</f>
        <v>2011</v>
      </c>
      <c r="AA2" s="1">
        <f t="shared" ref="AA2:AU2" si="0">+Z2+1</f>
        <v>2012</v>
      </c>
      <c r="AB2" s="1">
        <f t="shared" si="0"/>
        <v>2013</v>
      </c>
      <c r="AC2" s="1">
        <f t="shared" si="0"/>
        <v>2014</v>
      </c>
      <c r="AD2" s="1">
        <f t="shared" si="0"/>
        <v>2015</v>
      </c>
      <c r="AE2" s="1">
        <f t="shared" si="0"/>
        <v>2016</v>
      </c>
      <c r="AF2" s="1">
        <f t="shared" si="0"/>
        <v>2017</v>
      </c>
      <c r="AG2" s="1">
        <f t="shared" si="0"/>
        <v>2018</v>
      </c>
      <c r="AH2" s="1">
        <f t="shared" si="0"/>
        <v>2019</v>
      </c>
      <c r="AI2" s="1">
        <f t="shared" si="0"/>
        <v>2020</v>
      </c>
      <c r="AJ2" s="1">
        <f t="shared" si="0"/>
        <v>2021</v>
      </c>
      <c r="AK2" s="1">
        <f t="shared" si="0"/>
        <v>2022</v>
      </c>
      <c r="AL2" s="1">
        <f t="shared" si="0"/>
        <v>2023</v>
      </c>
      <c r="AM2" s="1">
        <f t="shared" si="0"/>
        <v>2024</v>
      </c>
      <c r="AN2" s="1">
        <f t="shared" si="0"/>
        <v>2025</v>
      </c>
      <c r="AO2" s="1">
        <f t="shared" si="0"/>
        <v>2026</v>
      </c>
      <c r="AP2" s="1">
        <f t="shared" si="0"/>
        <v>2027</v>
      </c>
      <c r="AQ2" s="1">
        <f t="shared" si="0"/>
        <v>2028</v>
      </c>
      <c r="AR2" s="1">
        <f t="shared" si="0"/>
        <v>2029</v>
      </c>
      <c r="AS2" s="1">
        <f t="shared" si="0"/>
        <v>2030</v>
      </c>
      <c r="AT2" s="1">
        <f t="shared" si="0"/>
        <v>2031</v>
      </c>
      <c r="AU2" s="1">
        <f t="shared" si="0"/>
        <v>2032</v>
      </c>
    </row>
    <row r="3" spans="1:47" s="2" customFormat="1" x14ac:dyDescent="0.2">
      <c r="B3" s="2" t="s">
        <v>33</v>
      </c>
      <c r="C3" s="3"/>
      <c r="D3" s="3"/>
      <c r="E3" s="3"/>
      <c r="F3" s="3"/>
      <c r="G3" s="3">
        <v>927</v>
      </c>
      <c r="H3" s="3">
        <v>1097</v>
      </c>
      <c r="I3" s="3">
        <v>1139</v>
      </c>
      <c r="J3" s="3">
        <v>1301</v>
      </c>
      <c r="K3" s="3">
        <v>1306</v>
      </c>
      <c r="L3" s="3">
        <v>1503</v>
      </c>
      <c r="M3" s="3">
        <v>1576</v>
      </c>
      <c r="N3" s="10">
        <v>1862</v>
      </c>
      <c r="O3" s="10">
        <v>1509</v>
      </c>
      <c r="P3" s="3">
        <v>1258</v>
      </c>
      <c r="Q3" s="3">
        <f t="shared" ref="Q3:R3" si="1">M3*1.05</f>
        <v>1654.8000000000002</v>
      </c>
      <c r="R3" s="3">
        <f t="shared" si="1"/>
        <v>1955.1000000000001</v>
      </c>
      <c r="S3" s="3"/>
      <c r="T3" s="3"/>
      <c r="U3" s="3"/>
      <c r="V3" s="3"/>
      <c r="W3" s="3"/>
      <c r="X3" s="3"/>
      <c r="Y3" s="3"/>
      <c r="Z3" s="3">
        <v>4145</v>
      </c>
      <c r="AA3" s="2">
        <v>4117</v>
      </c>
      <c r="AB3" s="2">
        <v>3974</v>
      </c>
      <c r="AC3" s="2">
        <f>SUM(G3:J3)</f>
        <v>4464</v>
      </c>
      <c r="AD3" s="2">
        <f>SUM(K3:N3)</f>
        <v>6247</v>
      </c>
      <c r="AE3" s="2">
        <f>SUM(O3:R3)</f>
        <v>6376.9000000000005</v>
      </c>
      <c r="AF3" s="2">
        <f>+AE3*0.999</f>
        <v>6370.5231000000003</v>
      </c>
      <c r="AG3" s="2">
        <f t="shared" ref="AG3:AS3" si="2">+AF3*0.999</f>
        <v>6364.1525769</v>
      </c>
      <c r="AH3" s="2">
        <f t="shared" si="2"/>
        <v>6357.7884243231001</v>
      </c>
      <c r="AI3" s="2">
        <f t="shared" si="2"/>
        <v>6351.4306358987769</v>
      </c>
      <c r="AJ3" s="2">
        <f t="shared" si="2"/>
        <v>6345.0792052628785</v>
      </c>
      <c r="AK3" s="2">
        <f t="shared" si="2"/>
        <v>6338.7341260576159</v>
      </c>
      <c r="AL3" s="2">
        <f t="shared" si="2"/>
        <v>6332.3953919315582</v>
      </c>
      <c r="AM3" s="2">
        <f t="shared" si="2"/>
        <v>6326.0629965396265</v>
      </c>
      <c r="AN3" s="2">
        <f t="shared" si="2"/>
        <v>6319.7369335430867</v>
      </c>
      <c r="AO3" s="2">
        <f t="shared" si="2"/>
        <v>6313.4171966095437</v>
      </c>
      <c r="AP3" s="2">
        <f t="shared" si="2"/>
        <v>6307.1037794129343</v>
      </c>
      <c r="AQ3" s="2">
        <f t="shared" si="2"/>
        <v>6300.7966756335218</v>
      </c>
      <c r="AR3" s="2">
        <f t="shared" si="2"/>
        <v>6294.4958789578886</v>
      </c>
      <c r="AS3" s="2">
        <f t="shared" si="2"/>
        <v>6288.201383078931</v>
      </c>
    </row>
    <row r="4" spans="1:47" s="2" customFormat="1" x14ac:dyDescent="0.2">
      <c r="B4" s="2" t="s">
        <v>53</v>
      </c>
      <c r="C4" s="3"/>
      <c r="D4" s="3"/>
      <c r="E4" s="3"/>
      <c r="F4" s="3"/>
      <c r="G4" s="3">
        <v>1894</v>
      </c>
      <c r="H4" s="3">
        <v>1910</v>
      </c>
      <c r="I4" s="3">
        <v>1878</v>
      </c>
      <c r="J4" s="3">
        <f>1377+140</f>
        <v>1517</v>
      </c>
      <c r="K4" s="3">
        <f>1229+107</f>
        <v>1336</v>
      </c>
      <c r="L4" s="3">
        <v>1623</v>
      </c>
      <c r="M4" s="3">
        <v>1651</v>
      </c>
      <c r="N4" s="10">
        <f>1215+86+82</f>
        <v>1383</v>
      </c>
      <c r="O4" s="10">
        <f>1201+76</f>
        <v>1277</v>
      </c>
      <c r="P4" s="3">
        <f>1187+69</f>
        <v>1256</v>
      </c>
      <c r="Q4" s="3">
        <f t="shared" ref="Q4:R4" si="3">+M4*0.95</f>
        <v>1568.4499999999998</v>
      </c>
      <c r="R4" s="3">
        <f t="shared" si="3"/>
        <v>1313.85</v>
      </c>
      <c r="S4" s="3"/>
      <c r="T4" s="3"/>
      <c r="U4" s="3"/>
      <c r="V4" s="3"/>
      <c r="W4" s="3"/>
      <c r="X4" s="3"/>
      <c r="Y4" s="3"/>
      <c r="Z4" s="3"/>
      <c r="AC4" s="2">
        <f t="shared" ref="AC4:AC62" si="4">SUM(G4:J4)</f>
        <v>7199</v>
      </c>
      <c r="AD4" s="2">
        <f t="shared" ref="AD4:AD62" si="5">SUM(K4:N4)</f>
        <v>5993</v>
      </c>
      <c r="AE4" s="2">
        <f t="shared" ref="AE4:AE57" si="6">SUM(O4:R4)</f>
        <v>5415.2999999999993</v>
      </c>
      <c r="AF4" s="2">
        <f>+AE4*0.95</f>
        <v>5144.5349999999989</v>
      </c>
      <c r="AG4" s="2">
        <f t="shared" ref="AG4:AS4" si="7">+AF4*0.95</f>
        <v>4887.3082499999991</v>
      </c>
      <c r="AH4" s="2">
        <f t="shared" si="7"/>
        <v>4642.9428374999989</v>
      </c>
      <c r="AI4" s="2">
        <f t="shared" si="7"/>
        <v>4410.7956956249991</v>
      </c>
      <c r="AJ4" s="2">
        <f t="shared" si="7"/>
        <v>4190.255910843749</v>
      </c>
      <c r="AK4" s="2">
        <f t="shared" si="7"/>
        <v>3980.7431153015614</v>
      </c>
      <c r="AL4" s="2">
        <f t="shared" si="7"/>
        <v>3781.7059595364831</v>
      </c>
      <c r="AM4" s="2">
        <f t="shared" si="7"/>
        <v>3592.6206615596589</v>
      </c>
      <c r="AN4" s="2">
        <f t="shared" si="7"/>
        <v>3412.9896284816759</v>
      </c>
      <c r="AO4" s="2">
        <f t="shared" si="7"/>
        <v>3242.3401470575918</v>
      </c>
      <c r="AP4" s="2">
        <f t="shared" si="7"/>
        <v>3080.2231397047121</v>
      </c>
      <c r="AQ4" s="2">
        <f t="shared" si="7"/>
        <v>2926.2119827194765</v>
      </c>
      <c r="AR4" s="2">
        <f t="shared" si="7"/>
        <v>2779.9013835835026</v>
      </c>
      <c r="AS4" s="2">
        <f t="shared" si="7"/>
        <v>2640.9063144043275</v>
      </c>
    </row>
    <row r="5" spans="1:47" s="2" customFormat="1" x14ac:dyDescent="0.2">
      <c r="B5" s="2" t="s">
        <v>7</v>
      </c>
      <c r="C5" s="3"/>
      <c r="D5" s="3"/>
      <c r="E5" s="3"/>
      <c r="F5" s="3"/>
      <c r="G5" s="3">
        <v>1150</v>
      </c>
      <c r="H5" s="3">
        <v>1315</v>
      </c>
      <c r="I5" s="3">
        <f>854+464</f>
        <v>1318</v>
      </c>
      <c r="J5" s="3">
        <f>903+482</f>
        <v>1385</v>
      </c>
      <c r="K5" s="3">
        <f>341+846</f>
        <v>1187</v>
      </c>
      <c r="L5" s="3">
        <f>312+907</f>
        <v>1219</v>
      </c>
      <c r="M5" s="3">
        <f>947+273</f>
        <v>1220</v>
      </c>
      <c r="N5" s="10">
        <f>955+258</f>
        <v>1213</v>
      </c>
      <c r="O5" s="10">
        <f>218+1011</f>
        <v>1229</v>
      </c>
      <c r="P5" s="3">
        <f>1048+214</f>
        <v>1262</v>
      </c>
      <c r="Q5" s="3">
        <f t="shared" ref="Q5:R5" si="8">+M5*0.99</f>
        <v>1207.8</v>
      </c>
      <c r="R5" s="3">
        <f t="shared" si="8"/>
        <v>1200.8699999999999</v>
      </c>
      <c r="S5" s="3"/>
      <c r="T5" s="3"/>
      <c r="U5" s="3"/>
      <c r="V5" s="3"/>
      <c r="W5" s="3"/>
      <c r="X5" s="3"/>
      <c r="Y5" s="3"/>
      <c r="Z5" s="3">
        <v>3693</v>
      </c>
      <c r="AA5" s="2">
        <v>4158</v>
      </c>
      <c r="AB5" s="2">
        <v>4595</v>
      </c>
      <c r="AC5" s="2">
        <f t="shared" si="4"/>
        <v>5168</v>
      </c>
      <c r="AD5" s="2">
        <f t="shared" si="5"/>
        <v>4839</v>
      </c>
      <c r="AE5" s="2">
        <f t="shared" si="6"/>
        <v>4899.67</v>
      </c>
      <c r="AF5" s="2">
        <f>+AE5*0.95</f>
        <v>4654.6864999999998</v>
      </c>
      <c r="AG5" s="2">
        <f t="shared" ref="AG5:AI5" si="9">+AF5*0.95</f>
        <v>4421.9521749999994</v>
      </c>
      <c r="AH5" s="2">
        <f t="shared" si="9"/>
        <v>4200.8545662499992</v>
      </c>
      <c r="AI5" s="2">
        <f t="shared" si="9"/>
        <v>3990.8118379374991</v>
      </c>
      <c r="AJ5" s="2">
        <f>+AI5*0.3</f>
        <v>1197.2435513812497</v>
      </c>
      <c r="AK5" s="2">
        <f t="shared" ref="AK5:AS5" si="10">+AJ5*0.3</f>
        <v>359.17306541437489</v>
      </c>
      <c r="AL5" s="2">
        <f t="shared" si="10"/>
        <v>107.75191962431246</v>
      </c>
      <c r="AM5" s="2">
        <f t="shared" si="10"/>
        <v>32.325575887293738</v>
      </c>
      <c r="AN5" s="2">
        <f t="shared" si="10"/>
        <v>9.6976727661881217</v>
      </c>
      <c r="AO5" s="2">
        <f t="shared" si="10"/>
        <v>2.9093018298564366</v>
      </c>
      <c r="AP5" s="2">
        <f t="shared" si="10"/>
        <v>0.87279054895693098</v>
      </c>
      <c r="AQ5" s="2">
        <f t="shared" si="10"/>
        <v>0.26183716468707929</v>
      </c>
      <c r="AR5" s="2">
        <f t="shared" si="10"/>
        <v>7.8551149406123788E-2</v>
      </c>
      <c r="AS5" s="2">
        <f t="shared" si="10"/>
        <v>2.3565344821837135E-2</v>
      </c>
    </row>
    <row r="6" spans="1:47" s="2" customFormat="1" x14ac:dyDescent="0.2">
      <c r="B6" s="2" t="s">
        <v>63</v>
      </c>
      <c r="C6" s="3"/>
      <c r="D6" s="3"/>
      <c r="E6" s="3"/>
      <c r="F6" s="3"/>
      <c r="G6" s="3">
        <v>0</v>
      </c>
      <c r="H6" s="3">
        <v>0</v>
      </c>
      <c r="I6" s="3">
        <v>0</v>
      </c>
      <c r="J6" s="3">
        <v>495</v>
      </c>
      <c r="K6" s="3">
        <v>396</v>
      </c>
      <c r="L6" s="3">
        <v>0</v>
      </c>
      <c r="M6" s="3">
        <v>330</v>
      </c>
      <c r="N6" s="10">
        <v>1139</v>
      </c>
      <c r="O6" s="10">
        <v>1161</v>
      </c>
      <c r="P6" s="3">
        <v>1136</v>
      </c>
      <c r="Q6" s="3">
        <f t="shared" ref="Q6:R6" si="11">+P6*0.99</f>
        <v>1124.6400000000001</v>
      </c>
      <c r="R6" s="3">
        <f t="shared" si="11"/>
        <v>1113.3936000000001</v>
      </c>
      <c r="S6" s="3"/>
      <c r="T6" s="3"/>
      <c r="U6" s="3"/>
      <c r="V6" s="3"/>
      <c r="W6" s="3"/>
      <c r="X6" s="3"/>
      <c r="Y6" s="3"/>
      <c r="Z6" s="3"/>
      <c r="AC6" s="2">
        <f t="shared" si="4"/>
        <v>495</v>
      </c>
      <c r="AD6" s="2">
        <f t="shared" si="5"/>
        <v>1865</v>
      </c>
      <c r="AE6" s="2">
        <f t="shared" si="6"/>
        <v>4535.0336000000007</v>
      </c>
      <c r="AF6" s="2">
        <f>+AE6*0.98</f>
        <v>4444.3329280000007</v>
      </c>
      <c r="AG6" s="2">
        <f t="shared" ref="AG6:AS6" si="12">+AF6*0.98</f>
        <v>4355.4462694400008</v>
      </c>
      <c r="AH6" s="2">
        <f t="shared" si="12"/>
        <v>4268.3373440512005</v>
      </c>
      <c r="AI6" s="2">
        <f t="shared" si="12"/>
        <v>4182.970597170176</v>
      </c>
      <c r="AJ6" s="2">
        <f t="shared" si="12"/>
        <v>4099.3111852267721</v>
      </c>
      <c r="AK6" s="2">
        <f t="shared" si="12"/>
        <v>4017.3249615222367</v>
      </c>
      <c r="AL6" s="2">
        <f t="shared" si="12"/>
        <v>3936.9784622917919</v>
      </c>
      <c r="AM6" s="2">
        <f t="shared" si="12"/>
        <v>3858.238893045956</v>
      </c>
      <c r="AN6" s="2">
        <f t="shared" si="12"/>
        <v>3781.074115185037</v>
      </c>
      <c r="AO6" s="2">
        <f t="shared" si="12"/>
        <v>3705.4526328813363</v>
      </c>
      <c r="AP6" s="2">
        <f t="shared" si="12"/>
        <v>3631.3435802237095</v>
      </c>
      <c r="AQ6" s="2">
        <f t="shared" si="12"/>
        <v>3558.7167086192353</v>
      </c>
      <c r="AR6" s="2">
        <f t="shared" si="12"/>
        <v>3487.5423744468503</v>
      </c>
      <c r="AS6" s="2">
        <f t="shared" si="12"/>
        <v>3417.7915269579134</v>
      </c>
    </row>
    <row r="7" spans="1:47" s="2" customFormat="1" x14ac:dyDescent="0.2">
      <c r="B7" s="2" t="s">
        <v>39</v>
      </c>
      <c r="C7" s="3"/>
      <c r="D7" s="3"/>
      <c r="E7" s="3"/>
      <c r="F7" s="3"/>
      <c r="G7" s="3">
        <v>761</v>
      </c>
      <c r="H7" s="3">
        <v>912</v>
      </c>
      <c r="I7" s="3">
        <v>821</v>
      </c>
      <c r="J7" s="3">
        <v>953</v>
      </c>
      <c r="K7" s="3">
        <v>808</v>
      </c>
      <c r="L7" s="3">
        <v>840</v>
      </c>
      <c r="M7" s="3">
        <v>817</v>
      </c>
      <c r="N7" s="10">
        <v>930</v>
      </c>
      <c r="O7" s="10">
        <v>822</v>
      </c>
      <c r="P7" s="3">
        <v>837</v>
      </c>
      <c r="Q7" s="3">
        <f t="shared" ref="Q7:R7" si="13">+M7*1.03</f>
        <v>841.51</v>
      </c>
      <c r="R7" s="3">
        <f t="shared" si="13"/>
        <v>957.9</v>
      </c>
      <c r="S7" s="3"/>
      <c r="T7" s="3"/>
      <c r="U7" s="3"/>
      <c r="V7" s="3"/>
      <c r="W7" s="3"/>
      <c r="X7" s="3"/>
      <c r="Y7" s="3"/>
      <c r="Z7" s="3"/>
      <c r="AC7" s="2">
        <f t="shared" si="4"/>
        <v>3447</v>
      </c>
      <c r="AD7" s="2">
        <f t="shared" si="5"/>
        <v>3395</v>
      </c>
      <c r="AE7" s="2">
        <f t="shared" si="6"/>
        <v>3458.4100000000003</v>
      </c>
      <c r="AF7" s="2">
        <f>+AE7*1.01</f>
        <v>3492.9941000000003</v>
      </c>
      <c r="AG7" s="2">
        <f t="shared" ref="AG7:AS7" si="14">+AF7*1.01</f>
        <v>3527.9240410000002</v>
      </c>
      <c r="AH7" s="2">
        <f t="shared" si="14"/>
        <v>3563.2032814100003</v>
      </c>
      <c r="AI7" s="2">
        <f t="shared" si="14"/>
        <v>3598.8353142241003</v>
      </c>
      <c r="AJ7" s="2">
        <f t="shared" si="14"/>
        <v>3634.8236673663414</v>
      </c>
      <c r="AK7" s="2">
        <f t="shared" si="14"/>
        <v>3671.1719040400048</v>
      </c>
      <c r="AL7" s="2">
        <f t="shared" si="14"/>
        <v>3707.883623080405</v>
      </c>
      <c r="AM7" s="2">
        <f t="shared" si="14"/>
        <v>3744.9624593112089</v>
      </c>
      <c r="AN7" s="2">
        <f t="shared" si="14"/>
        <v>3782.4120839043212</v>
      </c>
      <c r="AO7" s="2">
        <f t="shared" si="14"/>
        <v>3820.2362047433644</v>
      </c>
      <c r="AP7" s="2">
        <f t="shared" si="14"/>
        <v>3858.4385667907982</v>
      </c>
      <c r="AQ7" s="2">
        <f t="shared" si="14"/>
        <v>3897.0229524587062</v>
      </c>
      <c r="AR7" s="2">
        <f t="shared" si="14"/>
        <v>3935.9931819832932</v>
      </c>
      <c r="AS7" s="2">
        <f t="shared" si="14"/>
        <v>3975.3531138031262</v>
      </c>
    </row>
    <row r="8" spans="1:47" s="2" customFormat="1" x14ac:dyDescent="0.2">
      <c r="B8" s="2" t="s">
        <v>20</v>
      </c>
      <c r="C8" s="3"/>
      <c r="D8" s="3"/>
      <c r="E8" s="3"/>
      <c r="F8" s="3"/>
      <c r="G8" s="3">
        <v>914</v>
      </c>
      <c r="H8" s="3">
        <v>977</v>
      </c>
      <c r="I8" s="3">
        <v>955</v>
      </c>
      <c r="J8" s="3">
        <v>1004</v>
      </c>
      <c r="K8" s="3">
        <v>759</v>
      </c>
      <c r="L8" s="3">
        <v>822</v>
      </c>
      <c r="M8" s="3">
        <v>844</v>
      </c>
      <c r="N8" s="10">
        <v>907</v>
      </c>
      <c r="O8" s="10">
        <v>733</v>
      </c>
      <c r="P8" s="3">
        <v>766</v>
      </c>
      <c r="Q8" s="3">
        <f t="shared" ref="Q8:R8" si="15">+M8*0.95</f>
        <v>801.8</v>
      </c>
      <c r="R8" s="3">
        <f t="shared" si="15"/>
        <v>861.65</v>
      </c>
      <c r="S8" s="3"/>
      <c r="T8" s="3"/>
      <c r="U8" s="3"/>
      <c r="V8" s="3"/>
      <c r="W8" s="3"/>
      <c r="X8" s="3"/>
      <c r="Y8" s="3"/>
      <c r="Z8" s="3">
        <v>3666</v>
      </c>
      <c r="AA8" s="2">
        <v>3737</v>
      </c>
      <c r="AB8" s="2">
        <v>3774</v>
      </c>
      <c r="AC8" s="2">
        <f t="shared" si="4"/>
        <v>3850</v>
      </c>
      <c r="AD8" s="2">
        <f t="shared" si="5"/>
        <v>3332</v>
      </c>
      <c r="AE8" s="2">
        <f t="shared" si="6"/>
        <v>3162.4500000000003</v>
      </c>
      <c r="AF8" s="2">
        <f>+AE8*0.97</f>
        <v>3067.5765000000001</v>
      </c>
      <c r="AG8" s="2">
        <f t="shared" ref="AG8:AS8" si="16">+AF8*0.97</f>
        <v>2975.5492050000003</v>
      </c>
      <c r="AH8" s="2">
        <f t="shared" si="16"/>
        <v>2886.2827288500002</v>
      </c>
      <c r="AI8" s="2">
        <f t="shared" si="16"/>
        <v>2799.6942469845003</v>
      </c>
      <c r="AJ8" s="2">
        <f t="shared" si="16"/>
        <v>2715.7034195749652</v>
      </c>
      <c r="AK8" s="2">
        <f t="shared" si="16"/>
        <v>2634.2323169877163</v>
      </c>
      <c r="AL8" s="2">
        <f t="shared" si="16"/>
        <v>2555.2053474780846</v>
      </c>
      <c r="AM8" s="2">
        <f t="shared" si="16"/>
        <v>2478.5491870537421</v>
      </c>
      <c r="AN8" s="2">
        <f t="shared" si="16"/>
        <v>2404.1927114421296</v>
      </c>
      <c r="AO8" s="2">
        <f t="shared" si="16"/>
        <v>2332.0669300988657</v>
      </c>
      <c r="AP8" s="2">
        <f t="shared" si="16"/>
        <v>2262.1049221958997</v>
      </c>
      <c r="AQ8" s="2">
        <f t="shared" si="16"/>
        <v>2194.2417745300227</v>
      </c>
      <c r="AR8" s="2">
        <f t="shared" si="16"/>
        <v>2128.4145212941221</v>
      </c>
      <c r="AS8" s="2">
        <f t="shared" si="16"/>
        <v>2064.5620856552982</v>
      </c>
    </row>
    <row r="9" spans="1:47" s="2" customFormat="1" x14ac:dyDescent="0.2">
      <c r="B9" s="2" t="s">
        <v>34</v>
      </c>
      <c r="C9" s="3"/>
      <c r="D9" s="3"/>
      <c r="E9" s="3"/>
      <c r="F9" s="3"/>
      <c r="G9" s="3">
        <v>0</v>
      </c>
      <c r="H9" s="3">
        <v>0</v>
      </c>
      <c r="I9" s="3">
        <v>0</v>
      </c>
      <c r="J9" s="3">
        <v>0</v>
      </c>
      <c r="K9" s="3">
        <v>38</v>
      </c>
      <c r="L9" s="3">
        <v>140</v>
      </c>
      <c r="M9" s="3">
        <v>230</v>
      </c>
      <c r="N9" s="10">
        <v>315</v>
      </c>
      <c r="O9" s="10">
        <v>429</v>
      </c>
      <c r="P9" s="3">
        <v>514</v>
      </c>
      <c r="Q9" s="3">
        <f t="shared" ref="Q9:R9" si="17">+P9+50</f>
        <v>564</v>
      </c>
      <c r="R9" s="3">
        <f t="shared" si="17"/>
        <v>614</v>
      </c>
      <c r="S9" s="3"/>
      <c r="T9" s="3"/>
      <c r="U9" s="3"/>
      <c r="V9" s="3"/>
      <c r="W9" s="3"/>
      <c r="X9" s="3"/>
      <c r="Y9" s="3"/>
      <c r="Z9" s="3">
        <v>0</v>
      </c>
      <c r="AA9" s="2">
        <v>0</v>
      </c>
      <c r="AB9" s="2">
        <v>0</v>
      </c>
      <c r="AC9" s="2">
        <f t="shared" si="4"/>
        <v>0</v>
      </c>
      <c r="AD9" s="2">
        <f t="shared" si="5"/>
        <v>723</v>
      </c>
      <c r="AE9" s="2">
        <f t="shared" si="6"/>
        <v>2121</v>
      </c>
      <c r="AF9" s="2">
        <f>+AE9*1.3</f>
        <v>2757.3</v>
      </c>
      <c r="AG9" s="2">
        <f>+AF9*1.2</f>
        <v>3308.76</v>
      </c>
      <c r="AH9" s="2">
        <f t="shared" ref="AH9:AI9" si="18">+AG9*1.2</f>
        <v>3970.5120000000002</v>
      </c>
      <c r="AI9" s="2">
        <f t="shared" si="18"/>
        <v>4764.6144000000004</v>
      </c>
      <c r="AJ9" s="2">
        <f>+AI9*1.05</f>
        <v>5002.8451200000009</v>
      </c>
      <c r="AK9" s="2">
        <f t="shared" ref="AK9" si="19">+AJ9*1.05</f>
        <v>5252.9873760000009</v>
      </c>
      <c r="AL9" s="2">
        <f>+AK9*0.2</f>
        <v>1050.5974752000002</v>
      </c>
      <c r="AM9" s="2">
        <f>+AL9*0.2</f>
        <v>210.11949504000006</v>
      </c>
      <c r="AN9" s="2">
        <f t="shared" ref="AN9:AS9" si="20">+AM9*0.2</f>
        <v>42.023899008000015</v>
      </c>
      <c r="AO9" s="2">
        <f t="shared" si="20"/>
        <v>8.4047798016000037</v>
      </c>
      <c r="AP9" s="2">
        <f t="shared" si="20"/>
        <v>1.6809559603200008</v>
      </c>
      <c r="AQ9" s="2">
        <f t="shared" si="20"/>
        <v>0.33619119206400017</v>
      </c>
      <c r="AR9" s="2">
        <f t="shared" si="20"/>
        <v>6.7238238412800036E-2</v>
      </c>
      <c r="AS9" s="2">
        <f t="shared" si="20"/>
        <v>1.3447647682560009E-2</v>
      </c>
    </row>
    <row r="10" spans="1:47" s="2" customFormat="1" x14ac:dyDescent="0.2">
      <c r="B10" s="2" t="s">
        <v>40</v>
      </c>
      <c r="C10" s="3"/>
      <c r="D10" s="3"/>
      <c r="E10" s="3"/>
      <c r="F10" s="3"/>
      <c r="G10" s="3">
        <v>457</v>
      </c>
      <c r="H10" s="3">
        <v>543</v>
      </c>
      <c r="I10" s="3">
        <v>490</v>
      </c>
      <c r="J10" s="3">
        <v>572</v>
      </c>
      <c r="K10" s="3">
        <v>441</v>
      </c>
      <c r="L10" s="3">
        <v>509</v>
      </c>
      <c r="M10" s="3">
        <v>454</v>
      </c>
      <c r="N10" s="10">
        <v>456</v>
      </c>
      <c r="O10" s="10">
        <v>411</v>
      </c>
      <c r="P10" s="3">
        <v>461</v>
      </c>
      <c r="Q10" s="3">
        <f t="shared" ref="Q10:R10" si="21">+M10*0.8</f>
        <v>363.20000000000005</v>
      </c>
      <c r="R10" s="3">
        <f t="shared" si="21"/>
        <v>364.8</v>
      </c>
      <c r="S10" s="3"/>
      <c r="T10" s="3"/>
      <c r="U10" s="3"/>
      <c r="V10" s="3"/>
      <c r="W10" s="3"/>
      <c r="X10" s="3"/>
      <c r="Y10" s="3"/>
      <c r="Z10" s="3">
        <v>9577</v>
      </c>
      <c r="AA10" s="2">
        <v>3948</v>
      </c>
      <c r="AB10" s="2">
        <v>2315</v>
      </c>
      <c r="AC10" s="2">
        <f t="shared" si="4"/>
        <v>2062</v>
      </c>
      <c r="AD10" s="2">
        <f t="shared" si="5"/>
        <v>1860</v>
      </c>
      <c r="AE10" s="2">
        <f t="shared" si="6"/>
        <v>1600</v>
      </c>
      <c r="AF10" s="2">
        <f>+AE10*0.93</f>
        <v>1488</v>
      </c>
      <c r="AG10" s="2">
        <f t="shared" ref="AG10:AS10" si="22">+AF10*0.93</f>
        <v>1383.8400000000001</v>
      </c>
      <c r="AH10" s="2">
        <f t="shared" si="22"/>
        <v>1286.9712000000002</v>
      </c>
      <c r="AI10" s="2">
        <f t="shared" si="22"/>
        <v>1196.8832160000002</v>
      </c>
      <c r="AJ10" s="2">
        <f t="shared" si="22"/>
        <v>1113.1013908800003</v>
      </c>
      <c r="AK10" s="2">
        <f t="shared" si="22"/>
        <v>1035.1842935184004</v>
      </c>
      <c r="AL10" s="2">
        <f t="shared" si="22"/>
        <v>962.72139297211243</v>
      </c>
      <c r="AM10" s="2">
        <f t="shared" si="22"/>
        <v>895.33089546406461</v>
      </c>
      <c r="AN10" s="2">
        <f t="shared" si="22"/>
        <v>832.65773278158008</v>
      </c>
      <c r="AO10" s="2">
        <f t="shared" si="22"/>
        <v>774.37169148686951</v>
      </c>
      <c r="AP10" s="2">
        <f t="shared" si="22"/>
        <v>720.16567308278866</v>
      </c>
      <c r="AQ10" s="2">
        <f t="shared" si="22"/>
        <v>669.75407596699347</v>
      </c>
      <c r="AR10" s="2">
        <f t="shared" si="22"/>
        <v>622.871290649304</v>
      </c>
      <c r="AS10" s="2">
        <f t="shared" si="22"/>
        <v>579.27030030385276</v>
      </c>
    </row>
    <row r="11" spans="1:47" s="2" customFormat="1" x14ac:dyDescent="0.2">
      <c r="B11" s="2" t="s">
        <v>21</v>
      </c>
      <c r="C11" s="3"/>
      <c r="D11" s="3"/>
      <c r="E11" s="3"/>
      <c r="F11" s="3"/>
      <c r="G11" s="3">
        <v>374</v>
      </c>
      <c r="H11" s="3">
        <v>427</v>
      </c>
      <c r="I11" s="3">
        <f>299+128</f>
        <v>427</v>
      </c>
      <c r="J11" s="3">
        <v>457</v>
      </c>
      <c r="K11" s="3">
        <f>288+108</f>
        <v>396</v>
      </c>
      <c r="L11" s="3">
        <v>448</v>
      </c>
      <c r="M11" s="3">
        <f>333+97</f>
        <v>430</v>
      </c>
      <c r="N11" s="10">
        <v>434</v>
      </c>
      <c r="O11" s="10">
        <f>300+96</f>
        <v>396</v>
      </c>
      <c r="P11" s="3">
        <f>300+101</f>
        <v>401</v>
      </c>
      <c r="Q11" s="3">
        <f t="shared" ref="Q11:R11" si="23">+M11</f>
        <v>430</v>
      </c>
      <c r="R11" s="3">
        <f t="shared" si="23"/>
        <v>434</v>
      </c>
      <c r="S11" s="3"/>
      <c r="T11" s="3"/>
      <c r="U11" s="3"/>
      <c r="V11" s="3"/>
      <c r="W11" s="3"/>
      <c r="X11" s="3"/>
      <c r="Y11" s="3"/>
      <c r="Z11" s="3">
        <v>1981</v>
      </c>
      <c r="AA11" s="2">
        <v>2051</v>
      </c>
      <c r="AB11" s="2">
        <v>1881</v>
      </c>
      <c r="AC11" s="2">
        <f t="shared" si="4"/>
        <v>1685</v>
      </c>
      <c r="AD11" s="2">
        <f t="shared" si="5"/>
        <v>1708</v>
      </c>
      <c r="AE11" s="2">
        <f t="shared" si="6"/>
        <v>1661</v>
      </c>
    </row>
    <row r="12" spans="1:47" s="2" customFormat="1" x14ac:dyDescent="0.2">
      <c r="B12" s="2" t="s">
        <v>64</v>
      </c>
      <c r="C12" s="3"/>
      <c r="D12" s="3"/>
      <c r="E12" s="3"/>
      <c r="F12" s="3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10">
        <v>310</v>
      </c>
      <c r="O12" s="10">
        <v>304</v>
      </c>
      <c r="P12" s="3">
        <v>295</v>
      </c>
      <c r="Q12" s="3">
        <f t="shared" ref="Q12:R12" si="24">+P12</f>
        <v>295</v>
      </c>
      <c r="R12" s="3">
        <f t="shared" si="24"/>
        <v>295</v>
      </c>
      <c r="S12" s="3"/>
      <c r="T12" s="3"/>
      <c r="U12" s="3"/>
      <c r="V12" s="3"/>
      <c r="W12" s="3"/>
      <c r="X12" s="3"/>
      <c r="Y12" s="3"/>
      <c r="Z12" s="3">
        <v>0</v>
      </c>
      <c r="AA12" s="2">
        <v>0</v>
      </c>
      <c r="AB12" s="2">
        <v>0</v>
      </c>
      <c r="AC12" s="2">
        <f t="shared" si="4"/>
        <v>0</v>
      </c>
      <c r="AD12" s="2">
        <f t="shared" si="5"/>
        <v>310</v>
      </c>
      <c r="AE12" s="2">
        <f t="shared" si="6"/>
        <v>1189</v>
      </c>
      <c r="AF12" s="2">
        <f>+AE12*1.01</f>
        <v>1200.8900000000001</v>
      </c>
      <c r="AG12" s="2">
        <f t="shared" ref="AG12:AS12" si="25">+AF12*1.01</f>
        <v>1212.8989000000001</v>
      </c>
      <c r="AH12" s="2">
        <f t="shared" si="25"/>
        <v>1225.0278890000002</v>
      </c>
      <c r="AI12" s="2">
        <f t="shared" si="25"/>
        <v>1237.2781678900003</v>
      </c>
      <c r="AJ12" s="2">
        <f t="shared" si="25"/>
        <v>1249.6509495689004</v>
      </c>
      <c r="AK12" s="2">
        <f t="shared" si="25"/>
        <v>1262.1474590645894</v>
      </c>
      <c r="AL12" s="2">
        <f t="shared" si="25"/>
        <v>1274.7689336552353</v>
      </c>
      <c r="AM12" s="2">
        <f t="shared" si="25"/>
        <v>1287.5166229917877</v>
      </c>
      <c r="AN12" s="2">
        <f t="shared" si="25"/>
        <v>1300.3917892217055</v>
      </c>
      <c r="AO12" s="2">
        <f t="shared" si="25"/>
        <v>1313.3957071139225</v>
      </c>
      <c r="AP12" s="2">
        <f t="shared" si="25"/>
        <v>1326.5296641850618</v>
      </c>
      <c r="AQ12" s="2">
        <f t="shared" si="25"/>
        <v>1339.7949608269125</v>
      </c>
      <c r="AR12" s="2">
        <f t="shared" si="25"/>
        <v>1353.1929104351816</v>
      </c>
      <c r="AS12" s="2">
        <f t="shared" si="25"/>
        <v>1366.7248395395334</v>
      </c>
    </row>
    <row r="13" spans="1:47" s="2" customFormat="1" x14ac:dyDescent="0.2">
      <c r="B13" s="2" t="s">
        <v>35</v>
      </c>
      <c r="C13" s="3"/>
      <c r="D13" s="3"/>
      <c r="E13" s="3"/>
      <c r="F13" s="3"/>
      <c r="G13" s="3">
        <v>268</v>
      </c>
      <c r="H13" s="3">
        <v>310</v>
      </c>
      <c r="I13" s="3">
        <v>287</v>
      </c>
      <c r="J13" s="3">
        <v>310</v>
      </c>
      <c r="K13" s="3">
        <v>242</v>
      </c>
      <c r="L13" s="3">
        <v>294</v>
      </c>
      <c r="M13" s="3">
        <v>279</v>
      </c>
      <c r="N13" s="10">
        <v>305</v>
      </c>
      <c r="O13" s="10">
        <v>278</v>
      </c>
      <c r="P13" s="3">
        <v>285</v>
      </c>
      <c r="Q13" s="3">
        <f t="shared" ref="Q13:Q14" si="26">+M13*0.97</f>
        <v>270.63</v>
      </c>
      <c r="R13" s="3">
        <f t="shared" ref="R13:R14" si="27">+N13*0.97</f>
        <v>295.84999999999997</v>
      </c>
      <c r="S13" s="3"/>
      <c r="T13" s="3"/>
      <c r="U13" s="3"/>
      <c r="V13" s="3"/>
      <c r="W13" s="3"/>
      <c r="X13" s="3"/>
      <c r="Y13" s="3"/>
      <c r="Z13" s="3">
        <v>1187</v>
      </c>
      <c r="AA13" s="2">
        <v>1236</v>
      </c>
      <c r="AB13" s="2">
        <v>1204</v>
      </c>
      <c r="AC13" s="2">
        <f t="shared" si="4"/>
        <v>1175</v>
      </c>
      <c r="AD13" s="2">
        <f t="shared" si="5"/>
        <v>1120</v>
      </c>
      <c r="AE13" s="2">
        <f t="shared" si="6"/>
        <v>1129.48</v>
      </c>
    </row>
    <row r="14" spans="1:47" s="2" customFormat="1" x14ac:dyDescent="0.2">
      <c r="B14" s="2" t="s">
        <v>41</v>
      </c>
      <c r="C14" s="3"/>
      <c r="D14" s="3"/>
      <c r="E14" s="3"/>
      <c r="F14" s="3"/>
      <c r="G14" s="3">
        <v>248</v>
      </c>
      <c r="H14" s="3">
        <v>274</v>
      </c>
      <c r="I14" s="3">
        <v>264</v>
      </c>
      <c r="J14" s="3">
        <v>290</v>
      </c>
      <c r="K14" s="3">
        <v>232</v>
      </c>
      <c r="L14" s="3">
        <v>259</v>
      </c>
      <c r="M14" s="3">
        <v>263</v>
      </c>
      <c r="N14" s="10">
        <v>264</v>
      </c>
      <c r="O14" s="10">
        <v>256</v>
      </c>
      <c r="P14" s="3">
        <v>251</v>
      </c>
      <c r="Q14" s="3">
        <f t="shared" si="26"/>
        <v>255.10999999999999</v>
      </c>
      <c r="R14" s="3">
        <f t="shared" si="27"/>
        <v>256.08</v>
      </c>
      <c r="S14" s="3"/>
      <c r="T14" s="3"/>
      <c r="U14" s="3"/>
      <c r="V14" s="3"/>
      <c r="W14" s="3"/>
      <c r="X14" s="3"/>
      <c r="Y14" s="3"/>
      <c r="Z14" s="3">
        <v>1013</v>
      </c>
      <c r="AA14" s="2">
        <v>1073</v>
      </c>
      <c r="AB14" s="2">
        <v>1092</v>
      </c>
      <c r="AC14" s="2">
        <f t="shared" si="4"/>
        <v>1076</v>
      </c>
      <c r="AD14" s="2">
        <f t="shared" si="5"/>
        <v>1018</v>
      </c>
      <c r="AE14" s="2">
        <f t="shared" si="6"/>
        <v>1018.19</v>
      </c>
    </row>
    <row r="15" spans="1:47" s="2" customFormat="1" x14ac:dyDescent="0.2">
      <c r="B15" s="2" t="s">
        <v>42</v>
      </c>
      <c r="C15" s="3"/>
      <c r="D15" s="3"/>
      <c r="E15" s="3"/>
      <c r="F15" s="3"/>
      <c r="G15" s="3">
        <v>278</v>
      </c>
      <c r="H15" s="3">
        <v>282</v>
      </c>
      <c r="I15" s="3">
        <v>270</v>
      </c>
      <c r="J15" s="3">
        <v>282</v>
      </c>
      <c r="K15" s="3">
        <v>252</v>
      </c>
      <c r="L15" s="3">
        <v>251</v>
      </c>
      <c r="M15" s="3">
        <v>241</v>
      </c>
      <c r="N15" s="10">
        <v>248</v>
      </c>
      <c r="O15" s="10">
        <v>236</v>
      </c>
      <c r="P15" s="3">
        <v>240</v>
      </c>
      <c r="Q15" s="3">
        <f t="shared" ref="Q15:R15" si="28">+M15*0.9</f>
        <v>216.9</v>
      </c>
      <c r="R15" s="3">
        <f t="shared" si="28"/>
        <v>223.20000000000002</v>
      </c>
      <c r="S15" s="3"/>
      <c r="T15" s="3"/>
      <c r="U15" s="3"/>
      <c r="V15" s="3"/>
      <c r="W15" s="3"/>
      <c r="X15" s="3"/>
      <c r="Y15" s="3"/>
      <c r="Z15" s="3">
        <v>1445</v>
      </c>
      <c r="AA15" s="2">
        <v>1349</v>
      </c>
      <c r="AB15" s="2">
        <v>1229</v>
      </c>
      <c r="AC15" s="2">
        <f t="shared" si="4"/>
        <v>1112</v>
      </c>
      <c r="AD15" s="2">
        <f t="shared" si="5"/>
        <v>992</v>
      </c>
      <c r="AE15" s="2">
        <f t="shared" si="6"/>
        <v>916.1</v>
      </c>
    </row>
    <row r="16" spans="1:47" s="2" customFormat="1" x14ac:dyDescent="0.2">
      <c r="B16" s="2" t="s">
        <v>22</v>
      </c>
      <c r="C16" s="3"/>
      <c r="D16" s="3"/>
      <c r="E16" s="3"/>
      <c r="F16" s="3"/>
      <c r="G16" s="3">
        <v>147</v>
      </c>
      <c r="H16" s="3">
        <v>170</v>
      </c>
      <c r="I16" s="3">
        <v>158</v>
      </c>
      <c r="J16" s="3">
        <v>172</v>
      </c>
      <c r="K16" s="3">
        <v>158</v>
      </c>
      <c r="L16" s="3">
        <v>173</v>
      </c>
      <c r="M16" s="3">
        <v>159</v>
      </c>
      <c r="N16" s="10">
        <v>180</v>
      </c>
      <c r="O16" s="10">
        <v>220</v>
      </c>
      <c r="P16" s="3">
        <v>213</v>
      </c>
      <c r="Q16" s="3">
        <f t="shared" ref="Q16:R16" si="29">+P16+5</f>
        <v>218</v>
      </c>
      <c r="R16" s="3">
        <f t="shared" si="29"/>
        <v>223</v>
      </c>
      <c r="S16" s="3"/>
      <c r="T16" s="3"/>
      <c r="U16" s="3"/>
      <c r="V16" s="3"/>
      <c r="W16" s="3"/>
      <c r="X16" s="3"/>
      <c r="Y16" s="3"/>
      <c r="Z16" s="3">
        <v>720</v>
      </c>
      <c r="AA16" s="2">
        <v>670</v>
      </c>
      <c r="AB16" s="2">
        <v>648</v>
      </c>
      <c r="AC16" s="2">
        <f t="shared" si="4"/>
        <v>647</v>
      </c>
      <c r="AD16" s="2">
        <f t="shared" si="5"/>
        <v>670</v>
      </c>
      <c r="AE16" s="2">
        <f t="shared" si="6"/>
        <v>874</v>
      </c>
    </row>
    <row r="17" spans="2:45" s="2" customFormat="1" x14ac:dyDescent="0.2">
      <c r="B17" s="2" t="s">
        <v>23</v>
      </c>
      <c r="C17" s="3"/>
      <c r="D17" s="3"/>
      <c r="E17" s="3"/>
      <c r="F17" s="3"/>
      <c r="G17" s="3">
        <v>52</v>
      </c>
      <c r="H17" s="3">
        <v>68</v>
      </c>
      <c r="I17" s="3">
        <v>85</v>
      </c>
      <c r="J17" s="3">
        <v>104</v>
      </c>
      <c r="K17" s="3">
        <v>96</v>
      </c>
      <c r="L17" s="3">
        <v>128</v>
      </c>
      <c r="M17" s="3">
        <v>127</v>
      </c>
      <c r="N17" s="10">
        <v>172</v>
      </c>
      <c r="O17" s="10">
        <v>197</v>
      </c>
      <c r="P17" s="3">
        <v>217</v>
      </c>
      <c r="Q17" s="3">
        <f>+P17+20</f>
        <v>237</v>
      </c>
      <c r="R17" s="3">
        <f>+Q17+20</f>
        <v>257</v>
      </c>
      <c r="S17" s="3"/>
      <c r="T17" s="3"/>
      <c r="U17" s="3"/>
      <c r="V17" s="3"/>
      <c r="W17" s="3"/>
      <c r="X17" s="3"/>
      <c r="Y17" s="3"/>
      <c r="Z17" s="3">
        <v>0</v>
      </c>
      <c r="AA17" s="2">
        <v>6</v>
      </c>
      <c r="AB17" s="2">
        <v>114</v>
      </c>
      <c r="AC17" s="2">
        <f t="shared" si="4"/>
        <v>309</v>
      </c>
      <c r="AD17" s="2">
        <f t="shared" si="5"/>
        <v>523</v>
      </c>
      <c r="AE17" s="2">
        <f>SUM(O17:R17)</f>
        <v>908</v>
      </c>
      <c r="AF17" s="2">
        <f>+AE17*1.2</f>
        <v>1089.5999999999999</v>
      </c>
      <c r="AG17" s="2">
        <f>+AF17*1.02</f>
        <v>1111.3919999999998</v>
      </c>
      <c r="AH17" s="2">
        <f t="shared" ref="AH17:AK17" si="30">+AG17*1.02</f>
        <v>1133.6198399999998</v>
      </c>
      <c r="AI17" s="2">
        <f t="shared" si="30"/>
        <v>1156.2922368</v>
      </c>
      <c r="AJ17" s="2">
        <f t="shared" si="30"/>
        <v>1179.418081536</v>
      </c>
      <c r="AK17" s="2">
        <f t="shared" si="30"/>
        <v>1203.0064431667201</v>
      </c>
      <c r="AL17" s="2">
        <f>+AK17*0.5</f>
        <v>601.50322158336007</v>
      </c>
      <c r="AM17" s="2">
        <f>+AL17*0.5</f>
        <v>300.75161079168004</v>
      </c>
      <c r="AN17" s="2">
        <f t="shared" ref="AN17:AS17" si="31">+AM17*0.5</f>
        <v>150.37580539584002</v>
      </c>
      <c r="AO17" s="2">
        <f t="shared" si="31"/>
        <v>75.187902697920009</v>
      </c>
      <c r="AP17" s="2">
        <f t="shared" si="31"/>
        <v>37.593951348960005</v>
      </c>
      <c r="AQ17" s="2">
        <f t="shared" si="31"/>
        <v>18.796975674480002</v>
      </c>
      <c r="AR17" s="2">
        <f t="shared" si="31"/>
        <v>9.3984878372400011</v>
      </c>
      <c r="AS17" s="2">
        <f t="shared" si="31"/>
        <v>4.6992439186200006</v>
      </c>
    </row>
    <row r="18" spans="2:45" s="2" customFormat="1" x14ac:dyDescent="0.2">
      <c r="B18" s="2" t="s">
        <v>66</v>
      </c>
      <c r="C18" s="3"/>
      <c r="D18" s="3"/>
      <c r="E18" s="3"/>
      <c r="F18" s="3"/>
      <c r="G18" s="3">
        <v>113</v>
      </c>
      <c r="H18" s="3">
        <v>134</v>
      </c>
      <c r="I18" s="3">
        <v>121</v>
      </c>
      <c r="J18" s="3">
        <v>83</v>
      </c>
      <c r="K18" s="3">
        <v>111</v>
      </c>
      <c r="L18" s="3">
        <v>133</v>
      </c>
      <c r="M18" s="3">
        <v>116</v>
      </c>
      <c r="N18" s="10">
        <v>146</v>
      </c>
      <c r="O18" s="10">
        <v>188</v>
      </c>
      <c r="P18" s="3">
        <v>196</v>
      </c>
      <c r="Q18" s="3">
        <f t="shared" ref="Q18:R18" si="32">+M18</f>
        <v>116</v>
      </c>
      <c r="R18" s="3">
        <f t="shared" si="32"/>
        <v>146</v>
      </c>
      <c r="S18" s="3"/>
      <c r="T18" s="3"/>
      <c r="U18" s="3"/>
      <c r="V18" s="3"/>
      <c r="W18" s="3"/>
      <c r="X18" s="3"/>
      <c r="Y18" s="3"/>
      <c r="Z18" s="3"/>
      <c r="AC18" s="2">
        <f t="shared" si="4"/>
        <v>451</v>
      </c>
      <c r="AD18" s="2">
        <f t="shared" si="5"/>
        <v>506</v>
      </c>
      <c r="AE18" s="2">
        <f t="shared" si="6"/>
        <v>646</v>
      </c>
    </row>
    <row r="19" spans="2:45" s="2" customFormat="1" x14ac:dyDescent="0.2">
      <c r="B19" s="2" t="s">
        <v>24</v>
      </c>
      <c r="C19" s="3"/>
      <c r="D19" s="3"/>
      <c r="E19" s="3"/>
      <c r="F19" s="3"/>
      <c r="G19" s="3">
        <v>201</v>
      </c>
      <c r="H19" s="3">
        <v>227</v>
      </c>
      <c r="I19" s="3">
        <v>212</v>
      </c>
      <c r="J19" s="30">
        <v>21</v>
      </c>
      <c r="K19" s="10">
        <v>173</v>
      </c>
      <c r="L19" s="3">
        <v>193</v>
      </c>
      <c r="M19" s="3">
        <v>194</v>
      </c>
      <c r="N19" s="10">
        <v>191</v>
      </c>
      <c r="O19" s="10">
        <v>185</v>
      </c>
      <c r="P19" s="3">
        <v>183</v>
      </c>
      <c r="Q19" s="3">
        <f t="shared" ref="Q19:R19" si="33">+M19*0.95</f>
        <v>184.29999999999998</v>
      </c>
      <c r="R19" s="3">
        <f t="shared" si="33"/>
        <v>181.45</v>
      </c>
      <c r="S19" s="3"/>
      <c r="T19" s="3"/>
      <c r="U19" s="3"/>
      <c r="V19" s="3"/>
      <c r="W19" s="3"/>
      <c r="X19" s="3"/>
      <c r="Y19" s="3"/>
      <c r="Z19" s="3"/>
      <c r="AC19" s="2">
        <f t="shared" si="4"/>
        <v>661</v>
      </c>
      <c r="AD19" s="2">
        <f t="shared" si="5"/>
        <v>751</v>
      </c>
      <c r="AE19" s="2">
        <f t="shared" si="6"/>
        <v>733.75</v>
      </c>
    </row>
    <row r="20" spans="2:45" s="2" customFormat="1" x14ac:dyDescent="0.2">
      <c r="B20" s="2" t="s">
        <v>54</v>
      </c>
      <c r="C20" s="3"/>
      <c r="D20" s="3"/>
      <c r="E20" s="3"/>
      <c r="F20" s="3"/>
      <c r="G20" s="3">
        <v>172</v>
      </c>
      <c r="H20" s="3">
        <v>198</v>
      </c>
      <c r="I20" s="3">
        <v>178</v>
      </c>
      <c r="J20" s="3">
        <v>189</v>
      </c>
      <c r="K20" s="3">
        <v>161</v>
      </c>
      <c r="L20" s="3">
        <v>177</v>
      </c>
      <c r="M20" s="3">
        <v>185</v>
      </c>
      <c r="N20" s="10">
        <v>193</v>
      </c>
      <c r="O20" s="10">
        <v>178</v>
      </c>
      <c r="P20" s="3">
        <v>194</v>
      </c>
      <c r="Q20" s="3">
        <f t="shared" ref="Q20:R20" si="34">+M20*1.02</f>
        <v>188.70000000000002</v>
      </c>
      <c r="R20" s="3">
        <f t="shared" si="34"/>
        <v>196.86</v>
      </c>
      <c r="S20" s="3"/>
      <c r="T20" s="3"/>
      <c r="U20" s="3"/>
      <c r="V20" s="3"/>
      <c r="W20" s="3"/>
      <c r="X20" s="3"/>
      <c r="Y20" s="3"/>
      <c r="Z20" s="3">
        <v>577</v>
      </c>
      <c r="AA20" s="2">
        <v>630</v>
      </c>
      <c r="AB20" s="2">
        <v>698</v>
      </c>
      <c r="AC20" s="2">
        <f t="shared" si="4"/>
        <v>737</v>
      </c>
      <c r="AD20" s="2">
        <f t="shared" si="5"/>
        <v>716</v>
      </c>
      <c r="AE20" s="2">
        <f t="shared" si="6"/>
        <v>757.56000000000006</v>
      </c>
    </row>
    <row r="21" spans="2:45" s="2" customFormat="1" x14ac:dyDescent="0.2">
      <c r="B21" s="2" t="s">
        <v>55</v>
      </c>
      <c r="C21" s="3"/>
      <c r="D21" s="3"/>
      <c r="E21" s="3"/>
      <c r="F21" s="3"/>
      <c r="G21" s="3">
        <v>624</v>
      </c>
      <c r="H21" s="3">
        <v>762</v>
      </c>
      <c r="I21" s="3">
        <v>764</v>
      </c>
      <c r="J21" s="3">
        <v>550</v>
      </c>
      <c r="K21" s="3">
        <v>205</v>
      </c>
      <c r="L21" s="3">
        <v>224</v>
      </c>
      <c r="M21" s="3">
        <v>212</v>
      </c>
      <c r="N21" s="10">
        <v>190</v>
      </c>
      <c r="O21" s="10">
        <v>172</v>
      </c>
      <c r="P21" s="3">
        <v>183</v>
      </c>
      <c r="Q21" s="3">
        <f t="shared" ref="Q21:R21" si="35">+M21*0.9</f>
        <v>190.8</v>
      </c>
      <c r="R21" s="3">
        <f t="shared" si="35"/>
        <v>171</v>
      </c>
      <c r="S21" s="3"/>
      <c r="T21" s="3"/>
      <c r="U21" s="3"/>
      <c r="V21" s="3"/>
      <c r="W21" s="3"/>
      <c r="X21" s="3"/>
      <c r="Y21" s="3"/>
      <c r="Z21" s="3">
        <v>2523</v>
      </c>
      <c r="AA21" s="2">
        <v>2719</v>
      </c>
      <c r="AB21" s="2">
        <v>2918</v>
      </c>
      <c r="AC21" s="2">
        <f t="shared" si="4"/>
        <v>2700</v>
      </c>
      <c r="AD21" s="2">
        <f t="shared" si="5"/>
        <v>831</v>
      </c>
      <c r="AE21" s="2">
        <f t="shared" si="6"/>
        <v>716.8</v>
      </c>
    </row>
    <row r="22" spans="2:45" s="2" customFormat="1" x14ac:dyDescent="0.2">
      <c r="B22" s="2" t="s">
        <v>56</v>
      </c>
      <c r="C22" s="3"/>
      <c r="D22" s="3"/>
      <c r="E22" s="3"/>
      <c r="F22" s="3"/>
      <c r="G22" s="3">
        <v>177</v>
      </c>
      <c r="H22" s="3">
        <v>221</v>
      </c>
      <c r="I22" s="3">
        <v>174</v>
      </c>
      <c r="J22" s="3">
        <v>183</v>
      </c>
      <c r="K22" s="3">
        <v>182</v>
      </c>
      <c r="L22" s="3">
        <v>162</v>
      </c>
      <c r="M22" s="3">
        <v>165</v>
      </c>
      <c r="N22" s="10">
        <v>172</v>
      </c>
      <c r="O22" s="10">
        <v>156</v>
      </c>
      <c r="P22" s="3">
        <v>162</v>
      </c>
      <c r="Q22" s="3">
        <f t="shared" ref="Q22" si="36">+M22*0.9</f>
        <v>148.5</v>
      </c>
      <c r="R22" s="3">
        <f t="shared" ref="R22" si="37">+N22*0.9</f>
        <v>154.80000000000001</v>
      </c>
      <c r="S22" s="3"/>
      <c r="T22" s="3"/>
      <c r="U22" s="3"/>
      <c r="V22" s="3"/>
      <c r="W22" s="3"/>
      <c r="X22" s="3"/>
      <c r="Y22" s="3"/>
      <c r="Z22" s="3">
        <v>747</v>
      </c>
      <c r="AA22" s="2">
        <v>754</v>
      </c>
      <c r="AB22" s="2">
        <v>775</v>
      </c>
      <c r="AC22" s="2">
        <f t="shared" si="4"/>
        <v>755</v>
      </c>
      <c r="AD22" s="2">
        <f t="shared" si="5"/>
        <v>681</v>
      </c>
      <c r="AE22" s="2">
        <f t="shared" si="6"/>
        <v>621.29999999999995</v>
      </c>
    </row>
    <row r="23" spans="2:45" s="2" customFormat="1" x14ac:dyDescent="0.2">
      <c r="B23" s="2" t="s">
        <v>36</v>
      </c>
      <c r="C23" s="3"/>
      <c r="D23" s="3"/>
      <c r="E23" s="3"/>
      <c r="F23" s="3"/>
      <c r="G23" s="3">
        <v>88</v>
      </c>
      <c r="H23" s="3">
        <v>108</v>
      </c>
      <c r="I23" s="3">
        <v>112</v>
      </c>
      <c r="J23" s="3">
        <v>129</v>
      </c>
      <c r="K23" s="3">
        <v>111</v>
      </c>
      <c r="L23" s="3">
        <v>119</v>
      </c>
      <c r="M23" s="3">
        <v>122</v>
      </c>
      <c r="N23" s="10">
        <v>135</v>
      </c>
      <c r="O23" s="10">
        <v>139</v>
      </c>
      <c r="P23" s="3">
        <v>137</v>
      </c>
      <c r="Q23" s="3">
        <f t="shared" ref="Q23:R23" si="38">+M23*1.05</f>
        <v>128.1</v>
      </c>
      <c r="R23" s="3">
        <f t="shared" si="38"/>
        <v>141.75</v>
      </c>
      <c r="S23" s="3"/>
      <c r="T23" s="3"/>
      <c r="U23" s="3"/>
      <c r="V23" s="3"/>
      <c r="W23" s="3"/>
      <c r="X23" s="3"/>
      <c r="Y23" s="3"/>
      <c r="Z23" s="3">
        <v>16</v>
      </c>
      <c r="AA23" s="2">
        <v>123</v>
      </c>
      <c r="AB23" s="2">
        <v>282</v>
      </c>
      <c r="AC23" s="2">
        <f t="shared" si="4"/>
        <v>437</v>
      </c>
      <c r="AD23" s="2">
        <f t="shared" si="5"/>
        <v>487</v>
      </c>
      <c r="AE23" s="2">
        <f t="shared" si="6"/>
        <v>545.85</v>
      </c>
    </row>
    <row r="24" spans="2:45" s="2" customFormat="1" x14ac:dyDescent="0.2">
      <c r="B24" s="2" t="s">
        <v>25</v>
      </c>
      <c r="C24" s="3"/>
      <c r="D24" s="3"/>
      <c r="E24" s="3"/>
      <c r="F24" s="3"/>
      <c r="G24" s="3">
        <v>145</v>
      </c>
      <c r="H24" s="3">
        <v>171</v>
      </c>
      <c r="I24" s="3">
        <v>160</v>
      </c>
      <c r="J24" s="3">
        <v>154</v>
      </c>
      <c r="K24" s="3">
        <v>120</v>
      </c>
      <c r="L24" s="3">
        <v>142</v>
      </c>
      <c r="M24" s="3">
        <v>130</v>
      </c>
      <c r="N24" s="10">
        <v>141</v>
      </c>
      <c r="O24" s="10">
        <v>129</v>
      </c>
      <c r="P24" s="3">
        <v>139</v>
      </c>
      <c r="Q24" s="3">
        <f t="shared" ref="Q24:R24" si="39">+M24*0.9</f>
        <v>117</v>
      </c>
      <c r="R24" s="3">
        <f t="shared" si="39"/>
        <v>126.9</v>
      </c>
      <c r="S24" s="3"/>
      <c r="T24" s="3"/>
      <c r="U24" s="3"/>
      <c r="V24" s="3"/>
      <c r="W24" s="3"/>
      <c r="X24" s="3"/>
      <c r="Y24" s="3"/>
      <c r="Z24" s="3">
        <v>506</v>
      </c>
      <c r="AA24" s="2">
        <v>584</v>
      </c>
      <c r="AB24" s="2">
        <v>602</v>
      </c>
      <c r="AC24" s="2">
        <f t="shared" si="4"/>
        <v>630</v>
      </c>
      <c r="AD24" s="2">
        <f t="shared" si="5"/>
        <v>533</v>
      </c>
      <c r="AE24" s="2">
        <f t="shared" si="6"/>
        <v>511.9</v>
      </c>
    </row>
    <row r="25" spans="2:45" s="2" customFormat="1" x14ac:dyDescent="0.2">
      <c r="B25" s="2" t="s">
        <v>57</v>
      </c>
      <c r="C25" s="3"/>
      <c r="D25" s="3"/>
      <c r="E25" s="3"/>
      <c r="F25" s="3"/>
      <c r="G25" s="3">
        <v>321</v>
      </c>
      <c r="H25" s="3">
        <v>348</v>
      </c>
      <c r="I25" s="3">
        <v>339</v>
      </c>
      <c r="J25" s="3">
        <v>343</v>
      </c>
      <c r="K25" s="3">
        <v>271</v>
      </c>
      <c r="L25" s="3">
        <v>259</v>
      </c>
      <c r="M25" s="3">
        <v>165</v>
      </c>
      <c r="N25" s="10">
        <v>187</v>
      </c>
      <c r="O25" s="10">
        <v>127</v>
      </c>
      <c r="P25" s="3">
        <v>114</v>
      </c>
      <c r="Q25" s="3">
        <f t="shared" ref="Q25:R25" si="40">+M25*0.5</f>
        <v>82.5</v>
      </c>
      <c r="R25" s="3">
        <f t="shared" si="40"/>
        <v>93.5</v>
      </c>
      <c r="S25" s="3"/>
      <c r="T25" s="3"/>
      <c r="U25" s="3"/>
      <c r="V25" s="3"/>
      <c r="W25" s="3"/>
      <c r="X25" s="3"/>
      <c r="Y25" s="3"/>
      <c r="Z25" s="3">
        <v>1283</v>
      </c>
      <c r="AA25" s="2">
        <v>1345</v>
      </c>
      <c r="AB25" s="2">
        <v>1353</v>
      </c>
      <c r="AC25" s="2">
        <f t="shared" si="4"/>
        <v>1351</v>
      </c>
      <c r="AD25" s="2">
        <f t="shared" si="5"/>
        <v>882</v>
      </c>
      <c r="AE25" s="2">
        <f t="shared" si="6"/>
        <v>417</v>
      </c>
    </row>
    <row r="26" spans="2:45" s="2" customFormat="1" x14ac:dyDescent="0.2">
      <c r="B26" s="2" t="s">
        <v>26</v>
      </c>
      <c r="C26" s="3"/>
      <c r="D26" s="3"/>
      <c r="E26" s="3"/>
      <c r="F26" s="3"/>
      <c r="G26" s="3">
        <v>166</v>
      </c>
      <c r="H26" s="3">
        <v>194</v>
      </c>
      <c r="I26" s="3">
        <v>173</v>
      </c>
      <c r="J26" s="3">
        <v>190</v>
      </c>
      <c r="K26" s="3">
        <v>138</v>
      </c>
      <c r="L26" s="3">
        <v>167</v>
      </c>
      <c r="M26" s="3">
        <v>142</v>
      </c>
      <c r="N26" s="10">
        <v>169</v>
      </c>
      <c r="O26" s="10">
        <v>125</v>
      </c>
      <c r="P26" s="3">
        <v>152</v>
      </c>
      <c r="Q26" s="3">
        <f t="shared" ref="Q26:R26" si="41">+M26*0.8</f>
        <v>113.60000000000001</v>
      </c>
      <c r="R26" s="3">
        <f t="shared" si="41"/>
        <v>135.20000000000002</v>
      </c>
      <c r="S26" s="3"/>
      <c r="T26" s="3"/>
      <c r="U26" s="3"/>
      <c r="V26" s="3"/>
      <c r="W26" s="3"/>
      <c r="X26" s="3"/>
      <c r="Y26" s="3"/>
      <c r="Z26" s="3">
        <v>889</v>
      </c>
      <c r="AA26" s="2">
        <v>832</v>
      </c>
      <c r="AB26" s="2">
        <v>772</v>
      </c>
      <c r="AC26" s="2">
        <f t="shared" si="4"/>
        <v>723</v>
      </c>
      <c r="AD26" s="2">
        <f t="shared" si="5"/>
        <v>616</v>
      </c>
      <c r="AE26" s="2">
        <f t="shared" si="6"/>
        <v>525.80000000000007</v>
      </c>
    </row>
    <row r="27" spans="2:45" s="2" customFormat="1" x14ac:dyDescent="0.2">
      <c r="B27" s="2" t="s">
        <v>38</v>
      </c>
      <c r="C27" s="3"/>
      <c r="D27" s="3"/>
      <c r="E27" s="3"/>
      <c r="F27" s="3"/>
      <c r="G27" s="3">
        <v>41</v>
      </c>
      <c r="H27" s="3">
        <v>51</v>
      </c>
      <c r="I27" s="3">
        <v>50</v>
      </c>
      <c r="J27" s="3">
        <v>68</v>
      </c>
      <c r="K27" s="3">
        <v>63</v>
      </c>
      <c r="L27" s="3">
        <v>70</v>
      </c>
      <c r="M27" s="3">
        <v>75</v>
      </c>
      <c r="N27" s="10">
        <v>99</v>
      </c>
      <c r="O27" s="10">
        <v>117</v>
      </c>
      <c r="P27" s="3">
        <f>57+65</f>
        <v>122</v>
      </c>
      <c r="Q27" s="3">
        <f t="shared" ref="Q27:Q30" si="42">+M27</f>
        <v>75</v>
      </c>
      <c r="R27" s="3">
        <f t="shared" ref="R27:R30" si="43">+N27</f>
        <v>99</v>
      </c>
      <c r="S27" s="3"/>
      <c r="T27" s="3"/>
      <c r="U27" s="3"/>
      <c r="V27" s="3"/>
      <c r="W27" s="3"/>
      <c r="X27" s="3"/>
      <c r="Y27" s="3"/>
      <c r="Z27" s="3"/>
      <c r="AC27" s="2">
        <f t="shared" si="4"/>
        <v>210</v>
      </c>
      <c r="AD27" s="2">
        <f t="shared" si="5"/>
        <v>307</v>
      </c>
      <c r="AE27" s="2">
        <f t="shared" si="6"/>
        <v>413</v>
      </c>
    </row>
    <row r="28" spans="2:45" s="2" customFormat="1" x14ac:dyDescent="0.2">
      <c r="B28" s="2" t="s">
        <v>59</v>
      </c>
      <c r="C28" s="3"/>
      <c r="D28" s="3"/>
      <c r="E28" s="3"/>
      <c r="F28" s="3"/>
      <c r="G28" s="3">
        <v>106</v>
      </c>
      <c r="H28" s="3">
        <v>115</v>
      </c>
      <c r="I28" s="3">
        <v>101</v>
      </c>
      <c r="J28" s="3">
        <v>105</v>
      </c>
      <c r="K28" s="3">
        <v>101</v>
      </c>
      <c r="L28" s="3">
        <v>113</v>
      </c>
      <c r="M28" s="3">
        <v>112</v>
      </c>
      <c r="N28" s="10">
        <v>118</v>
      </c>
      <c r="O28" s="10">
        <v>113</v>
      </c>
      <c r="P28" s="3">
        <v>115</v>
      </c>
      <c r="Q28" s="3">
        <f t="shared" si="42"/>
        <v>112</v>
      </c>
      <c r="R28" s="3">
        <f t="shared" si="43"/>
        <v>118</v>
      </c>
      <c r="S28" s="3"/>
      <c r="T28" s="3"/>
      <c r="U28" s="3"/>
      <c r="V28" s="3"/>
      <c r="W28" s="3"/>
      <c r="X28" s="3"/>
      <c r="Y28" s="3"/>
      <c r="Z28" s="3">
        <v>510</v>
      </c>
      <c r="AA28" s="2">
        <v>523</v>
      </c>
      <c r="AB28" s="2">
        <v>464</v>
      </c>
      <c r="AC28" s="2">
        <f t="shared" si="4"/>
        <v>427</v>
      </c>
      <c r="AD28" s="2">
        <f t="shared" si="5"/>
        <v>444</v>
      </c>
      <c r="AE28" s="2">
        <f t="shared" si="6"/>
        <v>458</v>
      </c>
    </row>
    <row r="29" spans="2:45" s="2" customFormat="1" x14ac:dyDescent="0.2">
      <c r="B29" s="2" t="s">
        <v>37</v>
      </c>
      <c r="C29" s="3"/>
      <c r="D29" s="3"/>
      <c r="E29" s="3"/>
      <c r="F29" s="3"/>
      <c r="G29" s="3">
        <v>88</v>
      </c>
      <c r="H29" s="3">
        <v>101</v>
      </c>
      <c r="I29" s="3">
        <v>102</v>
      </c>
      <c r="J29" s="3">
        <v>119</v>
      </c>
      <c r="K29" s="3">
        <v>95</v>
      </c>
      <c r="L29" s="3">
        <v>111</v>
      </c>
      <c r="M29" s="3">
        <v>105</v>
      </c>
      <c r="N29" s="10">
        <v>119</v>
      </c>
      <c r="O29" s="10">
        <v>101</v>
      </c>
      <c r="P29" s="3">
        <v>108</v>
      </c>
      <c r="Q29" s="3">
        <f t="shared" si="42"/>
        <v>105</v>
      </c>
      <c r="R29" s="3">
        <f t="shared" si="43"/>
        <v>119</v>
      </c>
      <c r="S29" s="3"/>
      <c r="T29" s="3"/>
      <c r="U29" s="3"/>
      <c r="V29" s="3"/>
      <c r="W29" s="3"/>
      <c r="X29" s="3"/>
      <c r="Y29" s="3"/>
      <c r="Z29" s="3">
        <v>0</v>
      </c>
      <c r="AA29" s="2">
        <v>100</v>
      </c>
      <c r="AB29" s="2">
        <v>319</v>
      </c>
      <c r="AC29" s="2">
        <f t="shared" si="4"/>
        <v>410</v>
      </c>
      <c r="AD29" s="2">
        <f t="shared" si="5"/>
        <v>430</v>
      </c>
      <c r="AE29" s="2">
        <f t="shared" si="6"/>
        <v>433</v>
      </c>
    </row>
    <row r="30" spans="2:45" s="2" customFormat="1" x14ac:dyDescent="0.2">
      <c r="B30" s="2" t="s">
        <v>43</v>
      </c>
      <c r="C30" s="3"/>
      <c r="D30" s="3"/>
      <c r="E30" s="3"/>
      <c r="F30" s="3"/>
      <c r="G30" s="3">
        <v>63</v>
      </c>
      <c r="H30" s="3">
        <v>89</v>
      </c>
      <c r="I30" s="3">
        <v>79</v>
      </c>
      <c r="J30" s="3">
        <v>64</v>
      </c>
      <c r="K30" s="3">
        <v>76</v>
      </c>
      <c r="L30" s="3">
        <v>85</v>
      </c>
      <c r="M30" s="3">
        <v>107</v>
      </c>
      <c r="N30" s="10">
        <v>71</v>
      </c>
      <c r="O30" s="10">
        <v>97</v>
      </c>
      <c r="P30" s="3">
        <v>93</v>
      </c>
      <c r="Q30" s="3">
        <f t="shared" si="42"/>
        <v>107</v>
      </c>
      <c r="R30" s="3">
        <f t="shared" si="43"/>
        <v>71</v>
      </c>
      <c r="S30" s="3"/>
      <c r="T30" s="3"/>
      <c r="U30" s="3"/>
      <c r="V30" s="3"/>
      <c r="W30" s="3"/>
      <c r="X30" s="3"/>
      <c r="Y30" s="3"/>
      <c r="Z30" s="3"/>
      <c r="AC30" s="2">
        <f t="shared" si="4"/>
        <v>295</v>
      </c>
      <c r="AD30" s="2">
        <f t="shared" si="5"/>
        <v>339</v>
      </c>
      <c r="AE30" s="2">
        <f t="shared" si="6"/>
        <v>368</v>
      </c>
    </row>
    <row r="31" spans="2:45" s="2" customFormat="1" x14ac:dyDescent="0.2">
      <c r="B31" s="2" t="s">
        <v>60</v>
      </c>
      <c r="C31" s="3"/>
      <c r="D31" s="3"/>
      <c r="E31" s="3"/>
      <c r="F31" s="3"/>
      <c r="G31" s="3">
        <v>88</v>
      </c>
      <c r="H31" s="3">
        <v>92</v>
      </c>
      <c r="I31" s="3">
        <v>90</v>
      </c>
      <c r="J31" s="3">
        <v>85</v>
      </c>
      <c r="K31" s="3">
        <v>98</v>
      </c>
      <c r="L31" s="3">
        <v>80</v>
      </c>
      <c r="M31" s="3">
        <v>72</v>
      </c>
      <c r="N31" s="10">
        <v>89</v>
      </c>
      <c r="O31" s="10">
        <v>96</v>
      </c>
      <c r="P31" s="3">
        <v>105</v>
      </c>
      <c r="Q31" s="3">
        <f t="shared" ref="Q31" si="44">+M31</f>
        <v>72</v>
      </c>
      <c r="R31" s="3">
        <f t="shared" ref="R31" si="45">+N31</f>
        <v>89</v>
      </c>
      <c r="S31" s="3"/>
      <c r="T31" s="3"/>
      <c r="U31" s="3"/>
      <c r="V31" s="3"/>
      <c r="W31" s="3"/>
      <c r="X31" s="3"/>
      <c r="Y31" s="3"/>
      <c r="Z31" s="3">
        <v>218</v>
      </c>
      <c r="AA31" s="2">
        <v>262</v>
      </c>
      <c r="AB31" s="2">
        <v>309</v>
      </c>
      <c r="AC31" s="2">
        <f t="shared" si="4"/>
        <v>355</v>
      </c>
      <c r="AD31" s="2">
        <f t="shared" si="5"/>
        <v>339</v>
      </c>
      <c r="AE31" s="2">
        <f t="shared" si="6"/>
        <v>362</v>
      </c>
    </row>
    <row r="32" spans="2:45" s="2" customFormat="1" x14ac:dyDescent="0.2">
      <c r="B32" s="2" t="s">
        <v>44</v>
      </c>
      <c r="C32" s="3"/>
      <c r="D32" s="3"/>
      <c r="E32" s="3"/>
      <c r="F32" s="3"/>
      <c r="G32" s="3">
        <v>119</v>
      </c>
      <c r="H32" s="3">
        <v>128</v>
      </c>
      <c r="I32" s="3">
        <v>124</v>
      </c>
      <c r="J32" s="3">
        <v>124</v>
      </c>
      <c r="K32" s="3">
        <v>102</v>
      </c>
      <c r="L32" s="3">
        <v>99</v>
      </c>
      <c r="M32" s="3">
        <v>98</v>
      </c>
      <c r="N32" s="10">
        <v>100</v>
      </c>
      <c r="O32" s="10">
        <v>89</v>
      </c>
      <c r="P32" s="3">
        <v>94</v>
      </c>
      <c r="Q32" s="3">
        <f t="shared" ref="Q32:R32" si="46">+M32*0.95</f>
        <v>93.1</v>
      </c>
      <c r="R32" s="3">
        <f t="shared" si="46"/>
        <v>95</v>
      </c>
      <c r="S32" s="3"/>
      <c r="T32" s="3"/>
      <c r="U32" s="3"/>
      <c r="V32" s="3"/>
      <c r="W32" s="3"/>
      <c r="X32" s="3"/>
      <c r="Y32" s="3"/>
      <c r="Z32" s="3">
        <v>1250</v>
      </c>
      <c r="AA32" s="2">
        <v>806</v>
      </c>
      <c r="AB32" s="2">
        <v>589</v>
      </c>
      <c r="AC32" s="2">
        <f t="shared" si="4"/>
        <v>495</v>
      </c>
      <c r="AD32" s="2">
        <f t="shared" si="5"/>
        <v>399</v>
      </c>
      <c r="AE32" s="2">
        <f t="shared" si="6"/>
        <v>371.1</v>
      </c>
    </row>
    <row r="33" spans="2:31" s="2" customFormat="1" x14ac:dyDescent="0.2">
      <c r="B33" s="2" t="s">
        <v>45</v>
      </c>
      <c r="C33" s="3"/>
      <c r="D33" s="3"/>
      <c r="E33" s="3"/>
      <c r="F33" s="3"/>
      <c r="G33" s="3">
        <v>92</v>
      </c>
      <c r="H33" s="3">
        <v>76</v>
      </c>
      <c r="I33" s="3">
        <v>67</v>
      </c>
      <c r="J33" s="3">
        <v>78</v>
      </c>
      <c r="K33" s="3">
        <v>86</v>
      </c>
      <c r="L33" s="3">
        <v>68</v>
      </c>
      <c r="M33" s="3">
        <v>68</v>
      </c>
      <c r="N33" s="10">
        <v>73</v>
      </c>
      <c r="O33" s="10">
        <v>80</v>
      </c>
      <c r="P33" s="3">
        <v>67</v>
      </c>
      <c r="Q33" s="3">
        <f t="shared" ref="Q33" si="47">+M33</f>
        <v>68</v>
      </c>
      <c r="R33" s="3">
        <f t="shared" ref="R33" si="48">+N33</f>
        <v>73</v>
      </c>
      <c r="S33" s="3"/>
      <c r="T33" s="3"/>
      <c r="U33" s="3"/>
      <c r="V33" s="3"/>
      <c r="W33" s="3"/>
      <c r="X33" s="3"/>
      <c r="Y33" s="3"/>
      <c r="Z33" s="3">
        <v>453</v>
      </c>
      <c r="AA33" s="2">
        <v>435</v>
      </c>
      <c r="AB33" s="2">
        <v>387</v>
      </c>
      <c r="AC33" s="2">
        <f t="shared" si="4"/>
        <v>313</v>
      </c>
      <c r="AD33" s="2">
        <f t="shared" si="5"/>
        <v>295</v>
      </c>
      <c r="AE33" s="2">
        <f t="shared" si="6"/>
        <v>288</v>
      </c>
    </row>
    <row r="34" spans="2:31" s="2" customFormat="1" x14ac:dyDescent="0.2">
      <c r="B34" s="2" t="s">
        <v>46</v>
      </c>
      <c r="C34" s="3"/>
      <c r="D34" s="3"/>
      <c r="E34" s="3"/>
      <c r="F34" s="3"/>
      <c r="G34" s="3">
        <v>101</v>
      </c>
      <c r="H34" s="3">
        <v>104</v>
      </c>
      <c r="I34" s="3">
        <v>104</v>
      </c>
      <c r="J34" s="3">
        <v>113</v>
      </c>
      <c r="K34" s="3">
        <v>86</v>
      </c>
      <c r="L34" s="3">
        <v>93</v>
      </c>
      <c r="M34" s="3">
        <v>95</v>
      </c>
      <c r="N34" s="10">
        <v>100</v>
      </c>
      <c r="O34" s="10">
        <v>79</v>
      </c>
      <c r="P34" s="3">
        <v>77</v>
      </c>
      <c r="Q34" s="3">
        <f t="shared" ref="Q34:Q35" si="49">+M34*0.95</f>
        <v>90.25</v>
      </c>
      <c r="R34" s="3">
        <f t="shared" ref="R34:R35" si="50">+N34*0.95</f>
        <v>95</v>
      </c>
      <c r="S34" s="3"/>
      <c r="T34" s="3"/>
      <c r="U34" s="3"/>
      <c r="V34" s="3"/>
      <c r="W34" s="3"/>
      <c r="X34" s="3"/>
      <c r="Y34" s="3"/>
      <c r="Z34" s="3">
        <v>573</v>
      </c>
      <c r="AA34" s="2">
        <v>541</v>
      </c>
      <c r="AB34" s="2">
        <v>469</v>
      </c>
      <c r="AC34" s="2">
        <f t="shared" si="4"/>
        <v>422</v>
      </c>
      <c r="AD34" s="2">
        <f t="shared" si="5"/>
        <v>374</v>
      </c>
      <c r="AE34" s="2">
        <f t="shared" si="6"/>
        <v>341.25</v>
      </c>
    </row>
    <row r="35" spans="2:31" s="2" customFormat="1" x14ac:dyDescent="0.2">
      <c r="B35" s="2" t="s">
        <v>61</v>
      </c>
      <c r="C35" s="3"/>
      <c r="D35" s="3"/>
      <c r="E35" s="3"/>
      <c r="F35" s="3"/>
      <c r="G35" s="3">
        <v>81</v>
      </c>
      <c r="H35" s="3">
        <v>95</v>
      </c>
      <c r="I35" s="3">
        <v>90</v>
      </c>
      <c r="J35" s="3">
        <v>98</v>
      </c>
      <c r="K35" s="3">
        <v>74</v>
      </c>
      <c r="L35" s="3">
        <v>88</v>
      </c>
      <c r="M35" s="3">
        <v>84</v>
      </c>
      <c r="N35" s="10">
        <v>89</v>
      </c>
      <c r="O35" s="10">
        <v>78</v>
      </c>
      <c r="P35" s="3">
        <v>82</v>
      </c>
      <c r="Q35" s="3">
        <f t="shared" si="49"/>
        <v>79.8</v>
      </c>
      <c r="R35" s="3">
        <f t="shared" si="50"/>
        <v>84.55</v>
      </c>
      <c r="S35" s="3"/>
      <c r="T35" s="3"/>
      <c r="U35" s="3"/>
      <c r="V35" s="3"/>
      <c r="W35" s="3"/>
      <c r="X35" s="3"/>
      <c r="Y35" s="3"/>
      <c r="Z35" s="3">
        <v>382</v>
      </c>
      <c r="AA35" s="2">
        <v>381</v>
      </c>
      <c r="AB35" s="2">
        <v>359</v>
      </c>
      <c r="AC35" s="2">
        <f t="shared" si="4"/>
        <v>364</v>
      </c>
      <c r="AD35" s="2">
        <f t="shared" si="5"/>
        <v>335</v>
      </c>
      <c r="AE35" s="2">
        <f t="shared" si="6"/>
        <v>324.35000000000002</v>
      </c>
    </row>
    <row r="36" spans="2:31" s="2" customFormat="1" x14ac:dyDescent="0.2">
      <c r="B36" s="2" t="s">
        <v>47</v>
      </c>
      <c r="C36" s="3"/>
      <c r="D36" s="3"/>
      <c r="E36" s="3"/>
      <c r="F36" s="3"/>
      <c r="G36" s="3">
        <v>87</v>
      </c>
      <c r="H36" s="3">
        <v>98</v>
      </c>
      <c r="I36" s="3">
        <v>92</v>
      </c>
      <c r="J36" s="3">
        <v>105</v>
      </c>
      <c r="K36" s="3">
        <v>80</v>
      </c>
      <c r="L36" s="3">
        <v>82</v>
      </c>
      <c r="M36" s="3">
        <v>91</v>
      </c>
      <c r="N36" s="10">
        <v>98</v>
      </c>
      <c r="O36" s="10">
        <v>78</v>
      </c>
      <c r="P36" s="3">
        <v>87</v>
      </c>
      <c r="Q36" s="3">
        <f t="shared" ref="Q36:Q37" si="51">+M36*0.95</f>
        <v>86.45</v>
      </c>
      <c r="R36" s="3">
        <f t="shared" ref="R36:R37" si="52">+N36*0.95</f>
        <v>93.1</v>
      </c>
      <c r="S36" s="3"/>
      <c r="T36" s="3"/>
      <c r="U36" s="3"/>
      <c r="V36" s="3"/>
      <c r="W36" s="3"/>
      <c r="X36" s="3"/>
      <c r="Y36" s="3"/>
      <c r="Z36" s="3"/>
      <c r="AC36" s="2">
        <f t="shared" si="4"/>
        <v>382</v>
      </c>
      <c r="AD36" s="2">
        <f t="shared" si="5"/>
        <v>351</v>
      </c>
      <c r="AE36" s="2">
        <f t="shared" si="6"/>
        <v>344.54999999999995</v>
      </c>
    </row>
    <row r="37" spans="2:31" s="2" customFormat="1" x14ac:dyDescent="0.2">
      <c r="B37" s="2" t="s">
        <v>62</v>
      </c>
      <c r="C37" s="3"/>
      <c r="D37" s="3"/>
      <c r="E37" s="3"/>
      <c r="F37" s="3"/>
      <c r="G37" s="3">
        <v>74</v>
      </c>
      <c r="H37" s="3">
        <v>82</v>
      </c>
      <c r="I37" s="3">
        <v>85</v>
      </c>
      <c r="J37" s="3">
        <v>82</v>
      </c>
      <c r="K37" s="3">
        <v>74</v>
      </c>
      <c r="L37" s="3">
        <v>77</v>
      </c>
      <c r="M37" s="3">
        <v>81</v>
      </c>
      <c r="N37" s="10">
        <v>73</v>
      </c>
      <c r="O37" s="10">
        <v>76</v>
      </c>
      <c r="P37" s="3">
        <v>59</v>
      </c>
      <c r="Q37" s="3">
        <f t="shared" si="51"/>
        <v>76.95</v>
      </c>
      <c r="R37" s="3">
        <f t="shared" si="52"/>
        <v>69.349999999999994</v>
      </c>
      <c r="S37" s="3"/>
      <c r="T37" s="3"/>
      <c r="U37" s="3"/>
      <c r="V37" s="3"/>
      <c r="W37" s="3"/>
      <c r="X37" s="3"/>
      <c r="Y37" s="3"/>
      <c r="Z37" s="3"/>
      <c r="AC37" s="2">
        <f t="shared" si="4"/>
        <v>323</v>
      </c>
      <c r="AD37" s="2">
        <f t="shared" si="5"/>
        <v>305</v>
      </c>
      <c r="AE37" s="2">
        <f t="shared" si="6"/>
        <v>281.29999999999995</v>
      </c>
    </row>
    <row r="38" spans="2:31" s="2" customFormat="1" x14ac:dyDescent="0.2">
      <c r="B38" s="2" t="s">
        <v>48</v>
      </c>
      <c r="C38" s="3"/>
      <c r="D38" s="3"/>
      <c r="E38" s="3"/>
      <c r="F38" s="3"/>
      <c r="G38" s="3">
        <v>82</v>
      </c>
      <c r="H38" s="3">
        <v>96</v>
      </c>
      <c r="I38" s="3">
        <v>86</v>
      </c>
      <c r="J38" s="3">
        <v>80</v>
      </c>
      <c r="K38" s="3">
        <v>73</v>
      </c>
      <c r="L38" s="3">
        <v>74</v>
      </c>
      <c r="M38" s="3">
        <v>66</v>
      </c>
      <c r="N38" s="10">
        <v>74</v>
      </c>
      <c r="O38" s="10">
        <v>70</v>
      </c>
      <c r="P38" s="3">
        <v>67</v>
      </c>
      <c r="Q38" s="3">
        <f t="shared" ref="Q38:R38" si="53">+M38*0.9</f>
        <v>59.4</v>
      </c>
      <c r="R38" s="3">
        <f t="shared" si="53"/>
        <v>66.600000000000009</v>
      </c>
      <c r="S38" s="3"/>
      <c r="T38" s="3"/>
      <c r="U38" s="3"/>
      <c r="V38" s="3"/>
      <c r="W38" s="3"/>
      <c r="X38" s="3"/>
      <c r="Y38" s="3"/>
      <c r="Z38" s="3"/>
      <c r="AC38" s="2">
        <f t="shared" si="4"/>
        <v>344</v>
      </c>
      <c r="AD38" s="2">
        <f t="shared" si="5"/>
        <v>287</v>
      </c>
      <c r="AE38" s="2">
        <f t="shared" si="6"/>
        <v>263</v>
      </c>
    </row>
    <row r="39" spans="2:31" s="2" customFormat="1" x14ac:dyDescent="0.2">
      <c r="B39" s="2" t="s">
        <v>65</v>
      </c>
      <c r="C39" s="3"/>
      <c r="D39" s="3"/>
      <c r="E39" s="3"/>
      <c r="F39" s="3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10">
        <v>63</v>
      </c>
      <c r="O39" s="10">
        <v>66</v>
      </c>
      <c r="P39" s="3">
        <v>78</v>
      </c>
      <c r="Q39" s="3">
        <f t="shared" ref="Q39:R39" si="54">+P39+3</f>
        <v>81</v>
      </c>
      <c r="R39" s="3">
        <f t="shared" si="54"/>
        <v>84</v>
      </c>
      <c r="S39" s="3"/>
      <c r="T39" s="3"/>
      <c r="U39" s="3"/>
      <c r="V39" s="3"/>
      <c r="W39" s="3"/>
      <c r="X39" s="3"/>
      <c r="Y39" s="3"/>
      <c r="Z39" s="3"/>
      <c r="AC39" s="2">
        <f t="shared" si="4"/>
        <v>0</v>
      </c>
      <c r="AD39" s="2">
        <f t="shared" si="5"/>
        <v>63</v>
      </c>
      <c r="AE39" s="2">
        <f t="shared" si="6"/>
        <v>309</v>
      </c>
    </row>
    <row r="40" spans="2:31" s="2" customFormat="1" x14ac:dyDescent="0.2">
      <c r="B40" s="2" t="s">
        <v>58</v>
      </c>
      <c r="C40" s="3"/>
      <c r="D40" s="3"/>
      <c r="E40" s="3"/>
      <c r="F40" s="3"/>
      <c r="G40" s="3">
        <v>76</v>
      </c>
      <c r="H40" s="3">
        <v>68</v>
      </c>
      <c r="I40" s="3">
        <v>64</v>
      </c>
      <c r="J40" s="3">
        <v>67</v>
      </c>
      <c r="K40" s="3">
        <v>63</v>
      </c>
      <c r="L40" s="3">
        <v>65</v>
      </c>
      <c r="M40" s="3">
        <v>53</v>
      </c>
      <c r="N40" s="10">
        <v>79</v>
      </c>
      <c r="O40" s="10">
        <v>66</v>
      </c>
      <c r="P40" s="3">
        <v>74</v>
      </c>
      <c r="Q40" s="3">
        <f t="shared" ref="Q40:R40" si="55">+M40</f>
        <v>53</v>
      </c>
      <c r="R40" s="3">
        <f t="shared" si="55"/>
        <v>79</v>
      </c>
      <c r="S40" s="3"/>
      <c r="T40" s="3"/>
      <c r="U40" s="3"/>
      <c r="V40" s="3"/>
      <c r="W40" s="3"/>
      <c r="X40" s="3"/>
      <c r="Y40" s="3"/>
      <c r="Z40" s="3"/>
      <c r="AC40" s="2">
        <f t="shared" si="4"/>
        <v>275</v>
      </c>
      <c r="AD40" s="2">
        <f t="shared" si="5"/>
        <v>260</v>
      </c>
      <c r="AE40" s="2">
        <f t="shared" si="6"/>
        <v>272</v>
      </c>
    </row>
    <row r="41" spans="2:31" s="2" customFormat="1" x14ac:dyDescent="0.2">
      <c r="B41" s="2" t="s">
        <v>27</v>
      </c>
      <c r="C41" s="3"/>
      <c r="D41" s="3"/>
      <c r="E41" s="3"/>
      <c r="F41" s="3"/>
      <c r="G41" s="3">
        <v>63</v>
      </c>
      <c r="H41" s="3">
        <v>79</v>
      </c>
      <c r="I41" s="3">
        <v>69</v>
      </c>
      <c r="J41" s="3">
        <v>77</v>
      </c>
      <c r="K41" s="3">
        <v>63</v>
      </c>
      <c r="L41" s="3">
        <v>71</v>
      </c>
      <c r="M41" s="3">
        <v>59</v>
      </c>
      <c r="N41" s="10">
        <v>73</v>
      </c>
      <c r="O41" s="10">
        <v>64</v>
      </c>
      <c r="P41" s="3">
        <v>67</v>
      </c>
      <c r="Q41" s="3">
        <f t="shared" ref="Q41:R41" si="56">+M41*0.95</f>
        <v>56.05</v>
      </c>
      <c r="R41" s="3">
        <f t="shared" si="56"/>
        <v>69.349999999999994</v>
      </c>
      <c r="S41" s="3"/>
      <c r="T41" s="3"/>
      <c r="U41" s="3"/>
      <c r="V41" s="3"/>
      <c r="W41" s="3"/>
      <c r="X41" s="3"/>
      <c r="Y41" s="3"/>
      <c r="Z41" s="3"/>
      <c r="AC41" s="2">
        <f t="shared" si="4"/>
        <v>288</v>
      </c>
      <c r="AD41" s="2">
        <f t="shared" si="5"/>
        <v>266</v>
      </c>
      <c r="AE41" s="2">
        <f t="shared" si="6"/>
        <v>256.39999999999998</v>
      </c>
    </row>
    <row r="42" spans="2:31" s="2" customFormat="1" x14ac:dyDescent="0.2">
      <c r="B42" s="2" t="s">
        <v>49</v>
      </c>
      <c r="C42" s="3"/>
      <c r="D42" s="3"/>
      <c r="E42" s="3"/>
      <c r="F42" s="3"/>
      <c r="G42" s="3">
        <v>0</v>
      </c>
      <c r="H42" s="3">
        <v>0</v>
      </c>
      <c r="I42" s="3">
        <v>0</v>
      </c>
      <c r="J42" s="3">
        <v>40</v>
      </c>
      <c r="K42" s="3">
        <v>37</v>
      </c>
      <c r="L42" s="3">
        <v>0</v>
      </c>
      <c r="M42" s="3">
        <v>0</v>
      </c>
      <c r="N42" s="10">
        <v>57</v>
      </c>
      <c r="O42" s="10">
        <v>61</v>
      </c>
      <c r="P42" s="3">
        <v>55</v>
      </c>
      <c r="Q42" s="3">
        <f t="shared" ref="Q42:R42" si="57">+P42</f>
        <v>55</v>
      </c>
      <c r="R42" s="3">
        <f t="shared" si="57"/>
        <v>55</v>
      </c>
      <c r="S42" s="3"/>
      <c r="T42" s="3"/>
      <c r="U42" s="3"/>
      <c r="V42" s="3"/>
      <c r="W42" s="3"/>
      <c r="X42" s="3"/>
      <c r="Y42" s="3"/>
      <c r="Z42" s="3"/>
      <c r="AC42" s="2">
        <f t="shared" si="4"/>
        <v>40</v>
      </c>
      <c r="AD42" s="2">
        <f t="shared" si="5"/>
        <v>94</v>
      </c>
      <c r="AE42" s="2">
        <f t="shared" si="6"/>
        <v>226</v>
      </c>
    </row>
    <row r="43" spans="2:31" s="2" customFormat="1" x14ac:dyDescent="0.2">
      <c r="B43" s="2" t="s">
        <v>28</v>
      </c>
      <c r="C43" s="3"/>
      <c r="D43" s="3"/>
      <c r="E43" s="3"/>
      <c r="F43" s="3"/>
      <c r="G43" s="3">
        <v>0</v>
      </c>
      <c r="H43" s="3">
        <v>59</v>
      </c>
      <c r="I43" s="3">
        <v>59</v>
      </c>
      <c r="J43" s="3">
        <v>61</v>
      </c>
      <c r="K43" s="3">
        <v>49</v>
      </c>
      <c r="L43" s="3">
        <v>55</v>
      </c>
      <c r="M43" s="3">
        <v>54</v>
      </c>
      <c r="N43" s="10">
        <v>60</v>
      </c>
      <c r="O43" s="10">
        <v>55</v>
      </c>
      <c r="P43" s="3">
        <v>59</v>
      </c>
      <c r="Q43" s="3">
        <f t="shared" ref="Q43:R43" si="58">+M43</f>
        <v>54</v>
      </c>
      <c r="R43" s="3">
        <f t="shared" si="58"/>
        <v>60</v>
      </c>
      <c r="S43" s="3"/>
      <c r="T43" s="3"/>
      <c r="U43" s="3"/>
      <c r="V43" s="3"/>
      <c r="W43" s="3"/>
      <c r="X43" s="3"/>
      <c r="Y43" s="3"/>
      <c r="Z43" s="3"/>
      <c r="AC43" s="2">
        <f t="shared" si="4"/>
        <v>179</v>
      </c>
      <c r="AD43" s="2">
        <f t="shared" si="5"/>
        <v>218</v>
      </c>
      <c r="AE43" s="2">
        <f t="shared" si="6"/>
        <v>228</v>
      </c>
    </row>
    <row r="44" spans="2:31" s="2" customFormat="1" x14ac:dyDescent="0.2">
      <c r="B44" s="2" t="s">
        <v>83</v>
      </c>
      <c r="C44" s="3"/>
      <c r="D44" s="3"/>
      <c r="E44" s="3"/>
      <c r="F44" s="3"/>
      <c r="G44" s="3">
        <v>46</v>
      </c>
      <c r="H44" s="3">
        <v>54</v>
      </c>
      <c r="I44" s="3">
        <v>52</v>
      </c>
      <c r="J44" s="3">
        <v>29</v>
      </c>
      <c r="K44" s="3">
        <v>55</v>
      </c>
      <c r="L44" s="3">
        <v>50</v>
      </c>
      <c r="M44" s="3">
        <v>50</v>
      </c>
      <c r="N44" s="10">
        <v>42</v>
      </c>
      <c r="O44" s="10">
        <v>0</v>
      </c>
      <c r="P44" s="3"/>
      <c r="Q44" s="3">
        <f t="shared" ref="Q44:R44" si="59">+P44</f>
        <v>0</v>
      </c>
      <c r="R44" s="3">
        <f t="shared" si="59"/>
        <v>0</v>
      </c>
      <c r="S44" s="3"/>
      <c r="T44" s="3"/>
      <c r="U44" s="3"/>
      <c r="V44" s="3"/>
      <c r="W44" s="3"/>
      <c r="X44" s="3"/>
      <c r="Y44" s="3"/>
      <c r="Z44" s="3"/>
      <c r="AC44" s="2">
        <f t="shared" si="4"/>
        <v>181</v>
      </c>
      <c r="AD44" s="2">
        <f t="shared" si="5"/>
        <v>197</v>
      </c>
      <c r="AE44" s="2">
        <f t="shared" si="6"/>
        <v>0</v>
      </c>
    </row>
    <row r="45" spans="2:31" s="2" customFormat="1" x14ac:dyDescent="0.2">
      <c r="B45" s="2" t="s">
        <v>82</v>
      </c>
      <c r="C45" s="3"/>
      <c r="D45" s="3"/>
      <c r="E45" s="3"/>
      <c r="F45" s="3"/>
      <c r="G45" s="3">
        <v>0</v>
      </c>
      <c r="H45" s="3">
        <v>40</v>
      </c>
      <c r="I45" s="3">
        <v>54</v>
      </c>
      <c r="J45" s="3">
        <v>54</v>
      </c>
      <c r="K45" s="3">
        <v>0</v>
      </c>
      <c r="L45" s="3">
        <v>51</v>
      </c>
      <c r="M45" s="3">
        <v>45</v>
      </c>
      <c r="N45" s="10">
        <v>37</v>
      </c>
      <c r="O45" s="10">
        <v>0</v>
      </c>
      <c r="P45" s="3">
        <v>34</v>
      </c>
      <c r="Q45" s="3">
        <f t="shared" ref="Q45:R45" si="60">+P45</f>
        <v>34</v>
      </c>
      <c r="R45" s="3">
        <f t="shared" si="60"/>
        <v>34</v>
      </c>
      <c r="S45" s="3"/>
      <c r="T45" s="3"/>
      <c r="U45" s="3"/>
      <c r="V45" s="3"/>
      <c r="W45" s="3"/>
      <c r="X45" s="3"/>
      <c r="Y45" s="3"/>
      <c r="Z45" s="3"/>
      <c r="AC45" s="2">
        <f t="shared" si="4"/>
        <v>148</v>
      </c>
      <c r="AD45" s="2">
        <f t="shared" si="5"/>
        <v>133</v>
      </c>
      <c r="AE45" s="2">
        <f t="shared" si="6"/>
        <v>102</v>
      </c>
    </row>
    <row r="46" spans="2:31" s="2" customFormat="1" x14ac:dyDescent="0.2">
      <c r="B46" s="2" t="s">
        <v>50</v>
      </c>
      <c r="C46" s="3"/>
      <c r="D46" s="3"/>
      <c r="E46" s="3"/>
      <c r="F46" s="3"/>
      <c r="G46" s="3">
        <v>59</v>
      </c>
      <c r="H46" s="3">
        <v>68</v>
      </c>
      <c r="I46" s="3">
        <v>63</v>
      </c>
      <c r="J46" s="3">
        <v>63</v>
      </c>
      <c r="K46" s="3">
        <v>54</v>
      </c>
      <c r="L46" s="3">
        <v>54</v>
      </c>
      <c r="M46" s="3">
        <v>55</v>
      </c>
      <c r="N46" s="10">
        <v>60</v>
      </c>
      <c r="O46" s="10">
        <v>52</v>
      </c>
      <c r="P46" s="3">
        <v>55</v>
      </c>
      <c r="Q46" s="3">
        <f t="shared" ref="Q46:R46" si="61">+M46*0.9</f>
        <v>49.5</v>
      </c>
      <c r="R46" s="3">
        <f t="shared" si="61"/>
        <v>54</v>
      </c>
      <c r="S46" s="3"/>
      <c r="T46" s="3"/>
      <c r="U46" s="3"/>
      <c r="V46" s="3"/>
      <c r="W46" s="3"/>
      <c r="X46" s="3"/>
      <c r="Y46" s="3"/>
      <c r="Z46" s="3"/>
      <c r="AC46" s="2">
        <f t="shared" si="4"/>
        <v>253</v>
      </c>
      <c r="AD46" s="2">
        <f t="shared" si="5"/>
        <v>223</v>
      </c>
      <c r="AE46" s="2">
        <f t="shared" si="6"/>
        <v>210.5</v>
      </c>
    </row>
    <row r="47" spans="2:31" s="2" customFormat="1" x14ac:dyDescent="0.2">
      <c r="B47" s="2" t="s">
        <v>29</v>
      </c>
      <c r="C47" s="3"/>
      <c r="D47" s="3"/>
      <c r="E47" s="3"/>
      <c r="F47" s="3"/>
      <c r="G47" s="3">
        <v>0</v>
      </c>
      <c r="H47" s="3">
        <v>51</v>
      </c>
      <c r="I47" s="3">
        <v>56</v>
      </c>
      <c r="J47" s="3">
        <v>81</v>
      </c>
      <c r="K47" s="3">
        <v>38</v>
      </c>
      <c r="L47" s="3">
        <v>75</v>
      </c>
      <c r="M47" s="3">
        <v>57</v>
      </c>
      <c r="N47" s="10">
        <v>63</v>
      </c>
      <c r="O47" s="10">
        <v>51</v>
      </c>
      <c r="P47" s="3">
        <v>61</v>
      </c>
      <c r="Q47" s="3">
        <f t="shared" ref="Q47:R47" si="62">+M47</f>
        <v>57</v>
      </c>
      <c r="R47" s="3">
        <f t="shared" si="62"/>
        <v>63</v>
      </c>
      <c r="S47" s="3"/>
      <c r="T47" s="3"/>
      <c r="U47" s="3"/>
      <c r="V47" s="3"/>
      <c r="W47" s="3"/>
      <c r="X47" s="3"/>
      <c r="Y47" s="3"/>
      <c r="Z47" s="3"/>
      <c r="AC47" s="2">
        <f t="shared" si="4"/>
        <v>188</v>
      </c>
      <c r="AD47" s="2">
        <f t="shared" si="5"/>
        <v>233</v>
      </c>
      <c r="AE47" s="2">
        <f t="shared" si="6"/>
        <v>232</v>
      </c>
    </row>
    <row r="48" spans="2:31" s="2" customFormat="1" x14ac:dyDescent="0.2">
      <c r="B48" s="2" t="s">
        <v>30</v>
      </c>
      <c r="C48" s="3"/>
      <c r="D48" s="3"/>
      <c r="E48" s="3"/>
      <c r="F48" s="3"/>
      <c r="G48" s="3">
        <v>88</v>
      </c>
      <c r="H48" s="3">
        <v>87</v>
      </c>
      <c r="I48" s="3">
        <v>96</v>
      </c>
      <c r="J48" s="3">
        <v>69</v>
      </c>
      <c r="K48" s="3">
        <v>53</v>
      </c>
      <c r="L48" s="3">
        <v>53</v>
      </c>
      <c r="M48" s="3">
        <v>32</v>
      </c>
      <c r="N48" s="10">
        <v>59</v>
      </c>
      <c r="O48" s="10">
        <v>45</v>
      </c>
      <c r="P48" s="3">
        <v>47</v>
      </c>
      <c r="Q48" s="3">
        <f t="shared" ref="Q48:Q50" si="63">M48*0.9</f>
        <v>28.8</v>
      </c>
      <c r="R48" s="3">
        <f t="shared" ref="R48:R50" si="64">N48*0.9</f>
        <v>53.1</v>
      </c>
      <c r="S48" s="3"/>
      <c r="T48" s="3"/>
      <c r="U48" s="3"/>
      <c r="V48" s="3"/>
      <c r="W48" s="3"/>
      <c r="X48" s="3"/>
      <c r="Y48" s="3"/>
      <c r="Z48" s="3"/>
      <c r="AC48" s="2">
        <f t="shared" si="4"/>
        <v>340</v>
      </c>
      <c r="AD48" s="2">
        <f t="shared" si="5"/>
        <v>197</v>
      </c>
      <c r="AE48" s="2">
        <f t="shared" si="6"/>
        <v>173.9</v>
      </c>
    </row>
    <row r="49" spans="2:45" s="2" customFormat="1" x14ac:dyDescent="0.2">
      <c r="B49" s="2" t="s">
        <v>51</v>
      </c>
      <c r="C49" s="3"/>
      <c r="D49" s="3"/>
      <c r="E49" s="3"/>
      <c r="F49" s="3"/>
      <c r="G49" s="3">
        <v>66</v>
      </c>
      <c r="H49" s="3">
        <v>68</v>
      </c>
      <c r="I49" s="3">
        <v>64</v>
      </c>
      <c r="J49" s="3">
        <v>64</v>
      </c>
      <c r="K49" s="3">
        <v>52</v>
      </c>
      <c r="L49" s="3">
        <v>55</v>
      </c>
      <c r="M49" s="3">
        <v>52</v>
      </c>
      <c r="N49" s="10">
        <v>52</v>
      </c>
      <c r="O49" s="10">
        <v>45</v>
      </c>
      <c r="P49" s="3">
        <v>48</v>
      </c>
      <c r="Q49" s="3">
        <f t="shared" si="63"/>
        <v>46.800000000000004</v>
      </c>
      <c r="R49" s="3">
        <f t="shared" si="64"/>
        <v>46.800000000000004</v>
      </c>
      <c r="S49" s="3"/>
      <c r="T49" s="3"/>
      <c r="U49" s="3"/>
      <c r="V49" s="3"/>
      <c r="W49" s="3"/>
      <c r="X49" s="3"/>
      <c r="Y49" s="3"/>
      <c r="Z49" s="3"/>
      <c r="AC49" s="2">
        <f t="shared" si="4"/>
        <v>262</v>
      </c>
      <c r="AD49" s="2">
        <f t="shared" si="5"/>
        <v>211</v>
      </c>
      <c r="AE49" s="2">
        <f t="shared" si="6"/>
        <v>186.60000000000002</v>
      </c>
    </row>
    <row r="50" spans="2:45" s="2" customFormat="1" x14ac:dyDescent="0.2">
      <c r="B50" s="2" t="s">
        <v>52</v>
      </c>
      <c r="C50" s="3"/>
      <c r="D50" s="3"/>
      <c r="E50" s="3"/>
      <c r="F50" s="3"/>
      <c r="G50" s="3">
        <v>49</v>
      </c>
      <c r="H50" s="3">
        <v>58</v>
      </c>
      <c r="I50" s="3">
        <v>51</v>
      </c>
      <c r="J50" s="3">
        <v>52</v>
      </c>
      <c r="K50" s="3">
        <v>55</v>
      </c>
      <c r="L50" s="3">
        <v>48</v>
      </c>
      <c r="M50" s="3">
        <v>45</v>
      </c>
      <c r="N50" s="10">
        <v>48</v>
      </c>
      <c r="O50" s="10">
        <v>44</v>
      </c>
      <c r="P50" s="3">
        <v>47</v>
      </c>
      <c r="Q50" s="3">
        <f t="shared" si="63"/>
        <v>40.5</v>
      </c>
      <c r="R50" s="3">
        <f t="shared" si="64"/>
        <v>43.2</v>
      </c>
      <c r="S50" s="3"/>
      <c r="T50" s="3"/>
      <c r="U50" s="3"/>
      <c r="V50" s="3"/>
      <c r="W50" s="3"/>
      <c r="X50" s="3"/>
      <c r="Y50" s="3"/>
      <c r="Z50" s="3"/>
      <c r="AC50" s="2">
        <f t="shared" si="4"/>
        <v>210</v>
      </c>
      <c r="AD50" s="2">
        <f t="shared" si="5"/>
        <v>196</v>
      </c>
      <c r="AE50" s="2">
        <f t="shared" si="6"/>
        <v>174.7</v>
      </c>
    </row>
    <row r="51" spans="2:45" s="2" customFormat="1" x14ac:dyDescent="0.2">
      <c r="B51" s="2" t="s">
        <v>81</v>
      </c>
      <c r="C51" s="3"/>
      <c r="D51" s="3"/>
      <c r="E51" s="3"/>
      <c r="F51" s="3"/>
      <c r="G51" s="3">
        <v>0</v>
      </c>
      <c r="H51" s="3">
        <v>0</v>
      </c>
      <c r="I51" s="3">
        <v>0</v>
      </c>
      <c r="J51" s="3">
        <v>76</v>
      </c>
      <c r="K51" s="3">
        <v>0</v>
      </c>
      <c r="L51" s="3">
        <v>0</v>
      </c>
      <c r="M51" s="3">
        <v>0</v>
      </c>
      <c r="N51" s="10">
        <v>50</v>
      </c>
      <c r="O51" s="10">
        <v>0</v>
      </c>
      <c r="P51" s="3"/>
      <c r="Q51" s="3">
        <v>0</v>
      </c>
      <c r="R51" s="3">
        <v>0</v>
      </c>
      <c r="S51" s="3"/>
      <c r="T51" s="3"/>
      <c r="U51" s="3"/>
      <c r="V51" s="3"/>
      <c r="W51" s="3"/>
      <c r="X51" s="3"/>
      <c r="Y51" s="3"/>
      <c r="Z51" s="3"/>
      <c r="AC51" s="2">
        <f t="shared" si="4"/>
        <v>76</v>
      </c>
      <c r="AD51" s="2">
        <f t="shared" si="5"/>
        <v>50</v>
      </c>
      <c r="AE51" s="2">
        <f t="shared" si="6"/>
        <v>0</v>
      </c>
    </row>
    <row r="52" spans="2:45" s="2" customFormat="1" x14ac:dyDescent="0.2">
      <c r="B52" s="2" t="s">
        <v>269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0"/>
      <c r="O52" s="10"/>
      <c r="P52" s="3">
        <v>130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45" s="2" customFormat="1" x14ac:dyDescent="0.2">
      <c r="B53" s="2" t="s">
        <v>267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0"/>
      <c r="O53" s="10"/>
      <c r="P53" s="3">
        <v>33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45" s="2" customFormat="1" x14ac:dyDescent="0.2">
      <c r="B54" s="2" t="s">
        <v>268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0"/>
      <c r="O54" s="10"/>
      <c r="P54" s="3">
        <v>16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45" s="2" customFormat="1" x14ac:dyDescent="0.2">
      <c r="B55" s="2" t="s">
        <v>80</v>
      </c>
      <c r="C55" s="3"/>
      <c r="D55" s="3"/>
      <c r="E55" s="3"/>
      <c r="F55" s="3"/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56</v>
      </c>
      <c r="M55" s="3">
        <v>28</v>
      </c>
      <c r="N55" s="10">
        <v>11</v>
      </c>
      <c r="O55" s="10">
        <v>0</v>
      </c>
      <c r="P55" s="3">
        <v>42</v>
      </c>
      <c r="Q55" s="3">
        <v>0</v>
      </c>
      <c r="R55" s="3">
        <v>0</v>
      </c>
      <c r="S55" s="3"/>
      <c r="T55" s="3"/>
      <c r="U55" s="3"/>
      <c r="V55" s="3"/>
      <c r="W55" s="3"/>
      <c r="X55" s="3"/>
      <c r="Y55" s="3"/>
      <c r="Z55" s="3"/>
      <c r="AC55" s="2">
        <f t="shared" si="4"/>
        <v>0</v>
      </c>
      <c r="AD55" s="2">
        <f t="shared" si="5"/>
        <v>95</v>
      </c>
      <c r="AE55" s="2">
        <f t="shared" si="6"/>
        <v>42</v>
      </c>
    </row>
    <row r="56" spans="2:45" s="2" customFormat="1" x14ac:dyDescent="0.2">
      <c r="B56" s="2" t="s">
        <v>31</v>
      </c>
      <c r="C56" s="3"/>
      <c r="D56" s="3"/>
      <c r="E56" s="3"/>
      <c r="F56" s="3"/>
      <c r="G56" s="3">
        <v>213</v>
      </c>
      <c r="H56" s="3">
        <v>235</v>
      </c>
      <c r="I56" s="3">
        <v>233</v>
      </c>
      <c r="J56" s="3">
        <v>276</v>
      </c>
      <c r="K56" s="3">
        <v>222</v>
      </c>
      <c r="L56" s="3">
        <v>311</v>
      </c>
      <c r="M56" s="3">
        <v>349</v>
      </c>
      <c r="N56" s="10">
        <v>431</v>
      </c>
      <c r="O56" s="10">
        <v>360</v>
      </c>
      <c r="P56" s="3">
        <v>371</v>
      </c>
      <c r="Q56" s="3">
        <f t="shared" ref="Q56:R56" si="65">AVERAGE(M56:P56)</f>
        <v>377.75</v>
      </c>
      <c r="R56" s="3">
        <f t="shared" si="65"/>
        <v>384.9375</v>
      </c>
      <c r="S56" s="3"/>
      <c r="T56" s="3"/>
      <c r="U56" s="3"/>
      <c r="V56" s="3"/>
      <c r="W56" s="3"/>
      <c r="X56" s="3"/>
      <c r="Y56" s="3"/>
      <c r="Z56" s="3"/>
      <c r="AC56" s="2">
        <f t="shared" si="4"/>
        <v>957</v>
      </c>
      <c r="AD56" s="2">
        <f t="shared" si="5"/>
        <v>1313</v>
      </c>
      <c r="AE56" s="2">
        <f t="shared" si="6"/>
        <v>1493.6875</v>
      </c>
    </row>
    <row r="57" spans="2:45" s="2" customFormat="1" x14ac:dyDescent="0.2">
      <c r="B57" s="2" t="s">
        <v>32</v>
      </c>
      <c r="C57" s="3"/>
      <c r="D57" s="3"/>
      <c r="E57" s="3"/>
      <c r="F57" s="3"/>
      <c r="G57" s="3">
        <v>196</v>
      </c>
      <c r="H57" s="3">
        <v>131</v>
      </c>
      <c r="I57" s="3">
        <v>105</v>
      </c>
      <c r="J57" s="3">
        <v>127</v>
      </c>
      <c r="K57" s="3">
        <v>92</v>
      </c>
      <c r="L57" s="3">
        <v>87</v>
      </c>
      <c r="M57" s="3">
        <v>98</v>
      </c>
      <c r="N57" s="10">
        <v>128</v>
      </c>
      <c r="O57" s="10">
        <v>171</v>
      </c>
      <c r="P57" s="3"/>
      <c r="Q57" s="3">
        <f t="shared" ref="Q57:R57" si="66">M57</f>
        <v>98</v>
      </c>
      <c r="R57" s="3">
        <f t="shared" si="66"/>
        <v>128</v>
      </c>
      <c r="S57" s="3"/>
      <c r="T57" s="3"/>
      <c r="U57" s="3"/>
      <c r="V57" s="3"/>
      <c r="W57" s="3"/>
      <c r="X57" s="3"/>
      <c r="Y57" s="3"/>
      <c r="Z57" s="3"/>
      <c r="AC57" s="2">
        <f t="shared" si="4"/>
        <v>559</v>
      </c>
      <c r="AD57" s="2">
        <f t="shared" si="5"/>
        <v>405</v>
      </c>
      <c r="AE57" s="2">
        <f t="shared" si="6"/>
        <v>397</v>
      </c>
    </row>
    <row r="58" spans="2:45" s="5" customFormat="1" x14ac:dyDescent="0.2">
      <c r="B58" s="6" t="s">
        <v>67</v>
      </c>
      <c r="C58" s="7"/>
      <c r="D58" s="7"/>
      <c r="E58" s="7"/>
      <c r="F58" s="7"/>
      <c r="G58" s="8">
        <f>SUM(G3:G57)</f>
        <v>11355</v>
      </c>
      <c r="H58" s="8">
        <f t="shared" ref="H58:M58" si="67">SUM(H3:H57)</f>
        <v>12773</v>
      </c>
      <c r="I58" s="8">
        <f t="shared" si="67"/>
        <v>12361</v>
      </c>
      <c r="J58" s="8">
        <f t="shared" si="67"/>
        <v>12941</v>
      </c>
      <c r="K58" s="8">
        <f>SUM(K3:K57)</f>
        <v>10960</v>
      </c>
      <c r="L58" s="8">
        <f t="shared" si="67"/>
        <v>11856</v>
      </c>
      <c r="M58" s="8">
        <f t="shared" si="67"/>
        <v>12083</v>
      </c>
      <c r="N58" s="8">
        <f>SUM(N3:N57)</f>
        <v>14058</v>
      </c>
      <c r="O58" s="8">
        <f>SUM(O3:O57)</f>
        <v>13011</v>
      </c>
      <c r="P58" s="8">
        <f>SUM(P3:P57)</f>
        <v>13145</v>
      </c>
      <c r="Q58" s="8">
        <f t="shared" ref="Q58:R58" si="68">SUM(Q3:Q57)</f>
        <v>13374.689999999999</v>
      </c>
      <c r="R58" s="8">
        <f t="shared" si="68"/>
        <v>13940.141100000003</v>
      </c>
      <c r="S58" s="8"/>
      <c r="T58" s="8"/>
      <c r="U58" s="8"/>
      <c r="V58" s="8"/>
      <c r="W58" s="7"/>
      <c r="X58" s="7"/>
      <c r="Y58" s="6">
        <f t="shared" ref="Y58:AB58" si="69">SUM(Y3:Y57)</f>
        <v>0</v>
      </c>
      <c r="Z58" s="6">
        <f t="shared" si="69"/>
        <v>37354</v>
      </c>
      <c r="AA58" s="6">
        <f t="shared" si="69"/>
        <v>32380</v>
      </c>
      <c r="AB58" s="6">
        <f t="shared" si="69"/>
        <v>31122</v>
      </c>
      <c r="AC58" s="6">
        <f t="shared" ref="AC58" si="70">SUM(AC3:AC57)</f>
        <v>49430</v>
      </c>
      <c r="AD58" s="6">
        <f>SUM(AD3:AD57)</f>
        <v>48957</v>
      </c>
      <c r="AE58" s="6">
        <f t="shared" ref="AE58" si="71">SUM(AE3:AE57)</f>
        <v>53291.831100000018</v>
      </c>
      <c r="AF58" s="6">
        <f t="shared" ref="AF58" si="72">SUM(AF3:AF57)</f>
        <v>33710.438127999994</v>
      </c>
      <c r="AG58" s="6">
        <f t="shared" ref="AG58" si="73">SUM(AG3:AG57)</f>
        <v>33549.223417339992</v>
      </c>
      <c r="AH58" s="6">
        <f t="shared" ref="AH58" si="74">SUM(AH3:AH57)</f>
        <v>33535.540111384304</v>
      </c>
      <c r="AI58" s="6">
        <f t="shared" ref="AI58" si="75">SUM(AI3:AI57)</f>
        <v>33689.606348530055</v>
      </c>
      <c r="AJ58" s="6">
        <f t="shared" ref="AJ58" si="76">SUM(AJ3:AJ57)</f>
        <v>30727.432481640859</v>
      </c>
      <c r="AK58" s="6">
        <f t="shared" ref="AK58" si="77">SUM(AK3:AK57)</f>
        <v>29754.705061073222</v>
      </c>
      <c r="AL58" s="6">
        <f t="shared" ref="AL58" si="78">SUM(AL3:AL57)</f>
        <v>24311.511727353343</v>
      </c>
      <c r="AM58" s="6">
        <f t="shared" ref="AM58" si="79">SUM(AM3:AM57)</f>
        <v>22726.478397685016</v>
      </c>
      <c r="AN58" s="6">
        <f t="shared" ref="AN58" si="80">SUM(AN3:AN57)</f>
        <v>22035.552371729565</v>
      </c>
      <c r="AO58" s="6">
        <f t="shared" ref="AO58" si="81">SUM(AO3:AO57)</f>
        <v>21587.782494320873</v>
      </c>
      <c r="AP58" s="6">
        <f t="shared" ref="AP58" si="82">SUM(AP3:AP57)</f>
        <v>21226.057023454145</v>
      </c>
      <c r="AQ58" s="6">
        <f t="shared" ref="AQ58" si="83">SUM(AQ3:AQ57)</f>
        <v>20905.934134786101</v>
      </c>
      <c r="AR58" s="6">
        <f t="shared" ref="AR58" si="84">SUM(AR3:AR57)</f>
        <v>20611.955818575203</v>
      </c>
      <c r="AS58" s="6">
        <f t="shared" ref="AS58" si="85">SUM(AS3:AS57)</f>
        <v>20337.545820654104</v>
      </c>
    </row>
    <row r="59" spans="2:45" s="2" customFormat="1" x14ac:dyDescent="0.2">
      <c r="B59" s="2" t="s">
        <v>68</v>
      </c>
      <c r="C59" s="3"/>
      <c r="D59" s="3"/>
      <c r="E59" s="3"/>
      <c r="F59" s="3"/>
      <c r="G59" s="3">
        <v>1986</v>
      </c>
      <c r="H59" s="3">
        <v>2320</v>
      </c>
      <c r="I59" s="3">
        <v>2244</v>
      </c>
      <c r="J59" s="3">
        <v>2584</v>
      </c>
      <c r="K59" s="3">
        <v>1807</v>
      </c>
      <c r="L59" s="3">
        <v>2123</v>
      </c>
      <c r="M59" s="3">
        <v>2108</v>
      </c>
      <c r="N59" s="3">
        <v>2983</v>
      </c>
      <c r="O59" s="3">
        <v>2565</v>
      </c>
      <c r="P59" s="3">
        <v>3062</v>
      </c>
      <c r="Q59" s="3">
        <f t="shared" ref="Q59:R59" si="86">+Q58-Q60</f>
        <v>2674.9379999999983</v>
      </c>
      <c r="R59" s="3">
        <f t="shared" si="86"/>
        <v>2788.0282200000001</v>
      </c>
      <c r="S59" s="3"/>
      <c r="T59" s="3"/>
      <c r="U59" s="3"/>
      <c r="V59" s="3"/>
      <c r="W59" s="3"/>
      <c r="X59" s="3"/>
      <c r="Y59" s="3"/>
      <c r="Z59" s="3"/>
      <c r="AC59" s="2">
        <f t="shared" si="4"/>
        <v>9134</v>
      </c>
      <c r="AD59" s="2">
        <f t="shared" si="5"/>
        <v>9021</v>
      </c>
      <c r="AE59" s="2">
        <f t="shared" ref="AE59:AE62" si="87">SUM(O59:R59)</f>
        <v>11089.966219999998</v>
      </c>
      <c r="AF59" s="2">
        <f>+AF58-AF60</f>
        <v>6742.0876255999974</v>
      </c>
      <c r="AG59" s="2">
        <f t="shared" ref="AG59:AS59" si="88">+AG58-AG60</f>
        <v>6709.8446834679962</v>
      </c>
      <c r="AH59" s="2">
        <f t="shared" si="88"/>
        <v>6707.1080222768578</v>
      </c>
      <c r="AI59" s="2">
        <f t="shared" si="88"/>
        <v>6737.9212697060102</v>
      </c>
      <c r="AJ59" s="2">
        <f t="shared" si="88"/>
        <v>6145.4864963281689</v>
      </c>
      <c r="AK59" s="2">
        <f t="shared" si="88"/>
        <v>5950.9410122146437</v>
      </c>
      <c r="AL59" s="2">
        <f t="shared" si="88"/>
        <v>4862.3023454706672</v>
      </c>
      <c r="AM59" s="2">
        <f t="shared" si="88"/>
        <v>4545.295679537001</v>
      </c>
      <c r="AN59" s="2">
        <f t="shared" si="88"/>
        <v>4407.1104743459109</v>
      </c>
      <c r="AO59" s="2">
        <f t="shared" si="88"/>
        <v>4317.5564988641745</v>
      </c>
      <c r="AP59" s="2">
        <f t="shared" si="88"/>
        <v>4245.2114046908282</v>
      </c>
      <c r="AQ59" s="2">
        <f t="shared" si="88"/>
        <v>4181.1868269572187</v>
      </c>
      <c r="AR59" s="2">
        <f t="shared" si="88"/>
        <v>4122.3911637150413</v>
      </c>
      <c r="AS59" s="2">
        <f t="shared" si="88"/>
        <v>4067.5091641308209</v>
      </c>
    </row>
    <row r="60" spans="2:45" s="2" customFormat="1" x14ac:dyDescent="0.2">
      <c r="B60" s="2" t="s">
        <v>69</v>
      </c>
      <c r="C60" s="3"/>
      <c r="D60" s="3"/>
      <c r="E60" s="3"/>
      <c r="F60" s="3"/>
      <c r="G60" s="3">
        <f t="shared" ref="G60:O60" si="89">+G58-G59</f>
        <v>9369</v>
      </c>
      <c r="H60" s="3">
        <f t="shared" si="89"/>
        <v>10453</v>
      </c>
      <c r="I60" s="3">
        <f t="shared" si="89"/>
        <v>10117</v>
      </c>
      <c r="J60" s="3">
        <f t="shared" si="89"/>
        <v>10357</v>
      </c>
      <c r="K60" s="3">
        <f t="shared" si="89"/>
        <v>9153</v>
      </c>
      <c r="L60" s="3">
        <f t="shared" si="89"/>
        <v>9733</v>
      </c>
      <c r="M60" s="3">
        <f t="shared" si="89"/>
        <v>9975</v>
      </c>
      <c r="N60" s="3">
        <f t="shared" si="89"/>
        <v>11075</v>
      </c>
      <c r="O60" s="3">
        <f t="shared" si="89"/>
        <v>10446</v>
      </c>
      <c r="P60" s="3">
        <f>+P58-P59</f>
        <v>10083</v>
      </c>
      <c r="Q60" s="3">
        <f t="shared" ref="Q60:R60" si="90">+Q58*0.8</f>
        <v>10699.752</v>
      </c>
      <c r="R60" s="3">
        <f t="shared" si="90"/>
        <v>11152.112880000002</v>
      </c>
      <c r="S60" s="3"/>
      <c r="T60" s="3"/>
      <c r="U60" s="3"/>
      <c r="V60" s="3"/>
      <c r="W60" s="3"/>
      <c r="X60" s="3"/>
      <c r="Y60" s="3"/>
      <c r="Z60" s="3"/>
      <c r="AC60" s="2">
        <f>AC58-AC59</f>
        <v>40296</v>
      </c>
      <c r="AD60" s="2">
        <f>AD58-AD59</f>
        <v>39936</v>
      </c>
      <c r="AE60" s="2">
        <f>AE58-AE59</f>
        <v>42201.864880000023</v>
      </c>
      <c r="AF60" s="2">
        <f>+AF58*0.8</f>
        <v>26968.350502399997</v>
      </c>
      <c r="AG60" s="2">
        <f t="shared" ref="AG60:AS60" si="91">+AG58*0.8</f>
        <v>26839.378733871996</v>
      </c>
      <c r="AH60" s="2">
        <f t="shared" si="91"/>
        <v>26828.432089107446</v>
      </c>
      <c r="AI60" s="2">
        <f t="shared" si="91"/>
        <v>26951.685078824044</v>
      </c>
      <c r="AJ60" s="2">
        <f t="shared" si="91"/>
        <v>24581.94598531269</v>
      </c>
      <c r="AK60" s="2">
        <f t="shared" si="91"/>
        <v>23803.764048858578</v>
      </c>
      <c r="AL60" s="2">
        <f t="shared" si="91"/>
        <v>19449.209381882676</v>
      </c>
      <c r="AM60" s="2">
        <f t="shared" si="91"/>
        <v>18181.182718148015</v>
      </c>
      <c r="AN60" s="2">
        <f t="shared" si="91"/>
        <v>17628.441897383655</v>
      </c>
      <c r="AO60" s="2">
        <f t="shared" si="91"/>
        <v>17270.225995456698</v>
      </c>
      <c r="AP60" s="2">
        <f t="shared" si="91"/>
        <v>16980.845618763316</v>
      </c>
      <c r="AQ60" s="2">
        <f t="shared" si="91"/>
        <v>16724.747307828882</v>
      </c>
      <c r="AR60" s="2">
        <f t="shared" si="91"/>
        <v>16489.564654860162</v>
      </c>
      <c r="AS60" s="2">
        <f t="shared" si="91"/>
        <v>16270.036656523283</v>
      </c>
    </row>
    <row r="61" spans="2:45" s="2" customFormat="1" x14ac:dyDescent="0.2">
      <c r="B61" s="2" t="s">
        <v>70</v>
      </c>
      <c r="C61" s="3"/>
      <c r="D61" s="3"/>
      <c r="E61" s="3"/>
      <c r="F61" s="3"/>
      <c r="G61" s="3">
        <v>3020</v>
      </c>
      <c r="H61" s="3">
        <v>3486</v>
      </c>
      <c r="I61" s="3">
        <v>3299</v>
      </c>
      <c r="J61" s="3">
        <v>3916</v>
      </c>
      <c r="K61" s="3">
        <v>3078</v>
      </c>
      <c r="L61" s="3">
        <v>3372</v>
      </c>
      <c r="M61" s="3">
        <v>3276</v>
      </c>
      <c r="N61" s="3">
        <v>4598</v>
      </c>
      <c r="O61" s="3">
        <v>3368</v>
      </c>
      <c r="P61" s="3">
        <v>3443</v>
      </c>
      <c r="Q61" s="3">
        <f t="shared" ref="Q61:R61" si="92">+M61*1.1</f>
        <v>3603.6000000000004</v>
      </c>
      <c r="R61" s="3">
        <f t="shared" si="92"/>
        <v>5057.8</v>
      </c>
      <c r="S61" s="3"/>
      <c r="T61" s="3"/>
      <c r="U61" s="3"/>
      <c r="V61" s="3"/>
      <c r="W61" s="3"/>
      <c r="X61" s="3"/>
      <c r="Y61" s="3"/>
      <c r="Z61" s="3"/>
      <c r="AC61" s="2">
        <f t="shared" si="4"/>
        <v>13721</v>
      </c>
      <c r="AD61" s="2">
        <f t="shared" si="5"/>
        <v>14324</v>
      </c>
      <c r="AE61" s="2">
        <f t="shared" si="87"/>
        <v>15472.400000000001</v>
      </c>
      <c r="AF61" s="2">
        <f>+AE61*0.95</f>
        <v>14698.78</v>
      </c>
      <c r="AG61" s="2">
        <f t="shared" ref="AG61:AS61" si="93">+AF61*0.95</f>
        <v>13963.841</v>
      </c>
      <c r="AH61" s="2">
        <f t="shared" si="93"/>
        <v>13265.648949999999</v>
      </c>
      <c r="AI61" s="2">
        <f t="shared" si="93"/>
        <v>12602.366502499999</v>
      </c>
      <c r="AJ61" s="2">
        <f t="shared" si="93"/>
        <v>11972.248177374999</v>
      </c>
      <c r="AK61" s="2">
        <f t="shared" si="93"/>
        <v>11373.635768506248</v>
      </c>
      <c r="AL61" s="2">
        <f t="shared" si="93"/>
        <v>10804.953980080936</v>
      </c>
      <c r="AM61" s="2">
        <f t="shared" si="93"/>
        <v>10264.706281076889</v>
      </c>
      <c r="AN61" s="2">
        <f t="shared" si="93"/>
        <v>9751.4709670230441</v>
      </c>
      <c r="AO61" s="2">
        <f t="shared" si="93"/>
        <v>9263.8974186718915</v>
      </c>
      <c r="AP61" s="2">
        <f t="shared" si="93"/>
        <v>8800.7025477382958</v>
      </c>
      <c r="AQ61" s="2">
        <f t="shared" si="93"/>
        <v>8360.6674203513812</v>
      </c>
      <c r="AR61" s="2">
        <f t="shared" si="93"/>
        <v>7942.6340493338121</v>
      </c>
      <c r="AS61" s="2">
        <f t="shared" si="93"/>
        <v>7545.5023468671216</v>
      </c>
    </row>
    <row r="62" spans="2:45" s="2" customFormat="1" x14ac:dyDescent="0.2">
      <c r="B62" s="2" t="s">
        <v>71</v>
      </c>
      <c r="C62" s="3"/>
      <c r="D62" s="3"/>
      <c r="E62" s="3"/>
      <c r="F62" s="3"/>
      <c r="G62" s="3">
        <v>1612</v>
      </c>
      <c r="H62" s="3">
        <v>1714</v>
      </c>
      <c r="I62" s="3">
        <v>1788</v>
      </c>
      <c r="J62" s="3">
        <v>2039</v>
      </c>
      <c r="K62" s="3">
        <v>1877</v>
      </c>
      <c r="L62" s="3">
        <v>1732</v>
      </c>
      <c r="M62" s="3">
        <v>1725</v>
      </c>
      <c r="N62" s="3">
        <v>2318</v>
      </c>
      <c r="O62" s="3">
        <v>1723</v>
      </c>
      <c r="P62" s="3">
        <v>1740</v>
      </c>
      <c r="Q62" s="3">
        <f t="shared" ref="Q62:R62" si="94">+M62</f>
        <v>1725</v>
      </c>
      <c r="R62" s="3">
        <f t="shared" si="94"/>
        <v>2318</v>
      </c>
      <c r="S62" s="3"/>
      <c r="T62" s="3"/>
      <c r="U62" s="3"/>
      <c r="V62" s="3"/>
      <c r="W62" s="3"/>
      <c r="X62" s="3"/>
      <c r="Y62" s="3"/>
      <c r="Z62" s="3"/>
      <c r="AC62" s="2">
        <f t="shared" si="4"/>
        <v>7153</v>
      </c>
      <c r="AD62" s="2">
        <f t="shared" si="5"/>
        <v>7652</v>
      </c>
      <c r="AE62" s="2">
        <f t="shared" si="87"/>
        <v>7506</v>
      </c>
    </row>
    <row r="63" spans="2:45" s="2" customFormat="1" x14ac:dyDescent="0.2">
      <c r="B63" s="2" t="s">
        <v>72</v>
      </c>
      <c r="C63" s="3"/>
      <c r="D63" s="3"/>
      <c r="E63" s="3"/>
      <c r="F63" s="3"/>
      <c r="G63" s="3">
        <f t="shared" ref="G63:O63" si="95">+G62+G61</f>
        <v>4632</v>
      </c>
      <c r="H63" s="3">
        <f t="shared" si="95"/>
        <v>5200</v>
      </c>
      <c r="I63" s="3">
        <f t="shared" si="95"/>
        <v>5087</v>
      </c>
      <c r="J63" s="3">
        <f t="shared" si="95"/>
        <v>5955</v>
      </c>
      <c r="K63" s="3">
        <f t="shared" si="95"/>
        <v>4955</v>
      </c>
      <c r="L63" s="3">
        <f t="shared" si="95"/>
        <v>5104</v>
      </c>
      <c r="M63" s="3">
        <f t="shared" si="95"/>
        <v>5001</v>
      </c>
      <c r="N63" s="3">
        <f t="shared" si="95"/>
        <v>6916</v>
      </c>
      <c r="O63" s="3">
        <f t="shared" si="95"/>
        <v>5091</v>
      </c>
      <c r="P63" s="3">
        <f t="shared" ref="P63:R63" si="96">+P62+P61</f>
        <v>5183</v>
      </c>
      <c r="Q63" s="3">
        <f t="shared" si="96"/>
        <v>5328.6</v>
      </c>
      <c r="R63" s="3">
        <f t="shared" si="96"/>
        <v>7375.8</v>
      </c>
      <c r="S63" s="3"/>
      <c r="T63" s="3"/>
      <c r="U63" s="3"/>
      <c r="V63" s="3"/>
      <c r="W63" s="3"/>
      <c r="X63" s="3"/>
      <c r="Y63" s="3"/>
      <c r="Z63" s="3"/>
      <c r="AC63" s="3">
        <f t="shared" ref="AC63" si="97">+AC62+AC61</f>
        <v>20874</v>
      </c>
      <c r="AD63" s="3">
        <f t="shared" ref="AD63" si="98">+AD62+AD61</f>
        <v>21976</v>
      </c>
      <c r="AE63" s="3">
        <f t="shared" ref="AE63" si="99">+AE62+AE61</f>
        <v>22978.400000000001</v>
      </c>
      <c r="AF63" s="3">
        <f t="shared" ref="AF63" si="100">+AF62+AF61</f>
        <v>14698.78</v>
      </c>
      <c r="AG63" s="3">
        <f t="shared" ref="AG63" si="101">+AG62+AG61</f>
        <v>13963.841</v>
      </c>
      <c r="AH63" s="3">
        <f t="shared" ref="AH63" si="102">+AH62+AH61</f>
        <v>13265.648949999999</v>
      </c>
      <c r="AI63" s="3">
        <f t="shared" ref="AI63" si="103">+AI62+AI61</f>
        <v>12602.366502499999</v>
      </c>
      <c r="AJ63" s="3">
        <f t="shared" ref="AJ63" si="104">+AJ62+AJ61</f>
        <v>11972.248177374999</v>
      </c>
      <c r="AK63" s="3">
        <f t="shared" ref="AK63" si="105">+AK62+AK61</f>
        <v>11373.635768506248</v>
      </c>
      <c r="AL63" s="3">
        <f t="shared" ref="AL63" si="106">+AL62+AL61</f>
        <v>10804.953980080936</v>
      </c>
      <c r="AM63" s="3">
        <f t="shared" ref="AM63" si="107">+AM62+AM61</f>
        <v>10264.706281076889</v>
      </c>
      <c r="AN63" s="3">
        <f t="shared" ref="AN63" si="108">+AN62+AN61</f>
        <v>9751.4709670230441</v>
      </c>
      <c r="AO63" s="3">
        <f t="shared" ref="AO63" si="109">+AO62+AO61</f>
        <v>9263.8974186718915</v>
      </c>
      <c r="AP63" s="3">
        <f t="shared" ref="AP63" si="110">+AP62+AP61</f>
        <v>8800.7025477382958</v>
      </c>
      <c r="AQ63" s="3">
        <f t="shared" ref="AQ63" si="111">+AQ62+AQ61</f>
        <v>8360.6674203513812</v>
      </c>
      <c r="AR63" s="3">
        <f t="shared" ref="AR63" si="112">+AR62+AR61</f>
        <v>7942.6340493338121</v>
      </c>
      <c r="AS63" s="3">
        <f t="shared" ref="AS63" si="113">+AS62+AS61</f>
        <v>7545.5023468671216</v>
      </c>
    </row>
    <row r="64" spans="2:45" s="2" customFormat="1" x14ac:dyDescent="0.2">
      <c r="B64" s="2" t="s">
        <v>73</v>
      </c>
      <c r="C64" s="3"/>
      <c r="D64" s="3"/>
      <c r="E64" s="3"/>
      <c r="F64" s="3"/>
      <c r="G64" s="3">
        <f t="shared" ref="G64:O64" si="114">+G60-G63</f>
        <v>4737</v>
      </c>
      <c r="H64" s="3">
        <f t="shared" si="114"/>
        <v>5253</v>
      </c>
      <c r="I64" s="3">
        <f t="shared" si="114"/>
        <v>5030</v>
      </c>
      <c r="J64" s="3">
        <f t="shared" si="114"/>
        <v>4402</v>
      </c>
      <c r="K64" s="3">
        <f t="shared" si="114"/>
        <v>4198</v>
      </c>
      <c r="L64" s="3">
        <f t="shared" si="114"/>
        <v>4629</v>
      </c>
      <c r="M64" s="3">
        <f t="shared" si="114"/>
        <v>4974</v>
      </c>
      <c r="N64" s="3">
        <f t="shared" si="114"/>
        <v>4159</v>
      </c>
      <c r="O64" s="3">
        <f t="shared" si="114"/>
        <v>5355</v>
      </c>
      <c r="P64" s="3">
        <f t="shared" ref="P64:R64" si="115">+P60-P63</f>
        <v>4900</v>
      </c>
      <c r="Q64" s="3">
        <f t="shared" si="115"/>
        <v>5371.152</v>
      </c>
      <c r="R64" s="3">
        <f t="shared" si="115"/>
        <v>3776.3128800000022</v>
      </c>
      <c r="S64" s="3"/>
      <c r="T64" s="3"/>
      <c r="U64" s="3"/>
      <c r="V64" s="3"/>
      <c r="W64" s="3"/>
      <c r="X64" s="3"/>
      <c r="Y64" s="3"/>
      <c r="Z64" s="3"/>
      <c r="AC64" s="3">
        <f t="shared" ref="AC64" si="116">+AC60-AC63</f>
        <v>19422</v>
      </c>
      <c r="AD64" s="3">
        <f t="shared" ref="AD64" si="117">+AD60-AD63</f>
        <v>17960</v>
      </c>
      <c r="AE64" s="3">
        <f t="shared" ref="AE64" si="118">+AE60-AE63</f>
        <v>19223.464880000021</v>
      </c>
      <c r="AF64" s="3">
        <f t="shared" ref="AF64" si="119">+AF60-AF63</f>
        <v>12269.570502399996</v>
      </c>
      <c r="AG64" s="3">
        <f t="shared" ref="AG64" si="120">+AG60-AG63</f>
        <v>12875.537733871995</v>
      </c>
      <c r="AH64" s="3">
        <f t="shared" ref="AH64" si="121">+AH60-AH63</f>
        <v>13562.783139107447</v>
      </c>
      <c r="AI64" s="3">
        <f t="shared" ref="AI64" si="122">+AI60-AI63</f>
        <v>14349.318576324045</v>
      </c>
      <c r="AJ64" s="3">
        <f t="shared" ref="AJ64" si="123">+AJ60-AJ63</f>
        <v>12609.697807937691</v>
      </c>
      <c r="AK64" s="3">
        <f t="shared" ref="AK64" si="124">+AK60-AK63</f>
        <v>12430.12828035233</v>
      </c>
      <c r="AL64" s="3">
        <f t="shared" ref="AL64" si="125">+AL60-AL63</f>
        <v>8644.2554018017399</v>
      </c>
      <c r="AM64" s="3">
        <f t="shared" ref="AM64" si="126">+AM60-AM63</f>
        <v>7916.4764370711255</v>
      </c>
      <c r="AN64" s="3">
        <f t="shared" ref="AN64" si="127">+AN60-AN63</f>
        <v>7876.9709303606105</v>
      </c>
      <c r="AO64" s="3">
        <f t="shared" ref="AO64" si="128">+AO60-AO63</f>
        <v>8006.3285767848065</v>
      </c>
      <c r="AP64" s="3">
        <f t="shared" ref="AP64" si="129">+AP60-AP63</f>
        <v>8180.1430710250206</v>
      </c>
      <c r="AQ64" s="3">
        <f t="shared" ref="AQ64" si="130">+AQ60-AQ63</f>
        <v>8364.079887477501</v>
      </c>
      <c r="AR64" s="3">
        <f t="shared" ref="AR64" si="131">+AR60-AR63</f>
        <v>8546.9306055263496</v>
      </c>
      <c r="AS64" s="3">
        <f t="shared" ref="AS64" si="132">+AS60-AS63</f>
        <v>8724.5343096561628</v>
      </c>
    </row>
    <row r="65" spans="2:45" s="2" customFormat="1" x14ac:dyDescent="0.2">
      <c r="B65" s="2" t="s">
        <v>74</v>
      </c>
      <c r="C65" s="3"/>
      <c r="D65" s="3"/>
      <c r="E65" s="3"/>
      <c r="F65" s="3"/>
      <c r="G65" s="3">
        <v>264</v>
      </c>
      <c r="H65" s="3">
        <v>95</v>
      </c>
      <c r="I65" s="3">
        <v>80</v>
      </c>
      <c r="J65" s="3">
        <v>130</v>
      </c>
      <c r="K65" s="3">
        <v>167</v>
      </c>
      <c r="L65" s="3">
        <v>153</v>
      </c>
      <c r="M65" s="3">
        <v>90</v>
      </c>
      <c r="N65" s="3">
        <v>-1</v>
      </c>
      <c r="O65" s="3">
        <f>113-306+187+122</f>
        <v>116</v>
      </c>
      <c r="P65" s="3">
        <v>230</v>
      </c>
      <c r="Q65" s="3">
        <v>0</v>
      </c>
      <c r="R65" s="3">
        <v>0</v>
      </c>
      <c r="S65" s="3"/>
      <c r="T65" s="3"/>
      <c r="U65" s="3"/>
      <c r="V65" s="3"/>
      <c r="W65" s="3"/>
      <c r="X65" s="3"/>
      <c r="Y65" s="3"/>
      <c r="Z65" s="3"/>
      <c r="AC65" s="2">
        <f t="shared" ref="AC65:AC67" si="133">SUM(G65:J65)</f>
        <v>569</v>
      </c>
      <c r="AD65" s="2">
        <f t="shared" ref="AD65:AD67" si="134">SUM(K65:N65)</f>
        <v>409</v>
      </c>
      <c r="AE65" s="2">
        <f>SUM(O65:R65)</f>
        <v>346</v>
      </c>
    </row>
    <row r="66" spans="2:45" s="2" customFormat="1" x14ac:dyDescent="0.2">
      <c r="B66" s="2" t="s">
        <v>75</v>
      </c>
      <c r="C66" s="3"/>
      <c r="D66" s="3"/>
      <c r="E66" s="3"/>
      <c r="F66" s="3"/>
      <c r="G66" s="3">
        <f t="shared" ref="G66:O66" si="135">+G64+G65</f>
        <v>5001</v>
      </c>
      <c r="H66" s="3">
        <f t="shared" si="135"/>
        <v>5348</v>
      </c>
      <c r="I66" s="3">
        <f t="shared" si="135"/>
        <v>5110</v>
      </c>
      <c r="J66" s="3">
        <f t="shared" si="135"/>
        <v>4532</v>
      </c>
      <c r="K66" s="3">
        <f t="shared" si="135"/>
        <v>4365</v>
      </c>
      <c r="L66" s="3">
        <f t="shared" si="135"/>
        <v>4782</v>
      </c>
      <c r="M66" s="3">
        <f t="shared" si="135"/>
        <v>5064</v>
      </c>
      <c r="N66" s="3">
        <f t="shared" si="135"/>
        <v>4158</v>
      </c>
      <c r="O66" s="3">
        <f t="shared" si="135"/>
        <v>5471</v>
      </c>
      <c r="P66" s="3">
        <f t="shared" ref="P66:R66" si="136">+P64+P65</f>
        <v>5130</v>
      </c>
      <c r="Q66" s="3">
        <f t="shared" si="136"/>
        <v>5371.152</v>
      </c>
      <c r="R66" s="3">
        <f t="shared" si="136"/>
        <v>3776.3128800000022</v>
      </c>
      <c r="S66" s="3"/>
      <c r="T66" s="3"/>
      <c r="U66" s="3"/>
      <c r="V66" s="3"/>
      <c r="W66" s="3"/>
      <c r="X66" s="3"/>
      <c r="Y66" s="3"/>
      <c r="Z66" s="3"/>
      <c r="AC66" s="2">
        <f>AC64+AC65</f>
        <v>19991</v>
      </c>
      <c r="AD66" s="2">
        <f>AD64+AD65</f>
        <v>18369</v>
      </c>
      <c r="AE66" s="2">
        <f t="shared" ref="AE66" si="137">AE64+AE65</f>
        <v>19569.464880000021</v>
      </c>
      <c r="AF66" s="2">
        <f t="shared" ref="AF66" si="138">AF64+AF65</f>
        <v>12269.570502399996</v>
      </c>
      <c r="AG66" s="2">
        <f t="shared" ref="AG66" si="139">AG64+AG65</f>
        <v>12875.537733871995</v>
      </c>
      <c r="AH66" s="2">
        <f t="shared" ref="AH66" si="140">AH64+AH65</f>
        <v>13562.783139107447</v>
      </c>
      <c r="AI66" s="2">
        <f t="shared" ref="AI66" si="141">AI64+AI65</f>
        <v>14349.318576324045</v>
      </c>
      <c r="AJ66" s="2">
        <f t="shared" ref="AJ66" si="142">AJ64+AJ65</f>
        <v>12609.697807937691</v>
      </c>
      <c r="AK66" s="2">
        <f t="shared" ref="AK66" si="143">AK64+AK65</f>
        <v>12430.12828035233</v>
      </c>
      <c r="AL66" s="2">
        <f t="shared" ref="AL66" si="144">AL64+AL65</f>
        <v>8644.2554018017399</v>
      </c>
      <c r="AM66" s="2">
        <f t="shared" ref="AM66" si="145">AM64+AM65</f>
        <v>7916.4764370711255</v>
      </c>
      <c r="AN66" s="2">
        <f t="shared" ref="AN66" si="146">AN64+AN65</f>
        <v>7876.9709303606105</v>
      </c>
      <c r="AO66" s="2">
        <f t="shared" ref="AO66" si="147">AO64+AO65</f>
        <v>8006.3285767848065</v>
      </c>
      <c r="AP66" s="2">
        <f t="shared" ref="AP66" si="148">AP64+AP65</f>
        <v>8180.1430710250206</v>
      </c>
      <c r="AQ66" s="2">
        <f t="shared" ref="AQ66" si="149">AQ64+AQ65</f>
        <v>8364.079887477501</v>
      </c>
      <c r="AR66" s="2">
        <f t="shared" ref="AR66" si="150">AR64+AR65</f>
        <v>8546.9306055263496</v>
      </c>
      <c r="AS66" s="2">
        <f t="shared" ref="AS66" si="151">AS64+AS65</f>
        <v>8724.5343096561628</v>
      </c>
    </row>
    <row r="67" spans="2:45" s="2" customFormat="1" x14ac:dyDescent="0.2">
      <c r="B67" s="2" t="s">
        <v>76</v>
      </c>
      <c r="C67" s="3"/>
      <c r="D67" s="3"/>
      <c r="E67" s="3"/>
      <c r="F67" s="3"/>
      <c r="G67" s="3">
        <v>1227</v>
      </c>
      <c r="H67" s="3">
        <v>1459</v>
      </c>
      <c r="I67" s="3">
        <v>1340</v>
      </c>
      <c r="J67" s="3">
        <f>1224+8</f>
        <v>1232</v>
      </c>
      <c r="K67" s="3">
        <f>1033+6</f>
        <v>1039</v>
      </c>
      <c r="L67" s="3">
        <v>1213</v>
      </c>
      <c r="M67" s="3">
        <v>1298</v>
      </c>
      <c r="N67" s="3">
        <f>807+3</f>
        <v>810</v>
      </c>
      <c r="O67" s="3">
        <f>1304+9</f>
        <v>1313</v>
      </c>
      <c r="P67" s="3">
        <f>1184+16</f>
        <v>1200</v>
      </c>
      <c r="Q67" s="3">
        <f t="shared" ref="Q67:R67" si="152">+Q66*0.25</f>
        <v>1342.788</v>
      </c>
      <c r="R67" s="3">
        <f t="shared" si="152"/>
        <v>944.07822000000056</v>
      </c>
      <c r="S67" s="3"/>
      <c r="T67" s="3"/>
      <c r="U67" s="3"/>
      <c r="V67" s="3"/>
      <c r="W67" s="3"/>
      <c r="X67" s="3"/>
      <c r="Y67" s="3"/>
      <c r="Z67" s="3"/>
      <c r="AC67" s="2">
        <f t="shared" si="133"/>
        <v>5258</v>
      </c>
      <c r="AD67" s="2">
        <f t="shared" si="134"/>
        <v>4360</v>
      </c>
      <c r="AE67" s="2">
        <f>SUM(O67:R67)</f>
        <v>4799.8662200000008</v>
      </c>
      <c r="AF67" s="2">
        <f>+AF66*0.25</f>
        <v>3067.3926255999991</v>
      </c>
      <c r="AG67" s="2">
        <f t="shared" ref="AG67:AS67" si="153">+AG66*0.25</f>
        <v>3218.8844334679989</v>
      </c>
      <c r="AH67" s="2">
        <f t="shared" si="153"/>
        <v>3390.6957847768617</v>
      </c>
      <c r="AI67" s="2">
        <f t="shared" si="153"/>
        <v>3587.3296440810113</v>
      </c>
      <c r="AJ67" s="2">
        <f t="shared" si="153"/>
        <v>3152.4244519844228</v>
      </c>
      <c r="AK67" s="2">
        <f t="shared" si="153"/>
        <v>3107.5320700880825</v>
      </c>
      <c r="AL67" s="2">
        <f t="shared" si="153"/>
        <v>2161.063850450435</v>
      </c>
      <c r="AM67" s="2">
        <f t="shared" si="153"/>
        <v>1979.1191092677814</v>
      </c>
      <c r="AN67" s="2">
        <f t="shared" si="153"/>
        <v>1969.2427325901526</v>
      </c>
      <c r="AO67" s="2">
        <f t="shared" si="153"/>
        <v>2001.5821441962016</v>
      </c>
      <c r="AP67" s="2">
        <f t="shared" si="153"/>
        <v>2045.0357677562552</v>
      </c>
      <c r="AQ67" s="2">
        <f t="shared" si="153"/>
        <v>2091.0199718693752</v>
      </c>
      <c r="AR67" s="2">
        <f t="shared" si="153"/>
        <v>2136.7326513815874</v>
      </c>
      <c r="AS67" s="2">
        <f t="shared" si="153"/>
        <v>2181.1335774140407</v>
      </c>
    </row>
    <row r="68" spans="2:45" s="2" customFormat="1" x14ac:dyDescent="0.2">
      <c r="B68" s="2" t="s">
        <v>77</v>
      </c>
      <c r="C68" s="3"/>
      <c r="D68" s="3"/>
      <c r="E68" s="3"/>
      <c r="F68" s="3"/>
      <c r="G68" s="3">
        <f t="shared" ref="G68:O68" si="154">+G66-G67</f>
        <v>3774</v>
      </c>
      <c r="H68" s="3">
        <f t="shared" si="154"/>
        <v>3889</v>
      </c>
      <c r="I68" s="3">
        <f t="shared" si="154"/>
        <v>3770</v>
      </c>
      <c r="J68" s="3">
        <f t="shared" si="154"/>
        <v>3300</v>
      </c>
      <c r="K68" s="3">
        <f t="shared" si="154"/>
        <v>3326</v>
      </c>
      <c r="L68" s="3">
        <f t="shared" si="154"/>
        <v>3569</v>
      </c>
      <c r="M68" s="3">
        <f t="shared" si="154"/>
        <v>3766</v>
      </c>
      <c r="N68" s="3">
        <f t="shared" si="154"/>
        <v>3348</v>
      </c>
      <c r="O68" s="3">
        <f t="shared" si="154"/>
        <v>4158</v>
      </c>
      <c r="P68" s="3">
        <f t="shared" ref="P68:R68" si="155">+P66-P67</f>
        <v>3930</v>
      </c>
      <c r="Q68" s="3">
        <f t="shared" si="155"/>
        <v>4028.364</v>
      </c>
      <c r="R68" s="3">
        <f t="shared" si="155"/>
        <v>2832.2346600000019</v>
      </c>
      <c r="S68" s="3"/>
      <c r="T68" s="3"/>
      <c r="U68" s="3"/>
      <c r="V68" s="3"/>
      <c r="W68" s="3"/>
      <c r="X68" s="3"/>
      <c r="Y68" s="3"/>
      <c r="Z68" s="3"/>
      <c r="AC68" s="2">
        <f>AC66-AC67</f>
        <v>14733</v>
      </c>
      <c r="AD68" s="2">
        <f>AD66-AD67</f>
        <v>14009</v>
      </c>
      <c r="AE68" s="2">
        <f t="shared" ref="AE68" si="156">AE66-AE67</f>
        <v>14769.598660000021</v>
      </c>
      <c r="AF68" s="2">
        <f t="shared" ref="AF68" si="157">AF66-AF67</f>
        <v>9202.1778767999967</v>
      </c>
      <c r="AG68" s="2">
        <f t="shared" ref="AG68" si="158">AG66-AG67</f>
        <v>9656.6533004039957</v>
      </c>
      <c r="AH68" s="2">
        <f t="shared" ref="AH68" si="159">AH66-AH67</f>
        <v>10172.087354330586</v>
      </c>
      <c r="AI68" s="2">
        <f t="shared" ref="AI68" si="160">AI66-AI67</f>
        <v>10761.988932243034</v>
      </c>
      <c r="AJ68" s="2">
        <f t="shared" ref="AJ68" si="161">AJ66-AJ67</f>
        <v>9457.273355953268</v>
      </c>
      <c r="AK68" s="2">
        <f t="shared" ref="AK68" si="162">AK66-AK67</f>
        <v>9322.5962102642479</v>
      </c>
      <c r="AL68" s="2">
        <f t="shared" ref="AL68" si="163">AL66-AL67</f>
        <v>6483.191551351305</v>
      </c>
      <c r="AM68" s="2">
        <f t="shared" ref="AM68" si="164">AM66-AM67</f>
        <v>5937.3573278033437</v>
      </c>
      <c r="AN68" s="2">
        <f t="shared" ref="AN68" si="165">AN66-AN67</f>
        <v>5907.7281977704579</v>
      </c>
      <c r="AO68" s="2">
        <f t="shared" ref="AO68" si="166">AO66-AO67</f>
        <v>6004.7464325886049</v>
      </c>
      <c r="AP68" s="2">
        <f t="shared" ref="AP68" si="167">AP66-AP67</f>
        <v>6135.1073032687655</v>
      </c>
      <c r="AQ68" s="2">
        <f t="shared" ref="AQ68" si="168">AQ66-AQ67</f>
        <v>6273.0599156081262</v>
      </c>
      <c r="AR68" s="2">
        <f t="shared" ref="AR68" si="169">AR66-AR67</f>
        <v>6410.1979541447618</v>
      </c>
      <c r="AS68" s="2">
        <f t="shared" ref="AS68" si="170">AS66-AS67</f>
        <v>6543.4007322421221</v>
      </c>
    </row>
    <row r="69" spans="2:45" x14ac:dyDescent="0.2">
      <c r="B69" s="2" t="s">
        <v>78</v>
      </c>
      <c r="G69" s="11">
        <f t="shared" ref="G69:O69" si="171">G68/G70</f>
        <v>0.5827671402100062</v>
      </c>
      <c r="H69" s="11">
        <f t="shared" si="171"/>
        <v>0.60350713842333958</v>
      </c>
      <c r="I69" s="11">
        <f t="shared" si="171"/>
        <v>0.58878650632516005</v>
      </c>
      <c r="J69" s="11">
        <f t="shared" si="171"/>
        <v>0.51772827110134922</v>
      </c>
      <c r="K69" s="11">
        <f t="shared" si="171"/>
        <v>0.52860775588048314</v>
      </c>
      <c r="L69" s="11">
        <f t="shared" si="171"/>
        <v>0.5716802819157456</v>
      </c>
      <c r="M69" s="11">
        <f t="shared" si="171"/>
        <v>0.60323562389876662</v>
      </c>
      <c r="N69" s="11">
        <f t="shared" si="171"/>
        <v>0.5357657225156025</v>
      </c>
      <c r="O69" s="11">
        <f t="shared" si="171"/>
        <v>0.6691342130672675</v>
      </c>
      <c r="P69" s="11">
        <f t="shared" ref="P69:R69" si="172">P68/P70</f>
        <v>0.64037803487045786</v>
      </c>
      <c r="Q69" s="11">
        <f t="shared" si="172"/>
        <v>0.65640606159361248</v>
      </c>
      <c r="R69" s="11">
        <f t="shared" si="172"/>
        <v>0.46150149258595435</v>
      </c>
      <c r="S69" s="11"/>
      <c r="T69" s="11"/>
      <c r="U69" s="11"/>
      <c r="V69" s="11"/>
      <c r="AC69" s="11">
        <f t="shared" ref="AC69:AD69" si="173">AC68/AC70</f>
        <v>2.2933416352103357</v>
      </c>
      <c r="AD69" s="11">
        <f t="shared" si="173"/>
        <v>2.2390218563950932</v>
      </c>
      <c r="AE69" s="11">
        <f t="shared" ref="AE69" si="174">AE68/AE70</f>
        <v>2.3991226249746229</v>
      </c>
      <c r="AF69" s="11">
        <f t="shared" ref="AF69" si="175">AF68/AF70</f>
        <v>1.4947700104446695</v>
      </c>
      <c r="AG69" s="11">
        <f t="shared" ref="AG69" si="176">AG68/AG70</f>
        <v>1.5685934295072481</v>
      </c>
      <c r="AH69" s="11">
        <f t="shared" ref="AH69" si="177">AH68/AH70</f>
        <v>1.6523187580638516</v>
      </c>
      <c r="AI69" s="11">
        <f t="shared" ref="AI69" si="178">AI68/AI70</f>
        <v>1.7481403341714572</v>
      </c>
      <c r="AJ69" s="11">
        <f t="shared" ref="AJ69" si="179">AJ68/AJ70</f>
        <v>1.5362068395457085</v>
      </c>
      <c r="AK69" s="11">
        <f t="shared" ref="AK69" si="180">AK68/AK70</f>
        <v>1.5143303488754107</v>
      </c>
      <c r="AL69" s="11">
        <f t="shared" ref="AL69" si="181">AL68/AL70</f>
        <v>1.0531072570722932</v>
      </c>
      <c r="AM69" s="11">
        <f t="shared" ref="AM69" si="182">AM68/AM70</f>
        <v>0.96444382989698985</v>
      </c>
      <c r="AN69" s="11">
        <f t="shared" ref="AN69" si="183">AN68/AN70</f>
        <v>0.95963097628758709</v>
      </c>
      <c r="AO69" s="11">
        <f t="shared" ref="AO69" si="184">AO68/AO70</f>
        <v>0.97539028346616929</v>
      </c>
      <c r="AP69" s="11">
        <f t="shared" ref="AP69" si="185">AP68/AP70</f>
        <v>0.99656565332284519</v>
      </c>
      <c r="AQ69" s="11">
        <f t="shared" ref="AQ69" si="186">AQ68/AQ70</f>
        <v>1.0189741994896448</v>
      </c>
      <c r="AR69" s="11">
        <f t="shared" ref="AR69" si="187">AR68/AR70</f>
        <v>1.0412504290996567</v>
      </c>
      <c r="AS69" s="11">
        <f t="shared" ref="AS69" si="188">AS68/AS70</f>
        <v>1.0628874285875529</v>
      </c>
    </row>
    <row r="70" spans="2:45" x14ac:dyDescent="0.2">
      <c r="B70" s="2" t="s">
        <v>1</v>
      </c>
      <c r="G70" s="3">
        <v>6476</v>
      </c>
      <c r="H70" s="3">
        <v>6444</v>
      </c>
      <c r="I70" s="3">
        <v>6403</v>
      </c>
      <c r="J70" s="3">
        <v>6374</v>
      </c>
      <c r="K70" s="3">
        <v>6292</v>
      </c>
      <c r="L70" s="3">
        <v>6243</v>
      </c>
      <c r="M70" s="3">
        <v>6243</v>
      </c>
      <c r="N70" s="3">
        <v>6249</v>
      </c>
      <c r="O70" s="3">
        <v>6214</v>
      </c>
      <c r="P70" s="3">
        <v>6137</v>
      </c>
      <c r="Q70" s="3">
        <f t="shared" ref="Q70:R70" si="189">+P70</f>
        <v>6137</v>
      </c>
      <c r="R70" s="3">
        <f t="shared" si="189"/>
        <v>6137</v>
      </c>
      <c r="S70" s="3"/>
      <c r="T70" s="3"/>
      <c r="U70" s="3"/>
      <c r="V70" s="3"/>
      <c r="AC70" s="2">
        <f>AVERAGE(G70:J70)</f>
        <v>6424.25</v>
      </c>
      <c r="AD70" s="2">
        <f>AVERAGE(K70:N70)</f>
        <v>6256.75</v>
      </c>
      <c r="AE70" s="2">
        <f>AVERAGE(O70:R70)</f>
        <v>6156.25</v>
      </c>
      <c r="AF70" s="2">
        <f>+AE70</f>
        <v>6156.25</v>
      </c>
      <c r="AG70" s="2">
        <f t="shared" ref="AG70:AS70" si="190">+AF70</f>
        <v>6156.25</v>
      </c>
      <c r="AH70" s="2">
        <f t="shared" si="190"/>
        <v>6156.25</v>
      </c>
      <c r="AI70" s="2">
        <f t="shared" si="190"/>
        <v>6156.25</v>
      </c>
      <c r="AJ70" s="2">
        <f t="shared" si="190"/>
        <v>6156.25</v>
      </c>
      <c r="AK70" s="2">
        <f t="shared" si="190"/>
        <v>6156.25</v>
      </c>
      <c r="AL70" s="2">
        <f t="shared" si="190"/>
        <v>6156.25</v>
      </c>
      <c r="AM70" s="2">
        <f t="shared" si="190"/>
        <v>6156.25</v>
      </c>
      <c r="AN70" s="2">
        <f t="shared" si="190"/>
        <v>6156.25</v>
      </c>
      <c r="AO70" s="2">
        <f t="shared" si="190"/>
        <v>6156.25</v>
      </c>
      <c r="AP70" s="2">
        <f t="shared" si="190"/>
        <v>6156.25</v>
      </c>
      <c r="AQ70" s="2">
        <f t="shared" si="190"/>
        <v>6156.25</v>
      </c>
      <c r="AR70" s="2">
        <f t="shared" si="190"/>
        <v>6156.25</v>
      </c>
      <c r="AS70" s="2">
        <f t="shared" si="190"/>
        <v>6156.25</v>
      </c>
    </row>
    <row r="72" spans="2:45" x14ac:dyDescent="0.2">
      <c r="B72" s="2" t="s">
        <v>258</v>
      </c>
      <c r="K72" s="31">
        <f t="shared" ref="K72:K74" si="191">K3/G3-1</f>
        <v>0.40884573894282639</v>
      </c>
      <c r="L72" s="31">
        <f t="shared" ref="L72:N72" si="192">L3/H3-1</f>
        <v>0.37010027347310848</v>
      </c>
      <c r="M72" s="31">
        <f t="shared" si="192"/>
        <v>0.38366988586479378</v>
      </c>
      <c r="N72" s="31">
        <f t="shared" si="192"/>
        <v>0.43120676402767111</v>
      </c>
      <c r="O72" s="31">
        <f>O3/K3-1</f>
        <v>0.15543644716692184</v>
      </c>
      <c r="P72" s="31">
        <f t="shared" ref="P72:R72" si="193">P3/L3-1</f>
        <v>-0.16300731869594143</v>
      </c>
      <c r="Q72" s="31">
        <f t="shared" si="193"/>
        <v>5.0000000000000044E-2</v>
      </c>
      <c r="R72" s="31">
        <f t="shared" si="193"/>
        <v>5.0000000000000044E-2</v>
      </c>
      <c r="S72" s="31"/>
      <c r="T72" s="31"/>
      <c r="U72" s="31"/>
      <c r="V72" s="31"/>
      <c r="Z72" s="34"/>
      <c r="AA72" s="34">
        <f t="shared" ref="AA72" si="194">AA3/Z3-1</f>
        <v>-6.755126658624877E-3</v>
      </c>
      <c r="AB72" s="34">
        <f t="shared" ref="AB72" si="195">AB3/AA3-1</f>
        <v>-3.4734029633228025E-2</v>
      </c>
      <c r="AC72" s="34">
        <f t="shared" ref="AC72" si="196">AC3/AB3-1</f>
        <v>0.12330145948666327</v>
      </c>
      <c r="AD72" s="34">
        <f t="shared" ref="AD72" si="197">AD3/AC3-1</f>
        <v>0.39941756272401441</v>
      </c>
      <c r="AE72" s="34">
        <f>AE3/AD3-1</f>
        <v>2.0793981110933446E-2</v>
      </c>
      <c r="AF72" s="34">
        <f t="shared" ref="AF72:AS72" si="198">AF3/AE3-1</f>
        <v>-1.0000000000000009E-3</v>
      </c>
      <c r="AG72" s="34">
        <f t="shared" si="198"/>
        <v>-1.0000000000000009E-3</v>
      </c>
      <c r="AH72" s="34">
        <f t="shared" si="198"/>
        <v>-1.0000000000000009E-3</v>
      </c>
      <c r="AI72" s="34">
        <f t="shared" si="198"/>
        <v>-1.0000000000000009E-3</v>
      </c>
      <c r="AJ72" s="34">
        <f t="shared" si="198"/>
        <v>-9.9999999999988987E-4</v>
      </c>
      <c r="AK72" s="34">
        <f t="shared" si="198"/>
        <v>-1.0000000000000009E-3</v>
      </c>
      <c r="AL72" s="34">
        <f t="shared" si="198"/>
        <v>-1.0000000000000009E-3</v>
      </c>
      <c r="AM72" s="34">
        <f t="shared" si="198"/>
        <v>-1.0000000000000009E-3</v>
      </c>
      <c r="AN72" s="34">
        <f t="shared" si="198"/>
        <v>-1.0000000000000009E-3</v>
      </c>
      <c r="AO72" s="34">
        <f t="shared" si="198"/>
        <v>-1.0000000000000009E-3</v>
      </c>
      <c r="AP72" s="34">
        <f t="shared" si="198"/>
        <v>-1.0000000000000009E-3</v>
      </c>
      <c r="AQ72" s="34">
        <f t="shared" si="198"/>
        <v>-9.9999999999988987E-4</v>
      </c>
      <c r="AR72" s="34">
        <f t="shared" si="198"/>
        <v>-9.9999999999988987E-4</v>
      </c>
      <c r="AS72" s="34">
        <f t="shared" si="198"/>
        <v>-1.0000000000000009E-3</v>
      </c>
    </row>
    <row r="73" spans="2:45" x14ac:dyDescent="0.2">
      <c r="B73" s="2" t="s">
        <v>259</v>
      </c>
      <c r="K73" s="31">
        <f t="shared" si="191"/>
        <v>-0.29461457233368538</v>
      </c>
      <c r="L73" s="31">
        <f t="shared" ref="L73:N74" si="199">L4/H4-1</f>
        <v>-0.15026178010471203</v>
      </c>
      <c r="M73" s="31">
        <f t="shared" si="199"/>
        <v>-0.12087326943556975</v>
      </c>
      <c r="N73" s="31">
        <f t="shared" si="199"/>
        <v>-8.8332234673698107E-2</v>
      </c>
      <c r="O73" s="31">
        <f>O4/K4-1</f>
        <v>-4.416167664670656E-2</v>
      </c>
      <c r="P73" s="31">
        <f t="shared" ref="P73:R74" si="200">P4/L4-1</f>
        <v>-0.22612446087492299</v>
      </c>
      <c r="Q73" s="31">
        <f t="shared" si="200"/>
        <v>-5.0000000000000155E-2</v>
      </c>
      <c r="R73" s="31">
        <f t="shared" si="200"/>
        <v>-5.0000000000000044E-2</v>
      </c>
      <c r="S73" s="31"/>
      <c r="T73" s="31"/>
      <c r="U73" s="31"/>
      <c r="V73" s="31"/>
    </row>
    <row r="74" spans="2:45" x14ac:dyDescent="0.2">
      <c r="B74" s="2" t="s">
        <v>260</v>
      </c>
      <c r="K74" s="31">
        <f t="shared" si="191"/>
        <v>3.2173913043478164E-2</v>
      </c>
      <c r="L74" s="31">
        <f t="shared" si="199"/>
        <v>-7.3003802281368824E-2</v>
      </c>
      <c r="M74" s="31">
        <f t="shared" si="199"/>
        <v>-7.4355083459787585E-2</v>
      </c>
      <c r="N74" s="31">
        <f t="shared" si="199"/>
        <v>-0.12418772563176894</v>
      </c>
      <c r="O74" s="31">
        <f t="shared" ref="O74" si="201">O5/K5-1</f>
        <v>3.5383319292333626E-2</v>
      </c>
      <c r="P74" s="31">
        <f t="shared" si="200"/>
        <v>3.5274815422477346E-2</v>
      </c>
      <c r="Q74" s="31">
        <f t="shared" si="200"/>
        <v>-1.0000000000000009E-2</v>
      </c>
      <c r="R74" s="31">
        <f t="shared" si="200"/>
        <v>-1.000000000000012E-2</v>
      </c>
      <c r="S74" s="31"/>
      <c r="T74" s="31"/>
      <c r="U74" s="31"/>
      <c r="V74" s="31"/>
    </row>
    <row r="75" spans="2:45" x14ac:dyDescent="0.2">
      <c r="B75" s="2" t="s">
        <v>261</v>
      </c>
      <c r="K75" s="31">
        <f t="shared" ref="K75:K76" si="202">K7/G7-1</f>
        <v>6.176084099868584E-2</v>
      </c>
      <c r="L75" s="31">
        <f t="shared" ref="L75:N75" si="203">L7/H7-1</f>
        <v>-7.8947368421052655E-2</v>
      </c>
      <c r="M75" s="31">
        <f t="shared" si="203"/>
        <v>-4.87210718635811E-3</v>
      </c>
      <c r="N75" s="31">
        <f t="shared" si="203"/>
        <v>-2.4134312696747151E-2</v>
      </c>
      <c r="O75" s="31">
        <f t="shared" ref="O75:R76" si="204">O7/K7-1</f>
        <v>1.7326732673267342E-2</v>
      </c>
      <c r="P75" s="31">
        <f t="shared" si="204"/>
        <v>-3.5714285714285587E-3</v>
      </c>
      <c r="Q75" s="31">
        <f t="shared" si="204"/>
        <v>3.0000000000000027E-2</v>
      </c>
      <c r="R75" s="31">
        <f t="shared" si="204"/>
        <v>3.0000000000000027E-2</v>
      </c>
      <c r="S75" s="31"/>
      <c r="T75" s="31"/>
      <c r="U75" s="31"/>
      <c r="V75" s="31"/>
    </row>
    <row r="76" spans="2:45" x14ac:dyDescent="0.2">
      <c r="B76" s="2" t="s">
        <v>262</v>
      </c>
      <c r="K76" s="31">
        <f t="shared" si="202"/>
        <v>-0.16958424507658643</v>
      </c>
      <c r="L76" s="31">
        <f>L8/H8-1</f>
        <v>-0.1586489252814739</v>
      </c>
      <c r="M76" s="31">
        <f>M8/I8-1</f>
        <v>-0.11623036649214658</v>
      </c>
      <c r="N76" s="31">
        <f>N8/J8-1</f>
        <v>-9.6613545816733093E-2</v>
      </c>
      <c r="O76" s="31">
        <f t="shared" si="204"/>
        <v>-3.4255599472990728E-2</v>
      </c>
      <c r="P76" s="31">
        <f t="shared" si="204"/>
        <v>-6.8126520681265235E-2</v>
      </c>
      <c r="Q76" s="31">
        <f t="shared" si="204"/>
        <v>-5.0000000000000044E-2</v>
      </c>
      <c r="R76" s="31">
        <f t="shared" si="204"/>
        <v>-5.0000000000000044E-2</v>
      </c>
      <c r="S76" s="31"/>
      <c r="T76" s="31"/>
      <c r="U76" s="31"/>
      <c r="V76" s="31"/>
    </row>
    <row r="77" spans="2:45" x14ac:dyDescent="0.2">
      <c r="B77" s="2" t="s">
        <v>294</v>
      </c>
      <c r="J77" s="31"/>
      <c r="K77" s="31">
        <f t="shared" ref="K77" si="205">+K17/G17-1</f>
        <v>0.84615384615384626</v>
      </c>
      <c r="L77" s="31">
        <f>+L17/H17-1</f>
        <v>0.88235294117647056</v>
      </c>
      <c r="M77" s="31">
        <f t="shared" ref="M77:R77" si="206">+M17/I17-1</f>
        <v>0.49411764705882355</v>
      </c>
      <c r="N77" s="31">
        <f t="shared" si="206"/>
        <v>0.65384615384615374</v>
      </c>
      <c r="O77" s="31">
        <f t="shared" si="206"/>
        <v>1.0520833333333335</v>
      </c>
      <c r="P77" s="31">
        <f t="shared" si="206"/>
        <v>0.6953125</v>
      </c>
      <c r="Q77" s="31">
        <f t="shared" si="206"/>
        <v>0.86614173228346458</v>
      </c>
      <c r="R77" s="31">
        <f t="shared" si="206"/>
        <v>0.4941860465116279</v>
      </c>
      <c r="S77" s="31"/>
      <c r="T77" s="31"/>
      <c r="U77" s="31"/>
      <c r="V77" s="31"/>
    </row>
    <row r="78" spans="2:45" x14ac:dyDescent="0.2">
      <c r="B78" s="2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2:45" s="5" customFormat="1" x14ac:dyDescent="0.2">
      <c r="B79" s="6" t="s">
        <v>252</v>
      </c>
      <c r="C79" s="7"/>
      <c r="D79" s="7"/>
      <c r="E79" s="7"/>
      <c r="F79" s="7"/>
      <c r="G79" s="7"/>
      <c r="H79" s="7"/>
      <c r="I79" s="7"/>
      <c r="J79" s="7"/>
      <c r="K79" s="7"/>
      <c r="L79" s="32">
        <f t="shared" ref="L79:R79" si="207">L58/H58-1</f>
        <v>-7.1792061379472361E-2</v>
      </c>
      <c r="M79" s="32">
        <f t="shared" si="207"/>
        <v>-2.2490089798560042E-2</v>
      </c>
      <c r="N79" s="32">
        <f t="shared" si="207"/>
        <v>8.6314813383818967E-2</v>
      </c>
      <c r="O79" s="32">
        <f t="shared" si="207"/>
        <v>0.18713503649635044</v>
      </c>
      <c r="P79" s="32">
        <f t="shared" si="207"/>
        <v>0.10872132253711198</v>
      </c>
      <c r="Q79" s="32">
        <f t="shared" si="207"/>
        <v>0.10690143176363476</v>
      </c>
      <c r="R79" s="32">
        <f t="shared" si="207"/>
        <v>-8.3837601365768233E-3</v>
      </c>
      <c r="S79" s="32"/>
      <c r="T79" s="32"/>
      <c r="U79" s="32"/>
      <c r="V79" s="32"/>
      <c r="W79" s="7"/>
      <c r="X79" s="7"/>
      <c r="Y79" s="7"/>
      <c r="Z79" s="7"/>
      <c r="AE79" s="33">
        <f t="shared" ref="AE79:AJ79" si="208">AE58/AD58-1</f>
        <v>8.8543642380048082E-2</v>
      </c>
      <c r="AF79" s="33">
        <f t="shared" si="208"/>
        <v>-0.36743704556250489</v>
      </c>
      <c r="AG79" s="33">
        <f t="shared" si="208"/>
        <v>-4.782338041643408E-3</v>
      </c>
      <c r="AH79" s="33">
        <f t="shared" si="208"/>
        <v>-4.0785760628414547E-4</v>
      </c>
      <c r="AI79" s="33">
        <f t="shared" si="208"/>
        <v>4.5941182588393747E-3</v>
      </c>
      <c r="AJ79" s="33">
        <f t="shared" si="208"/>
        <v>-8.7925452029463669E-2</v>
      </c>
    </row>
    <row r="80" spans="2:45" x14ac:dyDescent="0.2">
      <c r="B80" s="2" t="s">
        <v>254</v>
      </c>
      <c r="L80" s="31">
        <f t="shared" ref="L80:R81" si="209">L61/H61-1</f>
        <v>-3.2702237521514577E-2</v>
      </c>
      <c r="M80" s="31">
        <f t="shared" si="209"/>
        <v>-6.9718096392846762E-3</v>
      </c>
      <c r="N80" s="31">
        <f t="shared" si="209"/>
        <v>0.17415730337078661</v>
      </c>
      <c r="O80" s="31">
        <f t="shared" si="209"/>
        <v>9.4217024041585384E-2</v>
      </c>
      <c r="P80" s="31">
        <f t="shared" si="209"/>
        <v>2.1055753262158916E-2</v>
      </c>
      <c r="Q80" s="31">
        <f t="shared" si="209"/>
        <v>0.10000000000000009</v>
      </c>
      <c r="R80" s="31">
        <f t="shared" si="209"/>
        <v>0.10000000000000009</v>
      </c>
      <c r="S80" s="31"/>
      <c r="T80" s="31"/>
      <c r="U80" s="31"/>
      <c r="V80" s="31"/>
    </row>
    <row r="81" spans="2:45" x14ac:dyDescent="0.2">
      <c r="B81" s="2" t="s">
        <v>255</v>
      </c>
      <c r="L81" s="31">
        <f t="shared" si="209"/>
        <v>1.0501750291715295E-2</v>
      </c>
      <c r="M81" s="31">
        <f t="shared" si="209"/>
        <v>-3.5234899328859037E-2</v>
      </c>
      <c r="N81" s="31">
        <f t="shared" si="209"/>
        <v>0.1368317802844532</v>
      </c>
      <c r="O81" s="31">
        <f t="shared" si="209"/>
        <v>-8.2045817794352716E-2</v>
      </c>
      <c r="P81" s="31">
        <f t="shared" si="209"/>
        <v>4.6189376443417363E-3</v>
      </c>
      <c r="Q81" s="31">
        <f t="shared" si="209"/>
        <v>0</v>
      </c>
      <c r="R81" s="31">
        <f t="shared" si="209"/>
        <v>0</v>
      </c>
      <c r="S81" s="31"/>
      <c r="T81" s="31"/>
      <c r="U81" s="31"/>
      <c r="V81" s="31"/>
    </row>
    <row r="83" spans="2:45" x14ac:dyDescent="0.2">
      <c r="B83" t="s">
        <v>253</v>
      </c>
      <c r="H83" s="31">
        <f t="shared" ref="H83:R83" si="210">H60/H58</f>
        <v>0.81836686761136768</v>
      </c>
      <c r="I83" s="31">
        <f t="shared" si="210"/>
        <v>0.81846128953968122</v>
      </c>
      <c r="J83" s="31">
        <f t="shared" si="210"/>
        <v>0.80032454988022561</v>
      </c>
      <c r="K83" s="31">
        <f t="shared" si="210"/>
        <v>0.83512773722627742</v>
      </c>
      <c r="L83" s="31">
        <f t="shared" si="210"/>
        <v>0.82093454790823217</v>
      </c>
      <c r="M83" s="31">
        <f t="shared" si="210"/>
        <v>0.82554001489696271</v>
      </c>
      <c r="N83" s="31">
        <f t="shared" si="210"/>
        <v>0.7878076540048371</v>
      </c>
      <c r="O83" s="31">
        <f t="shared" si="210"/>
        <v>0.80285911920682496</v>
      </c>
      <c r="P83" s="31">
        <f t="shared" si="210"/>
        <v>0.76705971852415367</v>
      </c>
      <c r="Q83" s="31">
        <f t="shared" si="210"/>
        <v>0.80000000000000016</v>
      </c>
      <c r="R83" s="31">
        <f t="shared" si="210"/>
        <v>0.8</v>
      </c>
      <c r="S83" s="31"/>
      <c r="T83" s="31"/>
      <c r="U83" s="31"/>
      <c r="V83" s="31"/>
      <c r="AC83" s="31">
        <f t="shared" ref="AC83:AE83" si="211">AC60/AC58</f>
        <v>0.81521343313777062</v>
      </c>
      <c r="AD83" s="31">
        <f t="shared" si="211"/>
        <v>0.81573625834916352</v>
      </c>
      <c r="AE83" s="31">
        <f t="shared" si="211"/>
        <v>0.7919011977803857</v>
      </c>
      <c r="AF83" s="31">
        <f t="shared" ref="AF83:AS83" si="212">AF60/AF58</f>
        <v>0.8</v>
      </c>
      <c r="AG83" s="31">
        <f t="shared" si="212"/>
        <v>0.8</v>
      </c>
      <c r="AH83" s="31">
        <f t="shared" si="212"/>
        <v>0.8</v>
      </c>
      <c r="AI83" s="31">
        <f t="shared" si="212"/>
        <v>0.8</v>
      </c>
      <c r="AJ83" s="31">
        <f t="shared" si="212"/>
        <v>0.8</v>
      </c>
      <c r="AK83" s="31">
        <f t="shared" si="212"/>
        <v>0.8</v>
      </c>
      <c r="AL83" s="31">
        <f t="shared" si="212"/>
        <v>0.8</v>
      </c>
      <c r="AM83" s="31">
        <f t="shared" si="212"/>
        <v>0.8</v>
      </c>
      <c r="AN83" s="31">
        <f t="shared" si="212"/>
        <v>0.8</v>
      </c>
      <c r="AO83" s="31">
        <f t="shared" si="212"/>
        <v>0.8</v>
      </c>
      <c r="AP83" s="31">
        <f t="shared" si="212"/>
        <v>0.8</v>
      </c>
      <c r="AQ83" s="31">
        <f t="shared" si="212"/>
        <v>0.8</v>
      </c>
      <c r="AR83" s="31">
        <f t="shared" si="212"/>
        <v>0.79999999999999993</v>
      </c>
      <c r="AS83" s="31">
        <f t="shared" si="212"/>
        <v>0.8</v>
      </c>
    </row>
    <row r="84" spans="2:45" x14ac:dyDescent="0.2">
      <c r="B84" s="2" t="s">
        <v>256</v>
      </c>
      <c r="H84" s="31">
        <f>H64/H58</f>
        <v>0.41125812260236438</v>
      </c>
      <c r="I84" s="31">
        <f t="shared" ref="I84:O84" si="213">I64/I58</f>
        <v>0.40692500606747029</v>
      </c>
      <c r="J84" s="31">
        <f t="shared" si="213"/>
        <v>0.34015918398887257</v>
      </c>
      <c r="K84" s="31">
        <f t="shared" si="213"/>
        <v>0.38302919708029198</v>
      </c>
      <c r="L84" s="31">
        <f t="shared" si="213"/>
        <v>0.39043522267206476</v>
      </c>
      <c r="M84" s="31">
        <f t="shared" si="213"/>
        <v>0.41165273524786888</v>
      </c>
      <c r="N84" s="31">
        <f t="shared" si="213"/>
        <v>0.29584578176127474</v>
      </c>
      <c r="O84" s="31">
        <f t="shared" si="213"/>
        <v>0.41157482130504958</v>
      </c>
      <c r="P84" s="31">
        <f t="shared" ref="P84:R84" si="214">P64/P58</f>
        <v>0.37276531000380375</v>
      </c>
      <c r="Q84" s="31">
        <f t="shared" si="214"/>
        <v>0.40159076584204945</v>
      </c>
      <c r="R84" s="31">
        <f t="shared" si="214"/>
        <v>0.27089488211851753</v>
      </c>
      <c r="S84" s="31"/>
      <c r="T84" s="31"/>
      <c r="U84" s="31"/>
      <c r="V84" s="31"/>
      <c r="AC84" s="31">
        <f t="shared" ref="AC84:AE84" si="215">AC64/AC58</f>
        <v>0.39291927978960145</v>
      </c>
      <c r="AD84" s="31">
        <f t="shared" si="215"/>
        <v>0.3668525440692853</v>
      </c>
      <c r="AE84" s="31">
        <f t="shared" si="215"/>
        <v>0.360720667374479</v>
      </c>
      <c r="AF84" s="31">
        <f t="shared" ref="AF84:AS84" si="216">AF64/AF58</f>
        <v>0.36396947603623264</v>
      </c>
      <c r="AG84" s="31">
        <f t="shared" si="216"/>
        <v>0.3837804998853489</v>
      </c>
      <c r="AH84" s="31">
        <f t="shared" si="216"/>
        <v>0.40443013871433942</v>
      </c>
      <c r="AI84" s="31">
        <f t="shared" si="216"/>
        <v>0.42592716661262309</v>
      </c>
      <c r="AJ84" s="31">
        <f t="shared" si="216"/>
        <v>0.41037264716053906</v>
      </c>
      <c r="AK84" s="31">
        <f t="shared" si="216"/>
        <v>0.4177533689155643</v>
      </c>
      <c r="AL84" s="31">
        <f t="shared" si="216"/>
        <v>0.35556223318173685</v>
      </c>
      <c r="AM84" s="31">
        <f t="shared" si="216"/>
        <v>0.34833713778891146</v>
      </c>
      <c r="AN84" s="31">
        <f t="shared" si="216"/>
        <v>0.35746646135661853</v>
      </c>
      <c r="AO84" s="31">
        <f t="shared" si="216"/>
        <v>0.37087313525097088</v>
      </c>
      <c r="AP84" s="31">
        <f t="shared" si="216"/>
        <v>0.38538213018019374</v>
      </c>
      <c r="AQ84" s="31">
        <f t="shared" si="216"/>
        <v>0.40008161479664389</v>
      </c>
      <c r="AR84" s="31">
        <f t="shared" si="216"/>
        <v>0.41465888442396021</v>
      </c>
      <c r="AS84" s="31">
        <f t="shared" si="216"/>
        <v>0.42898658405459272</v>
      </c>
    </row>
    <row r="85" spans="2:45" x14ac:dyDescent="0.2">
      <c r="B85" s="2" t="s">
        <v>257</v>
      </c>
      <c r="H85" s="31">
        <f>H67/H66</f>
        <v>0.27281226626776367</v>
      </c>
      <c r="I85" s="31">
        <f t="shared" ref="I85:O85" si="217">I67/I66</f>
        <v>0.26223091976516633</v>
      </c>
      <c r="J85" s="31">
        <f t="shared" si="217"/>
        <v>0.27184466019417475</v>
      </c>
      <c r="K85" s="31">
        <f t="shared" si="217"/>
        <v>0.23802978235967925</v>
      </c>
      <c r="L85" s="31">
        <f t="shared" si="217"/>
        <v>0.253659556670849</v>
      </c>
      <c r="M85" s="31">
        <f t="shared" si="217"/>
        <v>0.25631911532385465</v>
      </c>
      <c r="N85" s="31">
        <f t="shared" si="217"/>
        <v>0.19480519480519481</v>
      </c>
      <c r="O85" s="31">
        <f t="shared" si="217"/>
        <v>0.23999268872235424</v>
      </c>
      <c r="P85" s="31">
        <f t="shared" ref="P85:R85" si="218">P67/P66</f>
        <v>0.23391812865497075</v>
      </c>
      <c r="Q85" s="31">
        <f t="shared" si="218"/>
        <v>0.25</v>
      </c>
      <c r="R85" s="31">
        <f t="shared" si="218"/>
        <v>0.25</v>
      </c>
      <c r="S85" s="31"/>
      <c r="T85" s="31"/>
      <c r="U85" s="31"/>
      <c r="V85" s="31"/>
      <c r="AC85" s="31">
        <f t="shared" ref="AC85:AE85" si="219">AC67/AC66</f>
        <v>0.26301835826121756</v>
      </c>
      <c r="AD85" s="31">
        <f t="shared" si="219"/>
        <v>0.23735641570036475</v>
      </c>
      <c r="AE85" s="31">
        <f t="shared" si="219"/>
        <v>0.24527324837100992</v>
      </c>
      <c r="AF85" s="31">
        <f t="shared" ref="AF85:AS85" si="220">AF67/AF66</f>
        <v>0.25</v>
      </c>
      <c r="AG85" s="31">
        <f t="shared" si="220"/>
        <v>0.25</v>
      </c>
      <c r="AH85" s="31">
        <f t="shared" si="220"/>
        <v>0.25</v>
      </c>
      <c r="AI85" s="31">
        <f t="shared" si="220"/>
        <v>0.25</v>
      </c>
      <c r="AJ85" s="31">
        <f t="shared" si="220"/>
        <v>0.25</v>
      </c>
      <c r="AK85" s="31">
        <f t="shared" si="220"/>
        <v>0.25</v>
      </c>
      <c r="AL85" s="31">
        <f t="shared" si="220"/>
        <v>0.25</v>
      </c>
      <c r="AM85" s="31">
        <f t="shared" si="220"/>
        <v>0.25</v>
      </c>
      <c r="AN85" s="31">
        <f t="shared" si="220"/>
        <v>0.25</v>
      </c>
      <c r="AO85" s="31">
        <f t="shared" si="220"/>
        <v>0.25</v>
      </c>
      <c r="AP85" s="31">
        <f t="shared" si="220"/>
        <v>0.25</v>
      </c>
      <c r="AQ85" s="31">
        <f t="shared" si="220"/>
        <v>0.25</v>
      </c>
      <c r="AR85" s="31">
        <f t="shared" si="220"/>
        <v>0.25</v>
      </c>
      <c r="AS85" s="31">
        <f t="shared" si="220"/>
        <v>0.25</v>
      </c>
    </row>
    <row r="88" spans="2:45" x14ac:dyDescent="0.2">
      <c r="B88" t="s">
        <v>270</v>
      </c>
      <c r="P88" s="3">
        <f>P89-P99</f>
        <v>-10115</v>
      </c>
      <c r="Q88" s="3">
        <f>+P88+Q68</f>
        <v>-6086.6360000000004</v>
      </c>
      <c r="R88" s="3">
        <f>+Q88+R68</f>
        <v>-3254.4013399999985</v>
      </c>
      <c r="AE88" s="2">
        <f>+R88</f>
        <v>-3254.4013399999985</v>
      </c>
      <c r="AF88" s="2">
        <f t="shared" ref="AF88:AS88" si="221">+AE88+AF68</f>
        <v>5947.7765367999982</v>
      </c>
      <c r="AG88" s="2">
        <f t="shared" si="221"/>
        <v>15604.429837203994</v>
      </c>
      <c r="AH88" s="2">
        <f t="shared" si="221"/>
        <v>25776.517191534578</v>
      </c>
      <c r="AI88" s="2">
        <f t="shared" si="221"/>
        <v>36538.50612377761</v>
      </c>
      <c r="AJ88" s="2">
        <f t="shared" si="221"/>
        <v>45995.779479730874</v>
      </c>
      <c r="AK88" s="2">
        <f t="shared" si="221"/>
        <v>55318.375689995126</v>
      </c>
      <c r="AL88" s="2">
        <f t="shared" si="221"/>
        <v>61801.567241346434</v>
      </c>
      <c r="AM88" s="2">
        <f t="shared" si="221"/>
        <v>67738.924569149778</v>
      </c>
      <c r="AN88" s="2">
        <f t="shared" si="221"/>
        <v>73646.652766920233</v>
      </c>
      <c r="AO88" s="2">
        <f t="shared" si="221"/>
        <v>79651.399199508844</v>
      </c>
      <c r="AP88" s="2">
        <f t="shared" si="221"/>
        <v>85786.506502777615</v>
      </c>
      <c r="AQ88" s="2">
        <f t="shared" si="221"/>
        <v>92059.566418385744</v>
      </c>
      <c r="AR88" s="2">
        <f t="shared" si="221"/>
        <v>98469.76437253051</v>
      </c>
      <c r="AS88" s="2">
        <f t="shared" si="221"/>
        <v>105013.16510477263</v>
      </c>
    </row>
    <row r="89" spans="2:45" s="2" customFormat="1" x14ac:dyDescent="0.2">
      <c r="B89" s="2" t="s">
        <v>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f>3411+17531+13124</f>
        <v>34066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45" s="2" customFormat="1" x14ac:dyDescent="0.2">
      <c r="B90" s="2" t="s">
        <v>271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v>9138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45" s="2" customFormat="1" x14ac:dyDescent="0.2">
      <c r="B91" s="2" t="s">
        <v>272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v>7614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45" s="2" customFormat="1" x14ac:dyDescent="0.2">
      <c r="B92" s="2" t="s">
        <v>76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f>1805+3127</f>
        <v>4932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45" s="2" customFormat="1" x14ac:dyDescent="0.2">
      <c r="B93" s="2" t="s">
        <v>273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3023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45" s="2" customFormat="1" x14ac:dyDescent="0.2">
      <c r="B94" s="2" t="s">
        <v>274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13609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45" s="2" customFormat="1" x14ac:dyDescent="0.2">
      <c r="B95" s="2" t="s">
        <v>275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f>50600+43056</f>
        <v>93656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45" s="2" customFormat="1" x14ac:dyDescent="0.2">
      <c r="B96" s="2" t="s">
        <v>276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4618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s="2" customFormat="1" x14ac:dyDescent="0.2">
      <c r="B97" s="2" t="s">
        <v>277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f>SUM(P89:P96)</f>
        <v>170656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s="2" customFormat="1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s="2" customFormat="1" x14ac:dyDescent="0.2">
      <c r="B99" s="2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f>13724+30457</f>
        <v>44181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s="2" customFormat="1" x14ac:dyDescent="0.2">
      <c r="B100" s="2" t="s">
        <v>278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3261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s="2" customFormat="1" x14ac:dyDescent="0.2">
      <c r="B101" s="2" t="s">
        <v>279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1820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s="2" customFormat="1" x14ac:dyDescent="0.2">
      <c r="B102" s="2" t="s">
        <v>76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f>647+4116</f>
        <v>4763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s="2" customFormat="1" x14ac:dyDescent="0.2">
      <c r="B103" s="2" t="s">
        <v>280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1594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s="2" customFormat="1" x14ac:dyDescent="0.2">
      <c r="B104" s="2" t="s">
        <v>281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11053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s="2" customFormat="1" x14ac:dyDescent="0.2">
      <c r="B105" s="2" t="s">
        <v>282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f>5224+1877</f>
        <v>7101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s="2" customFormat="1" x14ac:dyDescent="0.2">
      <c r="B106" s="2" t="s">
        <v>76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28300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s="2" customFormat="1" x14ac:dyDescent="0.2">
      <c r="B107" s="2" t="s">
        <v>283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5518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s="2" customFormat="1" x14ac:dyDescent="0.2">
      <c r="B108" s="2" t="s">
        <v>284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f>SUM(P99:P107)</f>
        <v>107591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s="2" customFormat="1" x14ac:dyDescent="0.2">
      <c r="B109" s="2" t="s">
        <v>285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63066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s="2" customFormat="1" x14ac:dyDescent="0.2">
      <c r="B110" s="2" t="s">
        <v>286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f>+P109+P108</f>
        <v>170657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2.75" x14ac:dyDescent="0.2"/>
  <cols>
    <col min="1" max="1" width="5" bestFit="1" customWidth="1"/>
    <col min="2" max="2" width="12" bestFit="1" customWidth="1"/>
    <col min="3" max="3" width="15.85546875" bestFit="1" customWidth="1"/>
    <col min="5" max="5" width="25.140625" bestFit="1" customWidth="1"/>
  </cols>
  <sheetData>
    <row r="1" spans="1:7" x14ac:dyDescent="0.2">
      <c r="A1" s="4" t="s">
        <v>6</v>
      </c>
    </row>
    <row r="2" spans="1:7" x14ac:dyDescent="0.2">
      <c r="B2" s="17" t="s">
        <v>295</v>
      </c>
      <c r="C2" s="18" t="s">
        <v>91</v>
      </c>
      <c r="D2" s="18" t="s">
        <v>105</v>
      </c>
      <c r="E2" s="18" t="s">
        <v>87</v>
      </c>
      <c r="F2" s="18" t="s">
        <v>288</v>
      </c>
      <c r="G2" s="37" t="s">
        <v>309</v>
      </c>
    </row>
    <row r="3" spans="1:7" x14ac:dyDescent="0.2">
      <c r="B3" s="13" t="s">
        <v>160</v>
      </c>
      <c r="C3" s="14" t="s">
        <v>306</v>
      </c>
      <c r="D3" s="14" t="s">
        <v>307</v>
      </c>
      <c r="E3" s="14" t="s">
        <v>308</v>
      </c>
      <c r="F3" s="14"/>
      <c r="G3" s="38" t="s">
        <v>305</v>
      </c>
    </row>
    <row r="4" spans="1:7" x14ac:dyDescent="0.2">
      <c r="B4" s="13" t="s">
        <v>162</v>
      </c>
      <c r="C4" s="14" t="s">
        <v>310</v>
      </c>
      <c r="D4" s="14" t="s">
        <v>120</v>
      </c>
      <c r="E4" s="14" t="s">
        <v>161</v>
      </c>
      <c r="F4" s="14"/>
      <c r="G4" s="38"/>
    </row>
    <row r="5" spans="1:7" x14ac:dyDescent="0.2">
      <c r="B5" s="13"/>
      <c r="C5" s="14"/>
      <c r="D5" s="14"/>
      <c r="E5" s="14"/>
      <c r="F5" s="14"/>
      <c r="G5" s="38"/>
    </row>
    <row r="6" spans="1:7" x14ac:dyDescent="0.2">
      <c r="B6" s="13"/>
      <c r="C6" s="14"/>
      <c r="D6" s="14"/>
      <c r="E6" s="14"/>
      <c r="F6" s="14"/>
      <c r="G6" s="38"/>
    </row>
    <row r="7" spans="1:7" x14ac:dyDescent="0.2">
      <c r="B7" s="13"/>
      <c r="C7" s="14"/>
      <c r="D7" s="14"/>
      <c r="E7" s="14"/>
      <c r="F7" s="14"/>
      <c r="G7" s="38"/>
    </row>
    <row r="8" spans="1:7" x14ac:dyDescent="0.2">
      <c r="B8" s="13"/>
      <c r="C8" s="14"/>
      <c r="D8" s="14"/>
      <c r="E8" s="14"/>
      <c r="F8" s="14"/>
      <c r="G8" s="38"/>
    </row>
    <row r="9" spans="1:7" x14ac:dyDescent="0.2">
      <c r="B9" s="13"/>
      <c r="C9" s="14"/>
      <c r="D9" s="14"/>
      <c r="E9" s="14"/>
      <c r="F9" s="14"/>
      <c r="G9" s="38"/>
    </row>
    <row r="10" spans="1:7" x14ac:dyDescent="0.2">
      <c r="B10" s="13"/>
      <c r="C10" s="14"/>
      <c r="D10" s="14"/>
      <c r="E10" s="14"/>
      <c r="F10" s="14"/>
      <c r="G10" s="38"/>
    </row>
    <row r="11" spans="1:7" x14ac:dyDescent="0.2">
      <c r="B11" s="13"/>
      <c r="C11" s="14"/>
      <c r="D11" s="14"/>
      <c r="E11" s="14"/>
      <c r="F11" s="14"/>
      <c r="G11" s="38"/>
    </row>
    <row r="12" spans="1:7" x14ac:dyDescent="0.2">
      <c r="B12" s="13"/>
      <c r="C12" s="14"/>
      <c r="D12" s="14"/>
      <c r="E12" s="14"/>
      <c r="F12" s="14"/>
      <c r="G12" s="38"/>
    </row>
    <row r="13" spans="1:7" x14ac:dyDescent="0.2">
      <c r="B13" s="13"/>
      <c r="C13" s="14"/>
      <c r="D13" s="14"/>
      <c r="E13" s="14"/>
      <c r="F13" s="14"/>
      <c r="G13" s="38"/>
    </row>
    <row r="14" spans="1:7" x14ac:dyDescent="0.2">
      <c r="B14" s="13"/>
      <c r="C14" s="14"/>
      <c r="D14" s="14"/>
      <c r="E14" s="14"/>
      <c r="F14" s="14"/>
      <c r="G14" s="38"/>
    </row>
    <row r="15" spans="1:7" x14ac:dyDescent="0.2">
      <c r="B15" s="13"/>
      <c r="C15" s="14"/>
      <c r="D15" s="14"/>
      <c r="E15" s="14"/>
      <c r="F15" s="14"/>
      <c r="G15" s="38"/>
    </row>
    <row r="16" spans="1:7" x14ac:dyDescent="0.2">
      <c r="B16" s="13"/>
      <c r="C16" s="14"/>
      <c r="D16" s="14"/>
      <c r="E16" s="14"/>
      <c r="F16" s="14"/>
      <c r="G16" s="38"/>
    </row>
    <row r="17" spans="2:7" x14ac:dyDescent="0.2">
      <c r="B17" s="13"/>
      <c r="C17" s="14"/>
      <c r="D17" s="14"/>
      <c r="E17" s="14"/>
      <c r="F17" s="14"/>
      <c r="G17" s="38"/>
    </row>
    <row r="18" spans="2:7" x14ac:dyDescent="0.2">
      <c r="B18" s="13"/>
      <c r="C18" s="14"/>
      <c r="D18" s="14"/>
      <c r="E18" s="14"/>
      <c r="F18" s="14"/>
      <c r="G18" s="38"/>
    </row>
    <row r="19" spans="2:7" x14ac:dyDescent="0.2">
      <c r="B19" s="15"/>
      <c r="C19" s="16"/>
      <c r="D19" s="16"/>
      <c r="E19" s="16"/>
      <c r="F19" s="16"/>
      <c r="G19" s="39"/>
    </row>
  </sheetData>
  <hyperlinks>
    <hyperlink ref="A1" location="Main!A1" display="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2.75" x14ac:dyDescent="0.2"/>
  <cols>
    <col min="1" max="1" width="5" bestFit="1" customWidth="1"/>
  </cols>
  <sheetData>
    <row r="1" spans="1:3" x14ac:dyDescent="0.2">
      <c r="A1" s="4" t="s">
        <v>6</v>
      </c>
    </row>
    <row r="2" spans="1:3" x14ac:dyDescent="0.2">
      <c r="B2">
        <v>9440949</v>
      </c>
      <c r="C2" t="s">
        <v>297</v>
      </c>
    </row>
    <row r="3" spans="1:3" x14ac:dyDescent="0.2">
      <c r="B3">
        <v>9428523</v>
      </c>
      <c r="C3" t="s">
        <v>298</v>
      </c>
    </row>
    <row r="4" spans="1:3" x14ac:dyDescent="0.2">
      <c r="B4">
        <v>9403846</v>
      </c>
      <c r="C4" t="s">
        <v>298</v>
      </c>
    </row>
    <row r="5" spans="1:3" x14ac:dyDescent="0.2">
      <c r="B5">
        <v>9399626</v>
      </c>
      <c r="C5" t="s">
        <v>299</v>
      </c>
    </row>
    <row r="6" spans="1:3" x14ac:dyDescent="0.2">
      <c r="B6">
        <v>9296761</v>
      </c>
      <c r="C6" t="s">
        <v>153</v>
      </c>
    </row>
    <row r="7" spans="1:3" x14ac:dyDescent="0.2">
      <c r="B7">
        <v>9193726</v>
      </c>
      <c r="C7" t="s">
        <v>300</v>
      </c>
    </row>
    <row r="8" spans="1:3" x14ac:dyDescent="0.2">
      <c r="B8">
        <v>9139561</v>
      </c>
      <c r="C8" t="s">
        <v>302</v>
      </c>
    </row>
    <row r="9" spans="1:3" x14ac:dyDescent="0.2">
      <c r="B9">
        <v>8933095</v>
      </c>
      <c r="C9" t="s">
        <v>301</v>
      </c>
    </row>
    <row r="10" spans="1:3" x14ac:dyDescent="0.2">
      <c r="B10">
        <v>8916564</v>
      </c>
      <c r="C10" t="s">
        <v>300</v>
      </c>
    </row>
  </sheetData>
  <hyperlinks>
    <hyperlink ref="A1" location="Main!A1" display="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3" x14ac:dyDescent="0.2">
      <c r="A1" s="4" t="s">
        <v>6</v>
      </c>
    </row>
    <row r="2" spans="1:3" x14ac:dyDescent="0.2">
      <c r="B2" t="s">
        <v>295</v>
      </c>
      <c r="C2" t="s">
        <v>296</v>
      </c>
    </row>
  </sheetData>
  <hyperlinks>
    <hyperlink ref="A1" location="Main!A1" display="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Compounds</vt:lpstr>
      <vt:lpstr>IP</vt:lpstr>
      <vt:lpstr>Prevnar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2016-05-10T19:27:53Z</dcterms:created>
  <dcterms:modified xsi:type="dcterms:W3CDTF">2016-10-13T00:14:40Z</dcterms:modified>
</cp:coreProperties>
</file>