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435" windowHeight="759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" l="1"/>
  <c r="J67" i="2"/>
  <c r="J66" i="2"/>
  <c r="J65" i="2"/>
  <c r="J64" i="2"/>
  <c r="J63" i="2"/>
  <c r="J62" i="2"/>
  <c r="J61" i="2"/>
  <c r="J60" i="2"/>
  <c r="J59" i="2"/>
  <c r="J57" i="2"/>
  <c r="J56" i="2"/>
  <c r="I68" i="2"/>
  <c r="I66" i="2"/>
  <c r="J55" i="2"/>
  <c r="I55" i="2"/>
  <c r="L32" i="2"/>
  <c r="K32" i="2"/>
  <c r="L25" i="2"/>
  <c r="L24" i="2"/>
  <c r="K24" i="2"/>
  <c r="J24" i="2"/>
  <c r="I24" i="2"/>
  <c r="E6" i="2"/>
  <c r="E7" i="2" s="1"/>
  <c r="I6" i="2"/>
  <c r="H30" i="2"/>
  <c r="H29" i="2"/>
  <c r="H28" i="2"/>
  <c r="I16" i="2"/>
  <c r="I14" i="2"/>
  <c r="I48" i="2"/>
  <c r="I52" i="2" s="1"/>
  <c r="I49" i="2"/>
  <c r="I41" i="2"/>
  <c r="I39" i="2"/>
  <c r="I38" i="2"/>
  <c r="I33" i="2"/>
  <c r="J32" i="2"/>
  <c r="J52" i="2"/>
  <c r="J48" i="2"/>
  <c r="J41" i="2"/>
  <c r="J38" i="2"/>
  <c r="Z68" i="2"/>
  <c r="Y68" i="2"/>
  <c r="X68" i="2"/>
  <c r="X16" i="2"/>
  <c r="Y16" i="2"/>
  <c r="Z19" i="2"/>
  <c r="Z17" i="2"/>
  <c r="Z16" i="2"/>
  <c r="Y14" i="2"/>
  <c r="Y15" i="2" s="1"/>
  <c r="Y17" i="2" s="1"/>
  <c r="Y19" i="2" s="1"/>
  <c r="X14" i="2"/>
  <c r="X15" i="2" s="1"/>
  <c r="Z15" i="2"/>
  <c r="Z14" i="2"/>
  <c r="Z9" i="2"/>
  <c r="Y9" i="2"/>
  <c r="X9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Q2" i="2"/>
  <c r="F16" i="2"/>
  <c r="F14" i="2"/>
  <c r="F9" i="2"/>
  <c r="F28" i="2" s="1"/>
  <c r="G30" i="2"/>
  <c r="J28" i="2"/>
  <c r="J23" i="2"/>
  <c r="J16" i="2"/>
  <c r="J14" i="2"/>
  <c r="J9" i="2"/>
  <c r="F7" i="2"/>
  <c r="F6" i="2"/>
  <c r="J6" i="2"/>
  <c r="L65" i="2"/>
  <c r="L64" i="2"/>
  <c r="L63" i="2"/>
  <c r="L66" i="2" s="1"/>
  <c r="L68" i="2" s="1"/>
  <c r="L62" i="2"/>
  <c r="L61" i="2"/>
  <c r="L60" i="2"/>
  <c r="L59" i="2"/>
  <c r="L57" i="2"/>
  <c r="L56" i="2"/>
  <c r="L67" i="2"/>
  <c r="L30" i="2"/>
  <c r="K8" i="2"/>
  <c r="K3" i="2"/>
  <c r="L55" i="2"/>
  <c r="K68" i="2"/>
  <c r="K66" i="2"/>
  <c r="G28" i="2"/>
  <c r="G16" i="2"/>
  <c r="G14" i="2"/>
  <c r="G9" i="2"/>
  <c r="K16" i="2"/>
  <c r="K14" i="2"/>
  <c r="G6" i="2"/>
  <c r="G7" i="2" s="1"/>
  <c r="K6" i="2"/>
  <c r="K7" i="2" s="1"/>
  <c r="K23" i="2" s="1"/>
  <c r="H16" i="2"/>
  <c r="H14" i="2"/>
  <c r="L8" i="2"/>
  <c r="L4" i="2"/>
  <c r="L3" i="2"/>
  <c r="L7" i="2" s="1"/>
  <c r="L16" i="2"/>
  <c r="L14" i="2"/>
  <c r="J7" i="2"/>
  <c r="I7" i="2"/>
  <c r="H7" i="2"/>
  <c r="H9" i="2" s="1"/>
  <c r="M7" i="1"/>
  <c r="M6" i="1"/>
  <c r="M4" i="1"/>
  <c r="I23" i="2" l="1"/>
  <c r="I9" i="2"/>
  <c r="I28" i="2" s="1"/>
  <c r="I15" i="2"/>
  <c r="I29" i="2" s="1"/>
  <c r="I32" i="2"/>
  <c r="X17" i="2"/>
  <c r="X19" i="2" s="1"/>
  <c r="F15" i="2"/>
  <c r="F17" i="2" s="1"/>
  <c r="F19" i="2" s="1"/>
  <c r="F29" i="2"/>
  <c r="J15" i="2"/>
  <c r="K9" i="2"/>
  <c r="K28" i="2" s="1"/>
  <c r="G15" i="2"/>
  <c r="H15" i="2"/>
  <c r="L9" i="2"/>
  <c r="L28" i="2" s="1"/>
  <c r="L23" i="2"/>
  <c r="I17" i="2" l="1"/>
  <c r="I19" i="2" s="1"/>
  <c r="J17" i="2"/>
  <c r="J19" i="2" s="1"/>
  <c r="J29" i="2"/>
  <c r="F30" i="2"/>
  <c r="F20" i="2"/>
  <c r="G17" i="2"/>
  <c r="G19" i="2" s="1"/>
  <c r="G20" i="2" s="1"/>
  <c r="G29" i="2"/>
  <c r="K15" i="2"/>
  <c r="K29" i="2" s="1"/>
  <c r="H17" i="2"/>
  <c r="H19" i="2" s="1"/>
  <c r="H20" i="2" s="1"/>
  <c r="L15" i="2"/>
  <c r="L29" i="2"/>
  <c r="L17" i="2"/>
  <c r="L19" i="2" s="1"/>
  <c r="L20" i="2" s="1"/>
  <c r="I20" i="2" l="1"/>
  <c r="I30" i="2"/>
  <c r="J20" i="2"/>
  <c r="J30" i="2"/>
  <c r="K17" i="2"/>
  <c r="K19" i="2" s="1"/>
  <c r="K30" i="2" s="1"/>
  <c r="K20" i="2" l="1"/>
  <c r="K55" i="2"/>
</calcChain>
</file>

<file path=xl/sharedStrings.xml><?xml version="1.0" encoding="utf-8"?>
<sst xmlns="http://schemas.openxmlformats.org/spreadsheetml/2006/main" count="86" uniqueCount="77">
  <si>
    <t>Price</t>
  </si>
  <si>
    <t>Shares</t>
  </si>
  <si>
    <t>MC</t>
  </si>
  <si>
    <t>Cash</t>
  </si>
  <si>
    <t>Debt</t>
  </si>
  <si>
    <t>EV</t>
  </si>
  <si>
    <t>Q216</t>
  </si>
  <si>
    <t>Name</t>
  </si>
  <si>
    <t>Main</t>
  </si>
  <si>
    <t>CHC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</si>
  <si>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</si>
  <si>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</si>
  <si>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</si>
  <si>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</si>
  <si>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</si>
  <si>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</si>
  <si>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</si>
  <si>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</si>
  <si>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</si>
  <si>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Q316</t>
  </si>
  <si>
    <t>Q416</t>
  </si>
  <si>
    <t>BCH</t>
  </si>
  <si>
    <t>Rx</t>
  </si>
  <si>
    <t>Revenue</t>
  </si>
  <si>
    <t>Gross Margin</t>
  </si>
  <si>
    <t>COGS</t>
  </si>
  <si>
    <t>Gross Profit</t>
  </si>
  <si>
    <t>Distribution</t>
  </si>
  <si>
    <t>R&amp;D</t>
  </si>
  <si>
    <t>Selling</t>
  </si>
  <si>
    <t>Administration</t>
  </si>
  <si>
    <t>Operating Expenses</t>
  </si>
  <si>
    <t>Operating Income</t>
  </si>
  <si>
    <t>Operating Margin</t>
  </si>
  <si>
    <t>Interest Income</t>
  </si>
  <si>
    <t>Pretax Income</t>
  </si>
  <si>
    <t>Taxes</t>
  </si>
  <si>
    <t>Net Income</t>
  </si>
  <si>
    <t>EPS</t>
  </si>
  <si>
    <t>Revenue Growth</t>
  </si>
  <si>
    <t>Tysabri+Other</t>
  </si>
  <si>
    <t>Model Net Income</t>
  </si>
  <si>
    <t>Reported Net Income</t>
  </si>
  <si>
    <t>D&amp;A</t>
  </si>
  <si>
    <t>Impairment</t>
  </si>
  <si>
    <t>SBC</t>
  </si>
  <si>
    <t>FX Derivatives</t>
  </si>
  <si>
    <t>CFFO</t>
  </si>
  <si>
    <t>Changes in A&amp;L</t>
  </si>
  <si>
    <t>ONCA</t>
  </si>
  <si>
    <t>DT</t>
  </si>
  <si>
    <t>Restructuring</t>
  </si>
  <si>
    <t>Loss on Debt</t>
  </si>
  <si>
    <t>CapEx</t>
  </si>
  <si>
    <t>FCF</t>
  </si>
  <si>
    <t>Net Margin</t>
  </si>
  <si>
    <t>Net Cash</t>
  </si>
  <si>
    <t>Assets</t>
  </si>
  <si>
    <t>A/R</t>
  </si>
  <si>
    <t>Inventories</t>
  </si>
  <si>
    <t>Prepaids</t>
  </si>
  <si>
    <t>PP&amp;E</t>
  </si>
  <si>
    <t>Goodwill</t>
  </si>
  <si>
    <t>A/P</t>
  </si>
  <si>
    <t>Payroll</t>
  </si>
  <si>
    <t>Customer Programs</t>
  </si>
  <si>
    <t>A/L</t>
  </si>
  <si>
    <t>D/T</t>
  </si>
  <si>
    <t>ONCL</t>
  </si>
  <si>
    <t>S/E</t>
  </si>
  <si>
    <t>L+S/E</t>
  </si>
  <si>
    <t>9/15/2015: Naturwohl Pharma acquisition.</t>
  </si>
  <si>
    <t>Yokebe</t>
  </si>
  <si>
    <t>8/28/2015: GSK</t>
  </si>
  <si>
    <t>Weight Loss Shake</t>
  </si>
  <si>
    <t>CHC Growth</t>
  </si>
  <si>
    <t>BHC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</si>
</sst>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85725</xdr:rowOff>
    </xdr:from>
    <xdr:to>
      <xdr:col>12</xdr:col>
      <xdr:colOff>28575</xdr:colOff>
      <xdr:row>74</xdr:row>
      <xdr:rowOff>57150</xdr:rowOff>
    </xdr:to>
    <xdr:cxnSp macro="">
      <xdr:nvCxnSpPr>
        <xdr:cNvPr id="3" name="Straight Connector 2"/>
        <xdr:cNvCxnSpPr/>
      </xdr:nvCxnSpPr>
      <xdr:spPr>
        <a:xfrm>
          <a:off x="7667625" y="85725"/>
          <a:ext cx="0" cy="10010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workbookViewId="0"/>
  </sheetViews>
  <sheetFormatPr defaultRowHeight="12.75" x14ac:dyDescent="0.2"/>
  <cols>
    <col min="1" max="1" width="4.28515625" customWidth="1"/>
  </cols>
  <sheetData>
    <row r="2" spans="2:14" x14ac:dyDescent="0.2">
      <c r="B2" s="20" t="s">
        <v>7</v>
      </c>
      <c r="C2" s="21"/>
      <c r="D2" s="21"/>
      <c r="E2" s="21"/>
      <c r="F2" s="21"/>
      <c r="G2" s="21"/>
      <c r="H2" s="21"/>
      <c r="I2" s="22"/>
      <c r="L2" t="s">
        <v>0</v>
      </c>
      <c r="M2">
        <v>87.61</v>
      </c>
    </row>
    <row r="3" spans="2:14" x14ac:dyDescent="0.2">
      <c r="B3" s="13" t="s">
        <v>72</v>
      </c>
      <c r="C3" s="14" t="s">
        <v>74</v>
      </c>
      <c r="D3" s="14"/>
      <c r="E3" s="14"/>
      <c r="F3" s="14"/>
      <c r="G3" s="14"/>
      <c r="H3" s="14"/>
      <c r="I3" s="15"/>
      <c r="L3" t="s">
        <v>1</v>
      </c>
      <c r="M3" s="1">
        <v>143.280822</v>
      </c>
      <c r="N3" s="2" t="s">
        <v>6</v>
      </c>
    </row>
    <row r="4" spans="2:14" x14ac:dyDescent="0.2">
      <c r="B4" s="13"/>
      <c r="C4" s="14"/>
      <c r="D4" s="14"/>
      <c r="E4" s="14"/>
      <c r="F4" s="14"/>
      <c r="G4" s="14"/>
      <c r="H4" s="14"/>
      <c r="I4" s="15"/>
      <c r="L4" t="s">
        <v>2</v>
      </c>
      <c r="M4" s="1">
        <f>+M3*M2</f>
        <v>12552.832815420001</v>
      </c>
    </row>
    <row r="5" spans="2:14" x14ac:dyDescent="0.2">
      <c r="B5" s="13"/>
      <c r="C5" s="14"/>
      <c r="D5" s="14"/>
      <c r="E5" s="14"/>
      <c r="F5" s="14"/>
      <c r="G5" s="14"/>
      <c r="H5" s="14"/>
      <c r="I5" s="15"/>
      <c r="L5" t="s">
        <v>3</v>
      </c>
      <c r="M5" s="1">
        <v>641.79999999999995</v>
      </c>
      <c r="N5" s="2" t="s">
        <v>6</v>
      </c>
    </row>
    <row r="6" spans="2:14" x14ac:dyDescent="0.2">
      <c r="B6" s="13"/>
      <c r="C6" s="14"/>
      <c r="D6" s="14"/>
      <c r="E6" s="14"/>
      <c r="F6" s="14"/>
      <c r="G6" s="14"/>
      <c r="H6" s="14"/>
      <c r="I6" s="15"/>
      <c r="L6" t="s">
        <v>4</v>
      </c>
      <c r="M6" s="1">
        <f>5652.5+758.1</f>
        <v>6410.6</v>
      </c>
      <c r="N6" s="2" t="s">
        <v>6</v>
      </c>
    </row>
    <row r="7" spans="2:14" x14ac:dyDescent="0.2">
      <c r="B7" s="13"/>
      <c r="C7" s="14"/>
      <c r="D7" s="14"/>
      <c r="E7" s="14"/>
      <c r="F7" s="14"/>
      <c r="G7" s="14"/>
      <c r="H7" s="14"/>
      <c r="I7" s="15"/>
      <c r="L7" t="s">
        <v>5</v>
      </c>
      <c r="M7" s="1">
        <f>+M4-M5+M6</f>
        <v>18321.632815420002</v>
      </c>
    </row>
    <row r="8" spans="2:14" x14ac:dyDescent="0.2">
      <c r="B8" s="13"/>
      <c r="C8" s="14"/>
      <c r="D8" s="14"/>
      <c r="E8" s="14"/>
      <c r="F8" s="14"/>
      <c r="G8" s="14"/>
      <c r="H8" s="14"/>
      <c r="I8" s="15"/>
    </row>
    <row r="9" spans="2:14" x14ac:dyDescent="0.2">
      <c r="B9" s="13"/>
      <c r="C9" s="14"/>
      <c r="D9" s="14"/>
      <c r="E9" s="14"/>
      <c r="F9" s="14"/>
      <c r="G9" s="14"/>
      <c r="H9" s="14"/>
      <c r="I9" s="15"/>
    </row>
    <row r="10" spans="2:14" x14ac:dyDescent="0.2">
      <c r="B10" s="13"/>
      <c r="C10" s="14"/>
      <c r="D10" s="14"/>
      <c r="E10" s="14"/>
      <c r="F10" s="14"/>
      <c r="G10" s="14"/>
      <c r="H10" s="14"/>
      <c r="I10" s="15"/>
    </row>
    <row r="11" spans="2:14" x14ac:dyDescent="0.2">
      <c r="B11" s="13"/>
      <c r="C11" s="14"/>
      <c r="D11" s="14"/>
      <c r="E11" s="14"/>
      <c r="F11" s="14"/>
      <c r="G11" s="14"/>
      <c r="H11" s="14"/>
      <c r="I11" s="15"/>
    </row>
    <row r="12" spans="2:14" x14ac:dyDescent="0.2">
      <c r="B12" s="13"/>
      <c r="C12" s="14"/>
      <c r="D12" s="14"/>
      <c r="E12" s="14"/>
      <c r="F12" s="14"/>
      <c r="G12" s="14"/>
      <c r="H12" s="14"/>
      <c r="I12" s="15"/>
    </row>
    <row r="13" spans="2:14" x14ac:dyDescent="0.2">
      <c r="B13" s="13"/>
      <c r="C13" s="14"/>
      <c r="D13" s="14"/>
      <c r="E13" s="14"/>
      <c r="F13" s="14"/>
      <c r="G13" s="14"/>
      <c r="H13" s="14"/>
      <c r="I13" s="15"/>
    </row>
    <row r="14" spans="2:14" x14ac:dyDescent="0.2">
      <c r="B14" s="13"/>
      <c r="C14" s="14"/>
      <c r="D14" s="14"/>
      <c r="E14" s="14"/>
      <c r="F14" s="14"/>
      <c r="G14" s="14"/>
      <c r="H14" s="14"/>
      <c r="I14" s="15"/>
    </row>
    <row r="15" spans="2:14" x14ac:dyDescent="0.2">
      <c r="B15" s="13"/>
      <c r="C15" s="14"/>
      <c r="D15" s="14"/>
      <c r="E15" s="14"/>
      <c r="F15" s="14"/>
      <c r="G15" s="14"/>
      <c r="H15" s="14"/>
      <c r="I15" s="15"/>
    </row>
    <row r="16" spans="2:14" x14ac:dyDescent="0.2">
      <c r="B16" s="13"/>
      <c r="C16" s="14"/>
      <c r="D16" s="14"/>
      <c r="E16" s="14"/>
      <c r="F16" s="14"/>
      <c r="G16" s="14"/>
      <c r="H16" s="14"/>
      <c r="I16" s="15"/>
    </row>
    <row r="17" spans="2:9" x14ac:dyDescent="0.2">
      <c r="B17" s="16"/>
      <c r="C17" s="17"/>
      <c r="D17" s="17"/>
      <c r="E17" s="17"/>
      <c r="F17" s="17"/>
      <c r="G17" s="17"/>
      <c r="H17" s="17"/>
      <c r="I17" s="18"/>
    </row>
    <row r="20" spans="2:9" x14ac:dyDescent="0.2">
      <c r="B20" t="s">
        <v>73</v>
      </c>
    </row>
    <row r="21" spans="2:9" x14ac:dyDescent="0.2">
      <c r="B21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8"/>
  <sheetViews>
    <sheetView tabSelected="1" workbookViewId="0">
      <pane xSplit="2" ySplit="2" topLeftCell="F34" activePane="bottomRight" state="frozen"/>
      <selection pane="topRight" activeCell="C1" sqref="C1"/>
      <selection pane="bottomLeft" activeCell="A3" sqref="A3"/>
      <selection pane="bottomRight" activeCell="L68" sqref="I68:L68"/>
    </sheetView>
  </sheetViews>
  <sheetFormatPr defaultRowHeight="12.75" x14ac:dyDescent="0.2"/>
  <cols>
    <col min="1" max="1" width="5" bestFit="1" customWidth="1"/>
    <col min="2" max="2" width="18.140625" bestFit="1" customWidth="1"/>
    <col min="3" max="9" width="9.140625" style="2"/>
    <col min="10" max="10" width="10.140625" style="2" bestFit="1" customWidth="1"/>
    <col min="11" max="14" width="9.140625" style="2"/>
    <col min="15" max="15" width="15.5703125" style="2" bestFit="1" customWidth="1"/>
    <col min="16" max="19" width="9.140625" style="2"/>
  </cols>
  <sheetData>
    <row r="1" spans="1:58" x14ac:dyDescent="0.2">
      <c r="A1" t="s">
        <v>8</v>
      </c>
      <c r="G1" s="12">
        <v>42091</v>
      </c>
      <c r="I1" s="12">
        <v>42273</v>
      </c>
      <c r="J1" s="12">
        <v>42369</v>
      </c>
      <c r="K1" s="12">
        <v>42462</v>
      </c>
      <c r="Z1" s="19">
        <v>42182</v>
      </c>
    </row>
    <row r="2" spans="1:58" x14ac:dyDescent="0.2"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6</v>
      </c>
      <c r="M2" s="2" t="s">
        <v>19</v>
      </c>
      <c r="N2" s="2" t="s">
        <v>20</v>
      </c>
      <c r="P2" s="2">
        <v>2005</v>
      </c>
      <c r="Q2" s="2">
        <f>+P2+1</f>
        <v>2006</v>
      </c>
      <c r="R2" s="2">
        <f t="shared" ref="R2:BF2" si="0">+Q2+1</f>
        <v>2007</v>
      </c>
      <c r="S2" s="2">
        <f t="shared" si="0"/>
        <v>2008</v>
      </c>
      <c r="T2" s="2">
        <f t="shared" si="0"/>
        <v>2009</v>
      </c>
      <c r="U2" s="2">
        <f t="shared" si="0"/>
        <v>2010</v>
      </c>
      <c r="V2" s="2">
        <f t="shared" si="0"/>
        <v>2011</v>
      </c>
      <c r="W2" s="2">
        <f t="shared" si="0"/>
        <v>2012</v>
      </c>
      <c r="X2" s="2">
        <f t="shared" si="0"/>
        <v>2013</v>
      </c>
      <c r="Y2" s="2">
        <f t="shared" si="0"/>
        <v>2014</v>
      </c>
      <c r="Z2" s="2">
        <f t="shared" si="0"/>
        <v>2015</v>
      </c>
      <c r="AA2" s="2">
        <f t="shared" si="0"/>
        <v>2016</v>
      </c>
      <c r="AB2" s="2">
        <f t="shared" si="0"/>
        <v>2017</v>
      </c>
      <c r="AC2" s="2">
        <f t="shared" si="0"/>
        <v>2018</v>
      </c>
      <c r="AD2" s="2">
        <f t="shared" si="0"/>
        <v>2019</v>
      </c>
      <c r="AE2" s="2">
        <f t="shared" si="0"/>
        <v>2020</v>
      </c>
      <c r="AF2" s="2">
        <f t="shared" si="0"/>
        <v>2021</v>
      </c>
      <c r="AG2" s="2">
        <f t="shared" si="0"/>
        <v>2022</v>
      </c>
      <c r="AH2" s="2">
        <f t="shared" si="0"/>
        <v>2023</v>
      </c>
      <c r="AI2" s="2">
        <f t="shared" si="0"/>
        <v>2024</v>
      </c>
      <c r="AJ2" s="2">
        <f t="shared" si="0"/>
        <v>2025</v>
      </c>
      <c r="AK2" s="2">
        <f t="shared" si="0"/>
        <v>2026</v>
      </c>
      <c r="AL2" s="2">
        <f t="shared" si="0"/>
        <v>2027</v>
      </c>
      <c r="AM2" s="2">
        <f t="shared" si="0"/>
        <v>2028</v>
      </c>
      <c r="AN2" s="2">
        <f t="shared" si="0"/>
        <v>2029</v>
      </c>
      <c r="AO2" s="2">
        <f t="shared" si="0"/>
        <v>2030</v>
      </c>
      <c r="AP2" s="2">
        <f t="shared" si="0"/>
        <v>2031</v>
      </c>
      <c r="AQ2" s="2">
        <f t="shared" si="0"/>
        <v>2032</v>
      </c>
      <c r="AR2" s="2">
        <f t="shared" si="0"/>
        <v>2033</v>
      </c>
      <c r="AS2" s="2">
        <f t="shared" si="0"/>
        <v>2034</v>
      </c>
      <c r="AT2" s="2">
        <f t="shared" si="0"/>
        <v>2035</v>
      </c>
      <c r="AU2" s="2">
        <f t="shared" si="0"/>
        <v>2036</v>
      </c>
      <c r="AV2" s="2">
        <f t="shared" si="0"/>
        <v>2037</v>
      </c>
      <c r="AW2" s="2">
        <f t="shared" si="0"/>
        <v>2038</v>
      </c>
      <c r="AX2" s="2">
        <f t="shared" si="0"/>
        <v>2039</v>
      </c>
      <c r="AY2" s="2">
        <f t="shared" si="0"/>
        <v>2040</v>
      </c>
      <c r="AZ2" s="2">
        <f t="shared" si="0"/>
        <v>2041</v>
      </c>
      <c r="BA2" s="2">
        <f t="shared" si="0"/>
        <v>2042</v>
      </c>
      <c r="BB2" s="2">
        <f t="shared" si="0"/>
        <v>2043</v>
      </c>
      <c r="BC2" s="2">
        <f t="shared" si="0"/>
        <v>2044</v>
      </c>
      <c r="BD2" s="2">
        <f t="shared" si="0"/>
        <v>2045</v>
      </c>
      <c r="BE2" s="2">
        <f t="shared" si="0"/>
        <v>2046</v>
      </c>
      <c r="BF2" s="2">
        <f t="shared" si="0"/>
        <v>2047</v>
      </c>
    </row>
    <row r="3" spans="1:58" s="1" customFormat="1" x14ac:dyDescent="0.2">
      <c r="B3" s="1" t="s">
        <v>9</v>
      </c>
      <c r="C3" s="3"/>
      <c r="D3" s="3"/>
      <c r="E3" s="3">
        <v>640.29999999999995</v>
      </c>
      <c r="F3" s="3">
        <v>678.5</v>
      </c>
      <c r="G3" s="3">
        <v>684.9</v>
      </c>
      <c r="H3" s="3">
        <v>746.4</v>
      </c>
      <c r="I3" s="3">
        <v>675.2</v>
      </c>
      <c r="J3" s="3">
        <v>709.5</v>
      </c>
      <c r="K3" s="3">
        <f>700.3-47.4</f>
        <v>652.9</v>
      </c>
      <c r="L3" s="3">
        <f>686.3</f>
        <v>686.3</v>
      </c>
      <c r="M3" s="3"/>
      <c r="N3" s="3"/>
      <c r="O3" s="3"/>
      <c r="P3" s="3"/>
      <c r="Q3" s="3"/>
      <c r="R3" s="3"/>
      <c r="S3" s="3"/>
    </row>
    <row r="4" spans="1:58" s="1" customFormat="1" x14ac:dyDescent="0.2">
      <c r="B4" s="1" t="s">
        <v>21</v>
      </c>
      <c r="C4" s="3"/>
      <c r="D4" s="3"/>
      <c r="E4" s="3"/>
      <c r="F4" s="3"/>
      <c r="G4" s="3"/>
      <c r="H4" s="3">
        <v>401.2</v>
      </c>
      <c r="I4" s="3">
        <v>302.2</v>
      </c>
      <c r="J4" s="3">
        <v>325.7</v>
      </c>
      <c r="K4" s="3">
        <v>317.60000000000002</v>
      </c>
      <c r="L4" s="3">
        <f>393.7</f>
        <v>393.7</v>
      </c>
      <c r="M4" s="3"/>
      <c r="N4" s="3"/>
      <c r="O4" s="3"/>
      <c r="P4" s="3"/>
      <c r="Q4" s="3"/>
      <c r="R4" s="3"/>
      <c r="S4" s="3"/>
    </row>
    <row r="5" spans="1:58" s="1" customFormat="1" x14ac:dyDescent="0.2">
      <c r="B5" s="1" t="s">
        <v>22</v>
      </c>
      <c r="C5" s="3"/>
      <c r="D5" s="3"/>
      <c r="E5" s="3">
        <v>194.5</v>
      </c>
      <c r="F5" s="3">
        <v>276.60000000000002</v>
      </c>
      <c r="G5" s="3">
        <v>251.6</v>
      </c>
      <c r="H5" s="3">
        <v>278.3</v>
      </c>
      <c r="I5" s="3">
        <v>260.3</v>
      </c>
      <c r="J5" s="3">
        <v>283.2</v>
      </c>
      <c r="K5" s="3">
        <v>256.7</v>
      </c>
      <c r="L5" s="3">
        <v>293.3</v>
      </c>
      <c r="M5" s="3"/>
      <c r="N5" s="3"/>
      <c r="O5" s="3"/>
      <c r="P5" s="3"/>
      <c r="Q5" s="3"/>
      <c r="R5" s="3"/>
      <c r="S5" s="3"/>
    </row>
    <row r="6" spans="1:58" s="1" customFormat="1" x14ac:dyDescent="0.2">
      <c r="B6" s="1" t="s">
        <v>40</v>
      </c>
      <c r="C6" s="3"/>
      <c r="D6" s="3"/>
      <c r="E6" s="3">
        <f>91.9+24.8</f>
        <v>116.7</v>
      </c>
      <c r="F6" s="3">
        <f>86.6+30</f>
        <v>116.6</v>
      </c>
      <c r="G6" s="3">
        <f>81.9+30.7</f>
        <v>112.60000000000001</v>
      </c>
      <c r="H6" s="3">
        <v>83.6</v>
      </c>
      <c r="I6" s="3">
        <f>84.5+22.5</f>
        <v>107</v>
      </c>
      <c r="J6" s="3">
        <f>83.9+22.5</f>
        <v>106.4</v>
      </c>
      <c r="K6" s="3">
        <f>88+20.6</f>
        <v>108.6</v>
      </c>
      <c r="L6" s="3">
        <v>89.9</v>
      </c>
      <c r="M6" s="3"/>
      <c r="N6" s="3"/>
      <c r="O6" s="3"/>
      <c r="P6" s="3"/>
      <c r="Q6" s="3"/>
      <c r="R6" s="3"/>
      <c r="S6" s="3"/>
    </row>
    <row r="7" spans="1:58" s="4" customFormat="1" x14ac:dyDescent="0.2">
      <c r="B7" s="4" t="s">
        <v>23</v>
      </c>
      <c r="C7" s="5"/>
      <c r="D7" s="5"/>
      <c r="E7" s="5">
        <f t="shared" ref="E7" si="1">SUM(E3:E6)</f>
        <v>951.5</v>
      </c>
      <c r="F7" s="5">
        <f t="shared" ref="F7" si="2">SUM(F3:F6)</f>
        <v>1071.7</v>
      </c>
      <c r="G7" s="5">
        <f>SUM(G3:G6)</f>
        <v>1049.0999999999999</v>
      </c>
      <c r="H7" s="5">
        <f>SUM(H3:H6)</f>
        <v>1509.4999999999998</v>
      </c>
      <c r="I7" s="5">
        <f t="shared" ref="I7:K7" si="3">SUM(I3:I6)</f>
        <v>1344.7</v>
      </c>
      <c r="J7" s="5">
        <f t="shared" si="3"/>
        <v>1424.8000000000002</v>
      </c>
      <c r="K7" s="5">
        <f t="shared" si="3"/>
        <v>1335.8</v>
      </c>
      <c r="L7" s="5">
        <f>SUM(L3:L6)</f>
        <v>1463.2</v>
      </c>
      <c r="M7" s="5"/>
      <c r="N7" s="5"/>
      <c r="O7" s="5"/>
      <c r="P7" s="5"/>
      <c r="Q7" s="5"/>
      <c r="R7" s="5"/>
      <c r="S7" s="5"/>
      <c r="X7" s="4">
        <v>3539.8</v>
      </c>
      <c r="Y7" s="4">
        <v>4060.8</v>
      </c>
      <c r="Z7" s="4">
        <v>4603.8999999999996</v>
      </c>
    </row>
    <row r="8" spans="1:58" s="1" customFormat="1" x14ac:dyDescent="0.2">
      <c r="B8" s="1" t="s">
        <v>25</v>
      </c>
      <c r="C8" s="3"/>
      <c r="D8" s="3"/>
      <c r="E8" s="3"/>
      <c r="F8" s="3">
        <v>587.1</v>
      </c>
      <c r="G8" s="3">
        <v>670.3</v>
      </c>
      <c r="H8" s="3">
        <v>903.5</v>
      </c>
      <c r="I8" s="3">
        <v>795.9</v>
      </c>
      <c r="J8" s="3">
        <v>754.2</v>
      </c>
      <c r="K8" s="3">
        <f>860.3-164.9</f>
        <v>695.4</v>
      </c>
      <c r="L8" s="3">
        <f>913.8-128.9-6</f>
        <v>778.9</v>
      </c>
      <c r="M8" s="3"/>
      <c r="N8" s="3"/>
      <c r="O8" s="3"/>
      <c r="P8" s="3"/>
      <c r="Q8" s="3"/>
      <c r="R8" s="3"/>
      <c r="S8" s="3"/>
      <c r="X8" s="1">
        <v>2259.8000000000002</v>
      </c>
      <c r="Y8" s="1">
        <v>2613.1</v>
      </c>
      <c r="Z8" s="1">
        <v>2891.4</v>
      </c>
    </row>
    <row r="9" spans="1:58" s="1" customFormat="1" x14ac:dyDescent="0.2">
      <c r="B9" s="1" t="s">
        <v>26</v>
      </c>
      <c r="C9" s="3"/>
      <c r="D9" s="3"/>
      <c r="E9" s="3"/>
      <c r="F9" s="3">
        <f t="shared" ref="F9:G9" si="4">+F7-F8</f>
        <v>484.6</v>
      </c>
      <c r="G9" s="3">
        <f t="shared" si="4"/>
        <v>378.79999999999995</v>
      </c>
      <c r="H9" s="3">
        <f>+H7-H8</f>
        <v>605.99999999999977</v>
      </c>
      <c r="I9" s="3">
        <f t="shared" ref="I9" si="5">+I7-I8</f>
        <v>548.80000000000007</v>
      </c>
      <c r="J9" s="3">
        <f t="shared" ref="J9" si="6">+J7-J8</f>
        <v>670.60000000000014</v>
      </c>
      <c r="K9" s="3">
        <f>+K7-K8</f>
        <v>640.4</v>
      </c>
      <c r="L9" s="3">
        <f>+L7-L8</f>
        <v>684.30000000000007</v>
      </c>
      <c r="M9" s="3"/>
      <c r="N9" s="3"/>
      <c r="O9" s="3"/>
      <c r="P9" s="3"/>
      <c r="Q9" s="3"/>
      <c r="R9" s="3"/>
      <c r="S9" s="3"/>
      <c r="X9" s="1">
        <f>+X7-X8</f>
        <v>1280</v>
      </c>
      <c r="Y9" s="1">
        <f t="shared" ref="Y9:Z9" si="7">+Y7-Y8</f>
        <v>1447.7000000000003</v>
      </c>
      <c r="Z9" s="1">
        <f t="shared" si="7"/>
        <v>1712.4999999999995</v>
      </c>
    </row>
    <row r="10" spans="1:58" s="1" customFormat="1" x14ac:dyDescent="0.2">
      <c r="B10" s="1" t="s">
        <v>27</v>
      </c>
      <c r="C10" s="3"/>
      <c r="D10" s="3"/>
      <c r="E10" s="3"/>
      <c r="F10" s="3">
        <v>14.8</v>
      </c>
      <c r="G10" s="3">
        <v>14.7</v>
      </c>
      <c r="H10" s="3">
        <v>23.7</v>
      </c>
      <c r="I10" s="3">
        <v>24.9</v>
      </c>
      <c r="J10" s="3">
        <v>23</v>
      </c>
      <c r="K10" s="3">
        <v>21.2</v>
      </c>
      <c r="L10" s="3">
        <v>22.5</v>
      </c>
      <c r="M10" s="3"/>
      <c r="N10" s="3"/>
      <c r="O10" s="3"/>
      <c r="P10" s="3"/>
      <c r="Q10" s="3"/>
      <c r="R10" s="3"/>
      <c r="S10" s="3"/>
      <c r="X10" s="1">
        <v>47.5</v>
      </c>
      <c r="Y10" s="1">
        <v>55.3</v>
      </c>
      <c r="Z10" s="1">
        <v>67.7</v>
      </c>
    </row>
    <row r="11" spans="1:58" s="1" customFormat="1" x14ac:dyDescent="0.2">
      <c r="B11" s="1" t="s">
        <v>28</v>
      </c>
      <c r="C11" s="3"/>
      <c r="D11" s="3"/>
      <c r="E11" s="3"/>
      <c r="F11" s="3">
        <v>43.2</v>
      </c>
      <c r="G11" s="3">
        <v>35.4</v>
      </c>
      <c r="H11" s="3">
        <v>62.6</v>
      </c>
      <c r="I11" s="3">
        <v>41.6</v>
      </c>
      <c r="J11" s="3">
        <v>46.4</v>
      </c>
      <c r="K11" s="3">
        <v>44.5</v>
      </c>
      <c r="L11" s="3">
        <v>47</v>
      </c>
      <c r="M11" s="3"/>
      <c r="N11" s="3"/>
      <c r="O11" s="3"/>
      <c r="P11" s="3"/>
      <c r="Q11" s="3"/>
      <c r="R11" s="3"/>
      <c r="S11" s="3"/>
      <c r="X11" s="1">
        <v>115.2</v>
      </c>
      <c r="Y11" s="1">
        <v>152.5</v>
      </c>
      <c r="Z11" s="1">
        <v>187.8</v>
      </c>
    </row>
    <row r="12" spans="1:58" s="1" customFormat="1" x14ac:dyDescent="0.2">
      <c r="B12" s="1" t="s">
        <v>29</v>
      </c>
      <c r="C12" s="3"/>
      <c r="D12" s="3"/>
      <c r="E12" s="3"/>
      <c r="F12" s="3">
        <v>39.4</v>
      </c>
      <c r="G12" s="3">
        <v>48.8</v>
      </c>
      <c r="H12" s="3">
        <v>174.9</v>
      </c>
      <c r="I12" s="3">
        <v>167.9</v>
      </c>
      <c r="J12" s="3">
        <v>142.4</v>
      </c>
      <c r="K12" s="3">
        <v>145.30000000000001</v>
      </c>
      <c r="L12" s="3">
        <v>171.6</v>
      </c>
      <c r="M12" s="3"/>
      <c r="N12" s="3"/>
      <c r="O12" s="3"/>
      <c r="P12" s="3"/>
      <c r="Q12" s="3"/>
      <c r="R12" s="3"/>
      <c r="S12" s="3"/>
      <c r="X12" s="1">
        <v>186.1</v>
      </c>
      <c r="Y12" s="1">
        <v>208.6</v>
      </c>
      <c r="Z12" s="1">
        <v>319</v>
      </c>
    </row>
    <row r="13" spans="1:58" s="1" customFormat="1" x14ac:dyDescent="0.2">
      <c r="B13" s="1" t="s">
        <v>30</v>
      </c>
      <c r="C13" s="3"/>
      <c r="D13" s="3"/>
      <c r="E13" s="3"/>
      <c r="F13" s="3">
        <v>70.5</v>
      </c>
      <c r="G13" s="3">
        <v>79.599999999999994</v>
      </c>
      <c r="H13" s="3">
        <v>140.1</v>
      </c>
      <c r="I13" s="3">
        <v>123.6</v>
      </c>
      <c r="J13" s="3">
        <v>106.4</v>
      </c>
      <c r="K13" s="3">
        <v>94.4</v>
      </c>
      <c r="L13" s="3">
        <v>101.8</v>
      </c>
      <c r="M13" s="3"/>
      <c r="N13" s="3"/>
      <c r="O13" s="3"/>
      <c r="P13" s="3"/>
      <c r="Q13" s="3"/>
      <c r="R13" s="3"/>
      <c r="S13" s="3"/>
      <c r="X13" s="1">
        <v>240.2</v>
      </c>
      <c r="Y13" s="1">
        <v>411.3</v>
      </c>
      <c r="Z13" s="1">
        <v>385.2</v>
      </c>
    </row>
    <row r="14" spans="1:58" s="1" customFormat="1" x14ac:dyDescent="0.2">
      <c r="B14" s="1" t="s">
        <v>31</v>
      </c>
      <c r="C14" s="3"/>
      <c r="D14" s="3"/>
      <c r="E14" s="3"/>
      <c r="F14" s="3">
        <f t="shared" ref="F14:G14" si="8">SUM(F10:F13)</f>
        <v>167.9</v>
      </c>
      <c r="G14" s="3">
        <f t="shared" si="8"/>
        <v>178.5</v>
      </c>
      <c r="H14" s="3">
        <f>SUM(H10:H13)</f>
        <v>401.29999999999995</v>
      </c>
      <c r="I14" s="3">
        <f t="shared" ref="I14" si="9">SUM(I10:I13)</f>
        <v>358</v>
      </c>
      <c r="J14" s="3">
        <f t="shared" ref="J14" si="10">SUM(J10:J13)</f>
        <v>318.20000000000005</v>
      </c>
      <c r="K14" s="3">
        <f t="shared" ref="K14" si="11">SUM(K10:K13)</f>
        <v>305.39999999999998</v>
      </c>
      <c r="L14" s="3">
        <f>SUM(L10:L13)</f>
        <v>342.9</v>
      </c>
      <c r="M14" s="3"/>
      <c r="N14" s="3"/>
      <c r="O14" s="3"/>
      <c r="P14" s="3"/>
      <c r="Q14" s="3"/>
      <c r="R14" s="3"/>
      <c r="S14" s="3"/>
      <c r="X14" s="3">
        <f t="shared" ref="X14:Y14" si="12">SUM(X10:X13)</f>
        <v>589</v>
      </c>
      <c r="Y14" s="3">
        <f t="shared" si="12"/>
        <v>827.7</v>
      </c>
      <c r="Z14" s="3">
        <f>SUM(Z10:Z13)</f>
        <v>959.7</v>
      </c>
    </row>
    <row r="15" spans="1:58" s="1" customFormat="1" x14ac:dyDescent="0.2">
      <c r="B15" s="1" t="s">
        <v>32</v>
      </c>
      <c r="C15" s="3"/>
      <c r="D15" s="3"/>
      <c r="E15" s="3"/>
      <c r="F15" s="3">
        <f t="shared" ref="F15:G15" si="13">F9-F14</f>
        <v>316.70000000000005</v>
      </c>
      <c r="G15" s="3">
        <f t="shared" si="13"/>
        <v>200.29999999999995</v>
      </c>
      <c r="H15" s="3">
        <f>H9-H14</f>
        <v>204.69999999999982</v>
      </c>
      <c r="I15" s="3">
        <f t="shared" ref="I15" si="14">I9-I14</f>
        <v>190.80000000000007</v>
      </c>
      <c r="J15" s="3">
        <f t="shared" ref="J15" si="15">J9-J14</f>
        <v>352.40000000000009</v>
      </c>
      <c r="K15" s="3">
        <f t="shared" ref="K15" si="16">K9-K14</f>
        <v>335</v>
      </c>
      <c r="L15" s="3">
        <f>L9-L14</f>
        <v>341.40000000000009</v>
      </c>
      <c r="M15" s="3"/>
      <c r="N15" s="3"/>
      <c r="O15" s="3"/>
      <c r="P15" s="3"/>
      <c r="Q15" s="3"/>
      <c r="R15" s="3"/>
      <c r="S15" s="3"/>
      <c r="X15" s="3">
        <f t="shared" ref="X15:Y15" si="17">X9-X14</f>
        <v>691</v>
      </c>
      <c r="Y15" s="3">
        <f t="shared" si="17"/>
        <v>620.00000000000023</v>
      </c>
      <c r="Z15" s="3">
        <f>Z9-Z14</f>
        <v>752.7999999999995</v>
      </c>
    </row>
    <row r="16" spans="1:58" s="1" customFormat="1" x14ac:dyDescent="0.2">
      <c r="B16" s="1" t="s">
        <v>34</v>
      </c>
      <c r="C16" s="3"/>
      <c r="D16" s="3"/>
      <c r="E16" s="3"/>
      <c r="F16" s="3">
        <f>-25.8-2.9</f>
        <v>-28.7</v>
      </c>
      <c r="G16" s="3">
        <f>-43.3-258.6</f>
        <v>-301.90000000000003</v>
      </c>
      <c r="H16" s="3">
        <f>-45.9-22.7</f>
        <v>-68.599999999999994</v>
      </c>
      <c r="I16" s="3">
        <f>-43.4-13</f>
        <v>-56.4</v>
      </c>
      <c r="J16" s="3">
        <f>-46.5-0.4</f>
        <v>-46.9</v>
      </c>
      <c r="K16" s="3">
        <f>-51.2-3.8</f>
        <v>-55</v>
      </c>
      <c r="L16" s="3">
        <f>-57.4-29.3</f>
        <v>-86.7</v>
      </c>
      <c r="M16" s="3"/>
      <c r="N16" s="3"/>
      <c r="O16" s="3"/>
      <c r="P16" s="3"/>
      <c r="Q16" s="3"/>
      <c r="R16" s="3"/>
      <c r="S16" s="3"/>
      <c r="X16" s="1">
        <f>-65.8-5.6</f>
        <v>-71.399999999999991</v>
      </c>
      <c r="Y16" s="1">
        <f>-103.5-25.1</f>
        <v>-128.6</v>
      </c>
      <c r="Z16" s="1">
        <f>-146-343.2</f>
        <v>-489.2</v>
      </c>
    </row>
    <row r="17" spans="2:26" s="1" customFormat="1" x14ac:dyDescent="0.2">
      <c r="B17" s="1" t="s">
        <v>35</v>
      </c>
      <c r="C17" s="3"/>
      <c r="D17" s="3"/>
      <c r="E17" s="3"/>
      <c r="F17" s="3">
        <f t="shared" ref="F17:G17" si="18">+F16+F15</f>
        <v>288.00000000000006</v>
      </c>
      <c r="G17" s="3">
        <f t="shared" si="18"/>
        <v>-101.60000000000008</v>
      </c>
      <c r="H17" s="3">
        <f>+H16+H15</f>
        <v>136.09999999999982</v>
      </c>
      <c r="I17" s="3">
        <f t="shared" ref="I17" si="19">+I16+I15</f>
        <v>134.40000000000006</v>
      </c>
      <c r="J17" s="3">
        <f t="shared" ref="J17" si="20">+J16+J15</f>
        <v>305.50000000000011</v>
      </c>
      <c r="K17" s="3">
        <f t="shared" ref="K17" si="21">+K16+K15</f>
        <v>280</v>
      </c>
      <c r="L17" s="3">
        <f>+L16+L15</f>
        <v>254.7000000000001</v>
      </c>
      <c r="M17" s="3"/>
      <c r="N17" s="3"/>
      <c r="O17" s="3"/>
      <c r="P17" s="3"/>
      <c r="Q17" s="3"/>
      <c r="R17" s="3"/>
      <c r="S17" s="3"/>
      <c r="X17" s="3">
        <f t="shared" ref="X17" si="22">+X16+X15</f>
        <v>619.6</v>
      </c>
      <c r="Y17" s="3">
        <f>+Y16+Y15</f>
        <v>491.4000000000002</v>
      </c>
      <c r="Z17" s="3">
        <f>+Z16+Z15</f>
        <v>263.59999999999951</v>
      </c>
    </row>
    <row r="18" spans="2:26" s="1" customFormat="1" x14ac:dyDescent="0.2">
      <c r="B18" s="1" t="s">
        <v>36</v>
      </c>
      <c r="C18" s="3"/>
      <c r="D18" s="3"/>
      <c r="E18" s="3"/>
      <c r="F18" s="3">
        <v>43.1</v>
      </c>
      <c r="G18" s="3">
        <v>-4.8</v>
      </c>
      <c r="H18" s="3">
        <v>101</v>
      </c>
      <c r="I18" s="3">
        <v>19.600000000000001</v>
      </c>
      <c r="J18" s="3">
        <v>44</v>
      </c>
      <c r="K18" s="3">
        <v>31.5</v>
      </c>
      <c r="L18" s="3">
        <v>-42.7</v>
      </c>
      <c r="M18" s="3"/>
      <c r="N18" s="3"/>
      <c r="O18" s="3"/>
      <c r="P18" s="3"/>
      <c r="Q18" s="3"/>
      <c r="R18" s="3"/>
      <c r="S18" s="3"/>
      <c r="X18" s="1">
        <v>165.8</v>
      </c>
      <c r="Y18" s="1">
        <v>67.3</v>
      </c>
      <c r="Z18" s="1">
        <v>120</v>
      </c>
    </row>
    <row r="19" spans="2:26" s="1" customFormat="1" x14ac:dyDescent="0.2">
      <c r="B19" s="1" t="s">
        <v>37</v>
      </c>
      <c r="C19" s="3"/>
      <c r="D19" s="3"/>
      <c r="E19" s="3"/>
      <c r="F19" s="3">
        <f t="shared" ref="F19:G19" si="23">+F17-F18</f>
        <v>244.90000000000006</v>
      </c>
      <c r="G19" s="3">
        <f t="shared" si="23"/>
        <v>-96.800000000000082</v>
      </c>
      <c r="H19" s="3">
        <f>+H17-H18</f>
        <v>35.099999999999824</v>
      </c>
      <c r="I19" s="3">
        <f t="shared" ref="I19" si="24">+I17-I18</f>
        <v>114.80000000000007</v>
      </c>
      <c r="J19" s="3">
        <f t="shared" ref="J19" si="25">+J17-J18</f>
        <v>261.50000000000011</v>
      </c>
      <c r="K19" s="3">
        <f t="shared" ref="K19" si="26">+K17-K18</f>
        <v>248.5</v>
      </c>
      <c r="L19" s="3">
        <f>+L17-L18</f>
        <v>297.40000000000009</v>
      </c>
      <c r="M19" s="3"/>
      <c r="N19" s="3"/>
      <c r="O19" s="3"/>
      <c r="P19" s="3"/>
      <c r="Q19" s="3"/>
      <c r="R19" s="3"/>
      <c r="S19" s="3"/>
      <c r="X19" s="1">
        <f t="shared" ref="X19:Y19" si="27">+X17-X18</f>
        <v>453.8</v>
      </c>
      <c r="Y19" s="1">
        <f t="shared" si="27"/>
        <v>424.10000000000019</v>
      </c>
      <c r="Z19" s="1">
        <f>+Z17-Z18</f>
        <v>143.59999999999951</v>
      </c>
    </row>
    <row r="20" spans="2:26" s="8" customFormat="1" x14ac:dyDescent="0.2">
      <c r="B20" s="8" t="s">
        <v>38</v>
      </c>
      <c r="C20" s="6"/>
      <c r="D20" s="6"/>
      <c r="E20" s="6"/>
      <c r="F20" s="6">
        <f t="shared" ref="F20:G20" si="28">+F19/F21</f>
        <v>1.8208178438661715</v>
      </c>
      <c r="G20" s="6">
        <f t="shared" si="28"/>
        <v>-0.68750000000000056</v>
      </c>
      <c r="H20" s="6">
        <f>+H19/H21</f>
        <v>0.23910081743869088</v>
      </c>
      <c r="I20" s="6">
        <f t="shared" ref="I20" si="29">+I19/I21</f>
        <v>0.78148400272294116</v>
      </c>
      <c r="J20" s="6">
        <f t="shared" ref="J20" si="30">+J19/J21</f>
        <v>1.7984869325997257</v>
      </c>
      <c r="K20" s="6">
        <f t="shared" ref="K20" si="31">+K19/K21</f>
        <v>1.7305013927576602</v>
      </c>
      <c r="L20" s="6">
        <f>+L19/L21</f>
        <v>2.0710306406685244</v>
      </c>
      <c r="M20" s="6"/>
      <c r="N20" s="6"/>
      <c r="O20" s="6"/>
      <c r="P20" s="6"/>
      <c r="Q20" s="6"/>
      <c r="R20" s="6"/>
      <c r="S20" s="6"/>
    </row>
    <row r="21" spans="2:26" x14ac:dyDescent="0.2">
      <c r="B21" s="1" t="s">
        <v>1</v>
      </c>
      <c r="F21" s="3">
        <v>134.5</v>
      </c>
      <c r="G21" s="3">
        <v>140.80000000000001</v>
      </c>
      <c r="H21" s="3">
        <v>146.80000000000001</v>
      </c>
      <c r="I21" s="3">
        <v>146.9</v>
      </c>
      <c r="J21" s="3">
        <v>145.4</v>
      </c>
      <c r="K21" s="3">
        <v>143.6</v>
      </c>
      <c r="L21" s="3">
        <v>143.6</v>
      </c>
    </row>
    <row r="23" spans="2:26" s="9" customFormat="1" x14ac:dyDescent="0.2">
      <c r="B23" s="9" t="s">
        <v>39</v>
      </c>
      <c r="C23" s="10"/>
      <c r="D23" s="10"/>
      <c r="E23" s="10"/>
      <c r="F23" s="10"/>
      <c r="G23" s="10"/>
      <c r="H23" s="10"/>
      <c r="I23" s="11">
        <f t="shared" ref="I23" si="32">I7/E7-1</f>
        <v>0.41324224908039953</v>
      </c>
      <c r="J23" s="11">
        <f t="shared" ref="J23" si="33">J7/F7-1</f>
        <v>0.32947653261173837</v>
      </c>
      <c r="K23" s="11">
        <f t="shared" ref="K23" si="34">K7/G7-1</f>
        <v>0.27328186064245541</v>
      </c>
      <c r="L23" s="11">
        <f>L7/H7-1</f>
        <v>-3.0672408082146219E-2</v>
      </c>
      <c r="M23" s="10"/>
      <c r="N23" s="10"/>
      <c r="O23" s="10"/>
      <c r="P23" s="10"/>
      <c r="Q23" s="10"/>
      <c r="R23" s="10"/>
      <c r="S23" s="10"/>
    </row>
    <row r="24" spans="2:26" s="9" customFormat="1" x14ac:dyDescent="0.2">
      <c r="B24" s="9" t="s">
        <v>75</v>
      </c>
      <c r="C24" s="10"/>
      <c r="D24" s="10"/>
      <c r="E24" s="10"/>
      <c r="F24" s="10"/>
      <c r="G24" s="10"/>
      <c r="H24" s="10"/>
      <c r="I24" s="11">
        <f>I3/E3-1</f>
        <v>5.4505700452912809E-2</v>
      </c>
      <c r="J24" s="11">
        <f t="shared" ref="J24:L24" si="35">J3/F3-1</f>
        <v>4.5689019896831162E-2</v>
      </c>
      <c r="K24" s="11">
        <f t="shared" si="35"/>
        <v>-4.6722149218864084E-2</v>
      </c>
      <c r="L24" s="11">
        <f t="shared" si="35"/>
        <v>-8.0519828510182245E-2</v>
      </c>
      <c r="M24" s="10"/>
      <c r="N24" s="10"/>
      <c r="O24" s="10"/>
      <c r="P24" s="10"/>
      <c r="Q24" s="10"/>
      <c r="R24" s="10"/>
      <c r="S24" s="10"/>
    </row>
    <row r="25" spans="2:26" s="9" customFormat="1" x14ac:dyDescent="0.2">
      <c r="B25" s="9" t="s">
        <v>76</v>
      </c>
      <c r="C25" s="10"/>
      <c r="D25" s="10"/>
      <c r="E25" s="10"/>
      <c r="F25" s="10"/>
      <c r="G25" s="10"/>
      <c r="H25" s="10"/>
      <c r="I25" s="11"/>
      <c r="J25" s="11"/>
      <c r="K25" s="11"/>
      <c r="L25" s="11">
        <f>L4/H4-1</f>
        <v>-1.8693918245264229E-2</v>
      </c>
      <c r="M25" s="10"/>
      <c r="N25" s="10"/>
      <c r="O25" s="10"/>
      <c r="P25" s="10"/>
      <c r="Q25" s="10"/>
      <c r="R25" s="10"/>
      <c r="S25" s="10"/>
    </row>
    <row r="26" spans="2:26" s="9" customFormat="1" x14ac:dyDescent="0.2"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0"/>
      <c r="N26" s="10"/>
      <c r="O26" s="10"/>
      <c r="P26" s="10"/>
      <c r="Q26" s="10"/>
      <c r="R26" s="10"/>
      <c r="S26" s="10"/>
    </row>
    <row r="28" spans="2:26" x14ac:dyDescent="0.2">
      <c r="B28" t="s">
        <v>24</v>
      </c>
      <c r="F28" s="7">
        <f t="shared" ref="F28:G28" si="36">F9/F7</f>
        <v>0.45217878137538492</v>
      </c>
      <c r="G28" s="7">
        <f t="shared" ref="G28:I28" si="37">G9/G7</f>
        <v>0.36107139452864356</v>
      </c>
      <c r="H28" s="7">
        <f t="shared" si="37"/>
        <v>0.40145743623716451</v>
      </c>
      <c r="I28" s="7">
        <f t="shared" si="37"/>
        <v>0.40812077043206668</v>
      </c>
      <c r="J28" s="7">
        <f t="shared" ref="J28:K28" si="38">J9/J7</f>
        <v>0.47066254912970246</v>
      </c>
      <c r="K28" s="7">
        <f t="shared" ref="K28:L28" si="39">K9/K7</f>
        <v>0.47941308579128611</v>
      </c>
      <c r="L28" s="7">
        <f>L9/L7</f>
        <v>0.46767359212684528</v>
      </c>
    </row>
    <row r="29" spans="2:26" x14ac:dyDescent="0.2">
      <c r="B29" t="s">
        <v>33</v>
      </c>
      <c r="F29" s="7">
        <f t="shared" ref="F29:G29" si="40">+F15/F7</f>
        <v>0.29551180367640201</v>
      </c>
      <c r="G29" s="7">
        <f t="shared" ref="G29:I29" si="41">+G15/G7</f>
        <v>0.19092555523782287</v>
      </c>
      <c r="H29" s="7">
        <f t="shared" si="41"/>
        <v>0.13560781715799924</v>
      </c>
      <c r="I29" s="7">
        <f t="shared" si="41"/>
        <v>0.14189038447237307</v>
      </c>
      <c r="J29" s="7">
        <f t="shared" ref="J29:K29" si="42">+J15/J7</f>
        <v>0.24733295901179117</v>
      </c>
      <c r="K29" s="7">
        <f>+K15/K7</f>
        <v>0.25078604581524183</v>
      </c>
      <c r="L29" s="7">
        <f>+L15/L7</f>
        <v>0.23332422088572996</v>
      </c>
    </row>
    <row r="30" spans="2:26" x14ac:dyDescent="0.2">
      <c r="B30" t="s">
        <v>55</v>
      </c>
      <c r="F30" s="7">
        <f t="shared" ref="F30:G30" si="43">F19/F7</f>
        <v>0.22851544275450225</v>
      </c>
      <c r="G30" s="7">
        <f>G19/G7</f>
        <v>-9.2269564388523587E-2</v>
      </c>
      <c r="H30" s="7">
        <f t="shared" ref="H30:J30" si="44">H19/H7</f>
        <v>2.3252732692944571E-2</v>
      </c>
      <c r="I30" s="7">
        <f t="shared" si="44"/>
        <v>8.5372201978136442E-2</v>
      </c>
      <c r="J30" s="7">
        <f>J19/J7</f>
        <v>0.18353453116226845</v>
      </c>
      <c r="K30" s="7">
        <f>K19/K7</f>
        <v>0.18603084294055997</v>
      </c>
      <c r="L30" s="7">
        <f t="shared" ref="L30" si="45">L19/L7</f>
        <v>0.20325314379442325</v>
      </c>
    </row>
    <row r="32" spans="2:26" x14ac:dyDescent="0.2">
      <c r="B32" t="s">
        <v>56</v>
      </c>
      <c r="I32" s="3">
        <f t="shared" ref="I32" si="46">+I33-I48</f>
        <v>-4851.9999999999991</v>
      </c>
      <c r="J32" s="3">
        <f>+J33-J48</f>
        <v>-5572.1</v>
      </c>
      <c r="K32" s="3">
        <f t="shared" ref="K32:L32" si="47">+K33-K48</f>
        <v>0</v>
      </c>
      <c r="L32" s="3">
        <f t="shared" si="47"/>
        <v>0</v>
      </c>
    </row>
    <row r="33" spans="2:19" s="1" customFormat="1" x14ac:dyDescent="0.2">
      <c r="B33" s="1" t="s">
        <v>3</v>
      </c>
      <c r="C33" s="3"/>
      <c r="D33" s="3"/>
      <c r="E33" s="3"/>
      <c r="F33" s="3"/>
      <c r="G33" s="3"/>
      <c r="H33" s="3"/>
      <c r="I33" s="3">
        <f>506.5+16.5</f>
        <v>523</v>
      </c>
      <c r="J33" s="3">
        <v>417.8</v>
      </c>
      <c r="K33" s="3"/>
      <c r="L33" s="3"/>
      <c r="M33" s="3"/>
      <c r="N33" s="3"/>
      <c r="O33" s="3"/>
      <c r="P33" s="3"/>
      <c r="Q33" s="3"/>
      <c r="R33" s="3"/>
      <c r="S33" s="3"/>
    </row>
    <row r="34" spans="2:19" s="1" customFormat="1" x14ac:dyDescent="0.2">
      <c r="B34" s="1" t="s">
        <v>58</v>
      </c>
      <c r="C34" s="3"/>
      <c r="D34" s="3"/>
      <c r="E34" s="3"/>
      <c r="F34" s="3"/>
      <c r="G34" s="3"/>
      <c r="H34" s="3"/>
      <c r="I34" s="3">
        <v>1232.2</v>
      </c>
      <c r="J34" s="3">
        <v>1193.0999999999999</v>
      </c>
      <c r="K34" s="3"/>
      <c r="L34" s="3"/>
      <c r="M34" s="3"/>
      <c r="N34" s="3"/>
      <c r="O34" s="3"/>
      <c r="P34" s="3"/>
      <c r="Q34" s="3"/>
      <c r="R34" s="3"/>
      <c r="S34" s="3"/>
    </row>
    <row r="35" spans="2:19" s="1" customFormat="1" x14ac:dyDescent="0.2">
      <c r="B35" s="1" t="s">
        <v>59</v>
      </c>
      <c r="C35" s="3"/>
      <c r="D35" s="3"/>
      <c r="E35" s="3"/>
      <c r="F35" s="3"/>
      <c r="G35" s="3"/>
      <c r="H35" s="3"/>
      <c r="I35" s="3">
        <v>888</v>
      </c>
      <c r="J35" s="3">
        <v>844.4</v>
      </c>
      <c r="K35" s="3"/>
      <c r="L35" s="3"/>
      <c r="M35" s="3"/>
      <c r="N35" s="3"/>
      <c r="O35" s="3"/>
      <c r="P35" s="3"/>
      <c r="Q35" s="3"/>
      <c r="R35" s="3"/>
      <c r="S35" s="3"/>
    </row>
    <row r="36" spans="2:19" s="1" customFormat="1" x14ac:dyDescent="0.2">
      <c r="B36" s="1" t="s">
        <v>60</v>
      </c>
      <c r="C36" s="3"/>
      <c r="D36" s="3"/>
      <c r="E36" s="3"/>
      <c r="F36" s="3"/>
      <c r="G36" s="3"/>
      <c r="H36" s="3"/>
      <c r="I36" s="3">
        <v>168.6</v>
      </c>
      <c r="J36" s="3">
        <v>289.10000000000002</v>
      </c>
      <c r="K36" s="3"/>
      <c r="L36" s="3"/>
      <c r="M36" s="3"/>
      <c r="N36" s="3"/>
      <c r="O36" s="3"/>
      <c r="P36" s="3"/>
      <c r="Q36" s="3"/>
      <c r="R36" s="3"/>
      <c r="S36" s="3"/>
    </row>
    <row r="37" spans="2:19" s="1" customFormat="1" x14ac:dyDescent="0.2">
      <c r="B37" s="1" t="s">
        <v>61</v>
      </c>
      <c r="C37" s="3"/>
      <c r="D37" s="3"/>
      <c r="E37" s="3"/>
      <c r="F37" s="3"/>
      <c r="G37" s="3"/>
      <c r="H37" s="3"/>
      <c r="I37" s="3">
        <v>924.1</v>
      </c>
      <c r="J37" s="3">
        <v>886.2</v>
      </c>
      <c r="K37" s="3"/>
      <c r="L37" s="3"/>
      <c r="M37" s="3"/>
      <c r="N37" s="3"/>
      <c r="O37" s="3"/>
      <c r="P37" s="3"/>
      <c r="Q37" s="3"/>
      <c r="R37" s="3"/>
      <c r="S37" s="3"/>
    </row>
    <row r="38" spans="2:19" s="1" customFormat="1" x14ac:dyDescent="0.2">
      <c r="B38" s="1" t="s">
        <v>62</v>
      </c>
      <c r="C38" s="3"/>
      <c r="D38" s="3"/>
      <c r="E38" s="3"/>
      <c r="F38" s="3"/>
      <c r="G38" s="3"/>
      <c r="H38" s="3"/>
      <c r="I38" s="3">
        <f>7355.2+8290.2</f>
        <v>15645.400000000001</v>
      </c>
      <c r="J38" s="3">
        <f>7281.2+8190.5</f>
        <v>15471.7</v>
      </c>
      <c r="K38" s="3"/>
      <c r="L38" s="3"/>
      <c r="M38" s="3"/>
      <c r="N38" s="3"/>
      <c r="O38" s="3"/>
      <c r="P38" s="3"/>
      <c r="Q38" s="3"/>
      <c r="R38" s="3"/>
      <c r="S38" s="3"/>
    </row>
    <row r="39" spans="2:19" s="1" customFormat="1" x14ac:dyDescent="0.2">
      <c r="B39" s="1" t="s">
        <v>50</v>
      </c>
      <c r="C39" s="3"/>
      <c r="D39" s="3"/>
      <c r="E39" s="3"/>
      <c r="F39" s="3"/>
      <c r="G39" s="3"/>
      <c r="H39" s="3"/>
      <c r="I39" s="3">
        <f>69+27.8</f>
        <v>96.8</v>
      </c>
      <c r="J39" s="3">
        <v>54.6</v>
      </c>
      <c r="K39" s="3"/>
      <c r="L39" s="3"/>
      <c r="M39" s="3"/>
      <c r="N39" s="3"/>
      <c r="O39" s="3"/>
      <c r="P39" s="3"/>
      <c r="Q39" s="3"/>
      <c r="R39" s="3"/>
      <c r="S39" s="3"/>
    </row>
    <row r="40" spans="2:19" s="1" customFormat="1" x14ac:dyDescent="0.2">
      <c r="B40" s="1" t="s">
        <v>49</v>
      </c>
      <c r="C40" s="3"/>
      <c r="D40" s="3"/>
      <c r="E40" s="3"/>
      <c r="F40" s="3"/>
      <c r="G40" s="3"/>
      <c r="H40" s="3"/>
      <c r="I40" s="3">
        <v>225</v>
      </c>
      <c r="J40" s="3">
        <v>237</v>
      </c>
      <c r="K40" s="3"/>
      <c r="L40" s="3"/>
      <c r="M40" s="3"/>
      <c r="N40" s="3"/>
      <c r="O40" s="3"/>
      <c r="P40" s="3"/>
      <c r="Q40" s="3"/>
      <c r="R40" s="3"/>
      <c r="S40" s="3"/>
    </row>
    <row r="41" spans="2:19" s="1" customFormat="1" x14ac:dyDescent="0.2">
      <c r="B41" s="1" t="s">
        <v>57</v>
      </c>
      <c r="C41" s="3"/>
      <c r="D41" s="3"/>
      <c r="E41" s="3"/>
      <c r="F41" s="3"/>
      <c r="G41" s="3"/>
      <c r="H41" s="3"/>
      <c r="I41" s="3">
        <f>SUM(I33:I40)</f>
        <v>19703.100000000002</v>
      </c>
      <c r="J41" s="3">
        <f>SUM(J33:J40)</f>
        <v>19393.899999999998</v>
      </c>
      <c r="K41" s="3"/>
      <c r="L41" s="3"/>
      <c r="M41" s="3"/>
      <c r="N41" s="3"/>
      <c r="O41" s="3"/>
      <c r="P41" s="3"/>
      <c r="Q41" s="3"/>
      <c r="R41" s="3"/>
      <c r="S41" s="3"/>
    </row>
    <row r="42" spans="2:19" s="1" customForma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2:19" s="1" customFormat="1" x14ac:dyDescent="0.2">
      <c r="B43" s="1" t="s">
        <v>63</v>
      </c>
      <c r="C43" s="3"/>
      <c r="D43" s="3"/>
      <c r="E43" s="3"/>
      <c r="F43" s="3"/>
      <c r="G43" s="3"/>
      <c r="H43" s="3"/>
      <c r="I43" s="3">
        <v>541.20000000000005</v>
      </c>
      <c r="J43" s="3">
        <v>554.9</v>
      </c>
      <c r="K43" s="3"/>
      <c r="L43" s="3"/>
      <c r="M43" s="3"/>
      <c r="N43" s="3"/>
      <c r="O43" s="3"/>
      <c r="P43" s="3"/>
      <c r="Q43" s="3"/>
      <c r="R43" s="3"/>
      <c r="S43" s="3"/>
    </row>
    <row r="44" spans="2:19" s="1" customFormat="1" x14ac:dyDescent="0.2">
      <c r="B44" s="1" t="s">
        <v>64</v>
      </c>
      <c r="C44" s="3"/>
      <c r="D44" s="3"/>
      <c r="E44" s="3"/>
      <c r="F44" s="3"/>
      <c r="G44" s="3"/>
      <c r="H44" s="3"/>
      <c r="I44" s="3">
        <v>112.2</v>
      </c>
      <c r="J44" s="3">
        <v>125.3</v>
      </c>
      <c r="K44" s="3"/>
      <c r="L44" s="3"/>
      <c r="M44" s="3"/>
      <c r="N44" s="3"/>
      <c r="O44" s="3"/>
      <c r="P44" s="3"/>
      <c r="Q44" s="3"/>
      <c r="R44" s="3"/>
      <c r="S44" s="3"/>
    </row>
    <row r="45" spans="2:19" s="1" customFormat="1" x14ac:dyDescent="0.2">
      <c r="B45" s="1" t="s">
        <v>65</v>
      </c>
      <c r="C45" s="3"/>
      <c r="D45" s="3"/>
      <c r="E45" s="3"/>
      <c r="F45" s="3"/>
      <c r="G45" s="3"/>
      <c r="H45" s="3"/>
      <c r="I45" s="3">
        <v>367.1</v>
      </c>
      <c r="J45" s="3">
        <v>398</v>
      </c>
      <c r="K45" s="3"/>
      <c r="L45" s="3"/>
      <c r="M45" s="3"/>
      <c r="N45" s="3"/>
      <c r="O45" s="3"/>
      <c r="P45" s="3"/>
      <c r="Q45" s="3"/>
      <c r="R45" s="3"/>
      <c r="S45" s="3"/>
    </row>
    <row r="46" spans="2:19" s="1" customFormat="1" x14ac:dyDescent="0.2">
      <c r="B46" s="1" t="s">
        <v>66</v>
      </c>
      <c r="C46" s="3"/>
      <c r="D46" s="3"/>
      <c r="E46" s="3"/>
      <c r="F46" s="3"/>
      <c r="G46" s="3"/>
      <c r="H46" s="3"/>
      <c r="I46" s="3">
        <v>308.8</v>
      </c>
      <c r="J46" s="3">
        <v>308.39999999999998</v>
      </c>
      <c r="K46" s="3"/>
      <c r="L46" s="3"/>
      <c r="M46" s="3"/>
      <c r="N46" s="3"/>
      <c r="O46" s="3"/>
      <c r="P46" s="3"/>
      <c r="Q46" s="3"/>
      <c r="R46" s="3"/>
      <c r="S46" s="3"/>
    </row>
    <row r="47" spans="2:19" s="1" customFormat="1" x14ac:dyDescent="0.2">
      <c r="B47" s="1" t="s">
        <v>36</v>
      </c>
      <c r="C47" s="3"/>
      <c r="D47" s="3"/>
      <c r="E47" s="3"/>
      <c r="F47" s="3"/>
      <c r="G47" s="3"/>
      <c r="H47" s="3"/>
      <c r="I47" s="3">
        <v>82.3</v>
      </c>
      <c r="J47" s="3">
        <v>85.2</v>
      </c>
      <c r="K47" s="3"/>
      <c r="L47" s="3"/>
      <c r="M47" s="3"/>
      <c r="N47" s="3"/>
      <c r="O47" s="3"/>
      <c r="P47" s="3"/>
      <c r="Q47" s="3"/>
      <c r="R47" s="3"/>
      <c r="S47" s="3"/>
    </row>
    <row r="48" spans="2:19" s="1" customFormat="1" x14ac:dyDescent="0.2">
      <c r="B48" s="1" t="s">
        <v>4</v>
      </c>
      <c r="C48" s="3"/>
      <c r="D48" s="3"/>
      <c r="E48" s="3"/>
      <c r="F48" s="3"/>
      <c r="G48" s="3"/>
      <c r="H48" s="3"/>
      <c r="I48" s="3">
        <f>86.9+5229.9+58.2</f>
        <v>5374.9999999999991</v>
      </c>
      <c r="J48" s="3">
        <f>1018.3+4971.6</f>
        <v>5989.9000000000005</v>
      </c>
      <c r="K48" s="3"/>
      <c r="L48" s="3"/>
      <c r="M48" s="3"/>
      <c r="N48" s="3"/>
      <c r="O48" s="3"/>
      <c r="P48" s="3"/>
      <c r="Q48" s="3"/>
      <c r="R48" s="3"/>
      <c r="S48" s="3"/>
    </row>
    <row r="49" spans="2:19" s="1" customFormat="1" x14ac:dyDescent="0.2">
      <c r="B49" s="1" t="s">
        <v>67</v>
      </c>
      <c r="C49" s="3"/>
      <c r="D49" s="3"/>
      <c r="E49" s="3"/>
      <c r="F49" s="3"/>
      <c r="G49" s="3"/>
      <c r="H49" s="3"/>
      <c r="I49" s="3">
        <f>104.5+1705.1</f>
        <v>1809.6</v>
      </c>
      <c r="J49" s="3">
        <v>1563.7</v>
      </c>
      <c r="K49" s="3"/>
      <c r="L49" s="3"/>
      <c r="M49" s="3"/>
      <c r="N49" s="3"/>
      <c r="O49" s="3"/>
      <c r="P49" s="3"/>
      <c r="Q49" s="3"/>
      <c r="R49" s="3"/>
      <c r="S49" s="3"/>
    </row>
    <row r="50" spans="2:19" s="1" customFormat="1" x14ac:dyDescent="0.2">
      <c r="B50" s="1" t="s">
        <v>68</v>
      </c>
      <c r="C50" s="3"/>
      <c r="D50" s="3"/>
      <c r="E50" s="3"/>
      <c r="F50" s="3"/>
      <c r="G50" s="3"/>
      <c r="H50" s="3"/>
      <c r="I50" s="3">
        <v>374.9</v>
      </c>
      <c r="J50" s="3">
        <v>332.4</v>
      </c>
      <c r="K50" s="3"/>
      <c r="L50" s="3"/>
      <c r="M50" s="3"/>
      <c r="N50" s="3"/>
      <c r="O50" s="3"/>
      <c r="P50" s="3"/>
      <c r="Q50" s="3"/>
      <c r="R50" s="3"/>
      <c r="S50" s="3"/>
    </row>
    <row r="51" spans="2:19" s="1" customFormat="1" x14ac:dyDescent="0.2">
      <c r="B51" s="1" t="s">
        <v>69</v>
      </c>
      <c r="C51" s="3"/>
      <c r="D51" s="3"/>
      <c r="E51" s="3"/>
      <c r="F51" s="3"/>
      <c r="G51" s="3"/>
      <c r="H51" s="3"/>
      <c r="I51" s="3">
        <v>10732</v>
      </c>
      <c r="J51" s="3">
        <v>10036.1</v>
      </c>
      <c r="K51" s="3"/>
      <c r="L51" s="3"/>
      <c r="M51" s="3"/>
      <c r="N51" s="3"/>
      <c r="O51" s="3"/>
      <c r="P51" s="3"/>
      <c r="Q51" s="3"/>
      <c r="R51" s="3"/>
      <c r="S51" s="3"/>
    </row>
    <row r="52" spans="2:19" s="1" customFormat="1" x14ac:dyDescent="0.2">
      <c r="B52" s="1" t="s">
        <v>70</v>
      </c>
      <c r="C52" s="3"/>
      <c r="D52" s="3"/>
      <c r="E52" s="3"/>
      <c r="F52" s="3"/>
      <c r="G52" s="3"/>
      <c r="H52" s="3"/>
      <c r="I52" s="3">
        <f>SUM(I43:I51)</f>
        <v>19703.099999999999</v>
      </c>
      <c r="J52" s="3">
        <f>SUM(J43:J51)</f>
        <v>19393.900000000001</v>
      </c>
      <c r="K52" s="3"/>
      <c r="L52" s="3"/>
      <c r="M52" s="3"/>
      <c r="N52" s="3"/>
      <c r="O52" s="3"/>
      <c r="P52" s="3"/>
      <c r="Q52" s="3"/>
      <c r="R52" s="3"/>
      <c r="S52" s="3"/>
    </row>
    <row r="55" spans="2:19" s="1" customFormat="1" x14ac:dyDescent="0.2">
      <c r="B55" s="1" t="s">
        <v>41</v>
      </c>
      <c r="C55" s="3"/>
      <c r="D55" s="3"/>
      <c r="E55" s="3"/>
      <c r="F55" s="3"/>
      <c r="G55" s="3"/>
      <c r="H55" s="3"/>
      <c r="I55" s="3">
        <f t="shared" ref="I55:K55" si="48">+I19</f>
        <v>114.80000000000007</v>
      </c>
      <c r="J55" s="3">
        <f t="shared" si="48"/>
        <v>261.50000000000011</v>
      </c>
      <c r="K55" s="3">
        <f>+K19</f>
        <v>248.5</v>
      </c>
      <c r="L55" s="3">
        <f t="shared" ref="L55" si="49">+L19</f>
        <v>297.40000000000009</v>
      </c>
      <c r="M55" s="3"/>
      <c r="N55" s="3"/>
      <c r="O55" s="3"/>
      <c r="P55" s="3"/>
      <c r="Q55" s="3"/>
      <c r="R55" s="3"/>
      <c r="S55" s="3"/>
    </row>
    <row r="56" spans="2:19" s="1" customFormat="1" x14ac:dyDescent="0.2">
      <c r="B56" s="1" t="s">
        <v>42</v>
      </c>
      <c r="C56" s="3"/>
      <c r="D56" s="3"/>
      <c r="E56" s="3"/>
      <c r="F56" s="3"/>
      <c r="G56" s="3"/>
      <c r="H56" s="3"/>
      <c r="I56" s="3">
        <v>112.6</v>
      </c>
      <c r="J56" s="3">
        <f>5.6-I56</f>
        <v>-107</v>
      </c>
      <c r="K56" s="3">
        <v>-334.6</v>
      </c>
      <c r="L56" s="3">
        <f>-140.3-K56</f>
        <v>194.3</v>
      </c>
      <c r="M56" s="3"/>
      <c r="N56" s="3"/>
      <c r="O56" s="3"/>
      <c r="P56" s="3"/>
      <c r="Q56" s="3"/>
      <c r="R56" s="3"/>
      <c r="S56" s="3"/>
    </row>
    <row r="57" spans="2:19" s="1" customFormat="1" x14ac:dyDescent="0.2">
      <c r="B57" s="1" t="s">
        <v>43</v>
      </c>
      <c r="C57" s="3"/>
      <c r="D57" s="3"/>
      <c r="E57" s="3"/>
      <c r="F57" s="3"/>
      <c r="G57" s="3"/>
      <c r="H57" s="3"/>
      <c r="I57" s="3">
        <v>175.4</v>
      </c>
      <c r="J57" s="3">
        <f>328-I57</f>
        <v>152.6</v>
      </c>
      <c r="K57" s="3">
        <v>182.5</v>
      </c>
      <c r="L57" s="3">
        <f>369.3-K57</f>
        <v>186.8</v>
      </c>
      <c r="M57" s="3"/>
      <c r="N57" s="3"/>
      <c r="O57" s="3"/>
      <c r="P57" s="3"/>
      <c r="Q57" s="3"/>
      <c r="R57" s="3"/>
      <c r="S57" s="3"/>
    </row>
    <row r="58" spans="2:19" s="1" customFormat="1" x14ac:dyDescent="0.2">
      <c r="B58" s="1" t="s">
        <v>46</v>
      </c>
      <c r="C58" s="3"/>
      <c r="D58" s="3"/>
      <c r="E58" s="3"/>
      <c r="F58" s="3"/>
      <c r="G58" s="3"/>
      <c r="H58" s="3"/>
      <c r="I58" s="3">
        <v>0</v>
      </c>
      <c r="J58" s="3">
        <v>0</v>
      </c>
      <c r="K58" s="3">
        <v>0</v>
      </c>
      <c r="L58" s="3">
        <v>0</v>
      </c>
      <c r="M58" s="3"/>
      <c r="N58" s="3"/>
      <c r="O58" s="3"/>
      <c r="P58" s="3"/>
      <c r="Q58" s="3"/>
      <c r="R58" s="3"/>
      <c r="S58" s="3"/>
    </row>
    <row r="59" spans="2:19" s="1" customFormat="1" x14ac:dyDescent="0.2">
      <c r="B59" s="1" t="s">
        <v>45</v>
      </c>
      <c r="C59" s="3"/>
      <c r="D59" s="3"/>
      <c r="E59" s="3"/>
      <c r="F59" s="3"/>
      <c r="G59" s="3"/>
      <c r="H59" s="3"/>
      <c r="I59" s="3">
        <v>14.3</v>
      </c>
      <c r="J59" s="3">
        <f>24.8-I59</f>
        <v>10.5</v>
      </c>
      <c r="K59" s="3">
        <v>13.8</v>
      </c>
      <c r="L59" s="3">
        <f>7.6-K59</f>
        <v>-6.2000000000000011</v>
      </c>
      <c r="M59" s="3"/>
      <c r="N59" s="3"/>
      <c r="O59" s="3"/>
      <c r="P59" s="3"/>
      <c r="Q59" s="3"/>
      <c r="R59" s="3"/>
      <c r="S59" s="3"/>
    </row>
    <row r="60" spans="2:19" s="1" customFormat="1" x14ac:dyDescent="0.2">
      <c r="B60" s="1" t="s">
        <v>44</v>
      </c>
      <c r="C60" s="3"/>
      <c r="D60" s="3"/>
      <c r="E60" s="3"/>
      <c r="F60" s="3"/>
      <c r="G60" s="3"/>
      <c r="H60" s="3"/>
      <c r="I60" s="3">
        <v>0</v>
      </c>
      <c r="J60" s="3">
        <f>215.6-I60</f>
        <v>215.6</v>
      </c>
      <c r="K60" s="3">
        <v>467</v>
      </c>
      <c r="L60" s="3">
        <f>447.2-K60</f>
        <v>-19.800000000000011</v>
      </c>
      <c r="M60" s="3"/>
      <c r="N60" s="3"/>
      <c r="O60" s="3"/>
      <c r="P60" s="3"/>
      <c r="Q60" s="3"/>
      <c r="R60" s="3"/>
      <c r="S60" s="3"/>
    </row>
    <row r="61" spans="2:19" s="1" customFormat="1" x14ac:dyDescent="0.2">
      <c r="B61" s="1" t="s">
        <v>52</v>
      </c>
      <c r="C61" s="3"/>
      <c r="D61" s="3"/>
      <c r="E61" s="3"/>
      <c r="F61" s="3"/>
      <c r="G61" s="3"/>
      <c r="H61" s="3"/>
      <c r="I61" s="3">
        <v>0</v>
      </c>
      <c r="J61" s="3">
        <f>0.9-I61</f>
        <v>0.9</v>
      </c>
      <c r="K61" s="3">
        <v>0.4</v>
      </c>
      <c r="L61" s="3">
        <f>0.4-K61</f>
        <v>0</v>
      </c>
      <c r="M61" s="3"/>
      <c r="N61" s="3"/>
      <c r="O61" s="3"/>
      <c r="P61" s="3"/>
      <c r="Q61" s="3"/>
      <c r="R61" s="3"/>
      <c r="S61" s="3"/>
    </row>
    <row r="62" spans="2:19" s="1" customFormat="1" x14ac:dyDescent="0.2">
      <c r="B62" s="1" t="s">
        <v>51</v>
      </c>
      <c r="C62" s="3"/>
      <c r="D62" s="3"/>
      <c r="E62" s="3"/>
      <c r="F62" s="3"/>
      <c r="G62" s="3"/>
      <c r="H62" s="3"/>
      <c r="I62" s="3">
        <v>2.2000000000000002</v>
      </c>
      <c r="J62" s="3">
        <f>26.9-I62</f>
        <v>24.7</v>
      </c>
      <c r="K62" s="3">
        <v>5.4</v>
      </c>
      <c r="L62" s="3">
        <f>11.3-K62</f>
        <v>5.9</v>
      </c>
      <c r="M62" s="3"/>
      <c r="N62" s="3"/>
      <c r="O62" s="3"/>
      <c r="P62" s="3"/>
      <c r="Q62" s="3"/>
      <c r="R62" s="3"/>
      <c r="S62" s="3"/>
    </row>
    <row r="63" spans="2:19" s="1" customFormat="1" x14ac:dyDescent="0.2">
      <c r="B63" s="1" t="s">
        <v>50</v>
      </c>
      <c r="C63" s="3"/>
      <c r="D63" s="3"/>
      <c r="E63" s="3"/>
      <c r="F63" s="3"/>
      <c r="G63" s="3"/>
      <c r="H63" s="3"/>
      <c r="I63" s="3">
        <v>-14.2</v>
      </c>
      <c r="J63" s="3">
        <f>-141.8-I63</f>
        <v>-127.60000000000001</v>
      </c>
      <c r="K63" s="3">
        <v>-138</v>
      </c>
      <c r="L63" s="3">
        <f>-157.1-K63</f>
        <v>-19.099999999999994</v>
      </c>
      <c r="M63" s="3"/>
      <c r="N63" s="3"/>
      <c r="O63" s="3"/>
      <c r="P63" s="3"/>
      <c r="Q63" s="3"/>
      <c r="R63" s="3"/>
      <c r="S63" s="3"/>
    </row>
    <row r="64" spans="2:19" s="1" customFormat="1" x14ac:dyDescent="0.2">
      <c r="B64" s="1" t="s">
        <v>49</v>
      </c>
      <c r="C64" s="3"/>
      <c r="D64" s="3"/>
      <c r="E64" s="3"/>
      <c r="F64" s="3"/>
      <c r="G64" s="3"/>
      <c r="H64" s="3"/>
      <c r="I64" s="3">
        <v>3.2</v>
      </c>
      <c r="J64" s="3">
        <f>17.5-I64</f>
        <v>14.3</v>
      </c>
      <c r="K64" s="3">
        <v>1.6</v>
      </c>
      <c r="L64" s="3">
        <f>28.2-K64</f>
        <v>26.599999999999998</v>
      </c>
      <c r="M64" s="3"/>
      <c r="N64" s="3"/>
      <c r="O64" s="3"/>
      <c r="P64" s="3"/>
      <c r="Q64" s="3"/>
      <c r="R64" s="3"/>
      <c r="S64" s="3"/>
    </row>
    <row r="65" spans="2:26" s="1" customFormat="1" x14ac:dyDescent="0.2">
      <c r="B65" s="1" t="s">
        <v>48</v>
      </c>
      <c r="C65" s="3"/>
      <c r="D65" s="3"/>
      <c r="E65" s="3"/>
      <c r="F65" s="3"/>
      <c r="G65" s="3"/>
      <c r="H65" s="3"/>
      <c r="I65" s="3">
        <v>-157.5</v>
      </c>
      <c r="J65" s="3">
        <f>-154.3-I65</f>
        <v>3.1999999999999886</v>
      </c>
      <c r="K65" s="3">
        <v>-27.8</v>
      </c>
      <c r="L65" s="3">
        <f>-167-K65</f>
        <v>-139.19999999999999</v>
      </c>
      <c r="M65" s="3"/>
      <c r="N65" s="3"/>
      <c r="O65" s="3"/>
      <c r="P65" s="3"/>
      <c r="Q65" s="3"/>
      <c r="R65" s="3"/>
      <c r="S65" s="3"/>
    </row>
    <row r="66" spans="2:26" s="4" customFormat="1" x14ac:dyDescent="0.2">
      <c r="B66" s="4" t="s">
        <v>47</v>
      </c>
      <c r="C66" s="5"/>
      <c r="D66" s="5"/>
      <c r="E66" s="5"/>
      <c r="F66" s="5"/>
      <c r="G66" s="5"/>
      <c r="H66" s="5"/>
      <c r="I66" s="5">
        <f>SUM(I56:I65)</f>
        <v>136</v>
      </c>
      <c r="J66" s="5">
        <f t="shared" ref="J66" si="50">SUM(J56:J65)</f>
        <v>187.19999999999993</v>
      </c>
      <c r="K66" s="5">
        <f>SUM(K56:K65)</f>
        <v>170.29999999999993</v>
      </c>
      <c r="L66" s="5">
        <f t="shared" ref="L66" si="51">SUM(L56:L65)</f>
        <v>229.3</v>
      </c>
      <c r="M66" s="5"/>
      <c r="N66" s="5"/>
      <c r="O66" s="5"/>
      <c r="P66" s="5"/>
      <c r="Q66" s="5"/>
      <c r="R66" s="5"/>
      <c r="S66" s="5"/>
      <c r="X66" s="4">
        <v>553.79999999999995</v>
      </c>
      <c r="Y66" s="4">
        <v>693.5</v>
      </c>
      <c r="Z66" s="4">
        <v>1198.3</v>
      </c>
    </row>
    <row r="67" spans="2:26" s="1" customFormat="1" x14ac:dyDescent="0.2">
      <c r="B67" s="1" t="s">
        <v>53</v>
      </c>
      <c r="C67" s="3"/>
      <c r="D67" s="3"/>
      <c r="E67" s="3"/>
      <c r="F67" s="3"/>
      <c r="G67" s="3"/>
      <c r="H67" s="3"/>
      <c r="I67" s="3">
        <v>-38.6</v>
      </c>
      <c r="J67" s="3">
        <f>-77.8-I67</f>
        <v>-39.199999999999996</v>
      </c>
      <c r="K67" s="3">
        <v>34.700000000000003</v>
      </c>
      <c r="L67" s="3">
        <f>57.1-K67</f>
        <v>22.4</v>
      </c>
      <c r="M67" s="3"/>
      <c r="N67" s="3"/>
      <c r="O67" s="3"/>
      <c r="P67" s="3"/>
      <c r="Q67" s="3"/>
      <c r="R67" s="3"/>
      <c r="S67" s="3"/>
      <c r="X67" s="1">
        <v>104.1</v>
      </c>
      <c r="Y67" s="1">
        <v>171.6</v>
      </c>
      <c r="Z67" s="1">
        <v>137</v>
      </c>
    </row>
    <row r="68" spans="2:26" s="9" customFormat="1" x14ac:dyDescent="0.2">
      <c r="B68" s="4" t="s">
        <v>54</v>
      </c>
      <c r="C68" s="10"/>
      <c r="D68" s="10"/>
      <c r="E68" s="10"/>
      <c r="F68" s="10"/>
      <c r="G68" s="10"/>
      <c r="H68" s="10"/>
      <c r="I68" s="5">
        <f>+I67+I66</f>
        <v>97.4</v>
      </c>
      <c r="J68" s="5">
        <f t="shared" ref="J68" si="52">+J67+J66</f>
        <v>147.99999999999994</v>
      </c>
      <c r="K68" s="5">
        <f>+K66-K67</f>
        <v>135.59999999999991</v>
      </c>
      <c r="L68" s="5">
        <f t="shared" ref="L68" si="53">+L66-L67</f>
        <v>206.9</v>
      </c>
      <c r="M68" s="10"/>
      <c r="N68" s="10"/>
      <c r="O68" s="10"/>
      <c r="P68" s="10"/>
      <c r="Q68" s="10"/>
      <c r="R68" s="10"/>
      <c r="S68" s="10"/>
      <c r="X68" s="4">
        <f>+X66-X67</f>
        <v>449.69999999999993</v>
      </c>
      <c r="Y68" s="4">
        <f t="shared" ref="Y68:Z68" si="54">+Y66-Y67</f>
        <v>521.9</v>
      </c>
      <c r="Z68" s="4">
        <f t="shared" si="54"/>
        <v>1061.3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2016-08-26T19:11:10Z</dcterms:created>
  <dcterms:modified xsi:type="dcterms:W3CDTF">2016-08-26T20:18:51Z</dcterms:modified>
</cp:coreProperties>
</file>