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/>
  </bookViews>
  <sheets>
    <sheet name="Main" sheetId="1" r:id="rId1"/>
    <sheet name="Model" sheetId="2" r:id="rId2"/>
    <sheet name="Viewe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1" i="2" l="1"/>
  <c r="S72" i="2" s="1"/>
  <c r="S59" i="2"/>
  <c r="S50" i="2"/>
  <c r="V22" i="2"/>
  <c r="U22" i="2"/>
  <c r="T22" i="2"/>
  <c r="S22" i="2"/>
  <c r="S14" i="2"/>
  <c r="S9" i="2"/>
  <c r="S44" i="2"/>
  <c r="S46" i="2"/>
  <c r="S48" i="2" s="1"/>
  <c r="S28" i="2"/>
  <c r="S42" i="2"/>
  <c r="S38" i="2"/>
  <c r="S35" i="2"/>
  <c r="S30" i="2"/>
  <c r="AJ12" i="2" l="1"/>
  <c r="AK12" i="2"/>
  <c r="AH12" i="2"/>
  <c r="AI10" i="2"/>
  <c r="AF7" i="2"/>
  <c r="AF22" i="2" s="1"/>
  <c r="L22" i="2"/>
  <c r="AB26" i="2" l="1"/>
  <c r="AB25" i="2"/>
  <c r="AB24" i="2"/>
  <c r="AB23" i="2"/>
  <c r="AA26" i="2"/>
  <c r="AC25" i="2"/>
  <c r="AC22" i="2"/>
  <c r="AB22" i="2"/>
  <c r="AA13" i="2"/>
  <c r="AA9" i="2"/>
  <c r="AB13" i="2"/>
  <c r="AB9" i="2"/>
  <c r="AD25" i="2"/>
  <c r="AE25" i="2"/>
  <c r="AE24" i="2"/>
  <c r="AD5" i="2"/>
  <c r="AC5" i="2"/>
  <c r="AB5" i="2"/>
  <c r="AA5" i="2"/>
  <c r="AE5" i="2"/>
  <c r="C6" i="1"/>
  <c r="C5" i="1"/>
  <c r="C4" i="1"/>
  <c r="C3" i="1"/>
  <c r="AG7" i="2"/>
  <c r="AH7" i="2" s="1"/>
  <c r="AI7" i="2" s="1"/>
  <c r="AJ7" i="2" s="1"/>
  <c r="AK7" i="2" s="1"/>
  <c r="AE69" i="2"/>
  <c r="AE67" i="2"/>
  <c r="AE66" i="2"/>
  <c r="AE64" i="2"/>
  <c r="AE58" i="2"/>
  <c r="AE56" i="2"/>
  <c r="AE59" i="2"/>
  <c r="AE71" i="2" s="1"/>
  <c r="AE72" i="2" s="1"/>
  <c r="Z50" i="2"/>
  <c r="Y50" i="2"/>
  <c r="X50" i="2"/>
  <c r="R22" i="2"/>
  <c r="AD24" i="2"/>
  <c r="AC24" i="2"/>
  <c r="AE3" i="2"/>
  <c r="AD23" i="2"/>
  <c r="AC23" i="2"/>
  <c r="AE23" i="2"/>
  <c r="AD76" i="2"/>
  <c r="AD77" i="2"/>
  <c r="G13" i="2"/>
  <c r="G9" i="2"/>
  <c r="G26" i="2" s="1"/>
  <c r="F13" i="2"/>
  <c r="F9" i="2"/>
  <c r="F26" i="2" s="1"/>
  <c r="J13" i="2"/>
  <c r="J9" i="2"/>
  <c r="J26" i="2" s="1"/>
  <c r="E13" i="2"/>
  <c r="E9" i="2"/>
  <c r="E26" i="2" s="1"/>
  <c r="I22" i="2"/>
  <c r="I13" i="2"/>
  <c r="I9" i="2"/>
  <c r="I26" i="2" s="1"/>
  <c r="J22" i="2"/>
  <c r="H22" i="2"/>
  <c r="D13" i="2"/>
  <c r="D9" i="2"/>
  <c r="D26" i="2" s="1"/>
  <c r="N22" i="2"/>
  <c r="M22" i="2"/>
  <c r="K22" i="2"/>
  <c r="H13" i="2"/>
  <c r="H9" i="2"/>
  <c r="H26" i="2" s="1"/>
  <c r="V7" i="2"/>
  <c r="V9" i="2" s="1"/>
  <c r="U7" i="2"/>
  <c r="U9" i="2" s="1"/>
  <c r="T7" i="2"/>
  <c r="AG12" i="2"/>
  <c r="AG11" i="2"/>
  <c r="AH11" i="2" s="1"/>
  <c r="AI11" i="2" s="1"/>
  <c r="AJ11" i="2" s="1"/>
  <c r="AK11" i="2" s="1"/>
  <c r="AF20" i="2"/>
  <c r="AG20" i="2" s="1"/>
  <c r="AH20" i="2" s="1"/>
  <c r="AI20" i="2" s="1"/>
  <c r="AJ20" i="2" s="1"/>
  <c r="AK20" i="2" s="1"/>
  <c r="AF12" i="2"/>
  <c r="AF11" i="2"/>
  <c r="AF10" i="2"/>
  <c r="O45" i="2"/>
  <c r="O42" i="2"/>
  <c r="O46" i="2" s="1"/>
  <c r="O48" i="2" s="1"/>
  <c r="O36" i="2"/>
  <c r="O35" i="2"/>
  <c r="O30" i="2"/>
  <c r="O28" i="2" s="1"/>
  <c r="O59" i="2"/>
  <c r="O71" i="2" s="1"/>
  <c r="O72" i="2" s="1"/>
  <c r="P59" i="2"/>
  <c r="P71" i="2" s="1"/>
  <c r="P72" i="2" s="1"/>
  <c r="P45" i="2"/>
  <c r="P42" i="2"/>
  <c r="P46" i="2"/>
  <c r="P48" i="2" s="1"/>
  <c r="P36" i="2"/>
  <c r="P38" i="2" s="1"/>
  <c r="P35" i="2"/>
  <c r="P30" i="2"/>
  <c r="P28" i="2" s="1"/>
  <c r="Q59" i="2"/>
  <c r="Q71" i="2" s="1"/>
  <c r="Q72" i="2" s="1"/>
  <c r="Q45" i="2"/>
  <c r="Q42" i="2"/>
  <c r="Q35" i="2"/>
  <c r="Q30" i="2"/>
  <c r="Q38" i="2" s="1"/>
  <c r="T20" i="2"/>
  <c r="U20" i="2" s="1"/>
  <c r="V20" i="2" s="1"/>
  <c r="V12" i="2"/>
  <c r="U12" i="2"/>
  <c r="T12" i="2"/>
  <c r="V11" i="2"/>
  <c r="U11" i="2"/>
  <c r="T11" i="2"/>
  <c r="V10" i="2"/>
  <c r="U10" i="2"/>
  <c r="T10" i="2"/>
  <c r="L26" i="2"/>
  <c r="K13" i="2"/>
  <c r="K9" i="2"/>
  <c r="K26" i="2" s="1"/>
  <c r="O22" i="2"/>
  <c r="O13" i="2"/>
  <c r="O9" i="2"/>
  <c r="O26" i="2" s="1"/>
  <c r="L13" i="2"/>
  <c r="L9" i="2"/>
  <c r="P22" i="2"/>
  <c r="P13" i="2"/>
  <c r="P9" i="2"/>
  <c r="P26" i="2" s="1"/>
  <c r="Q22" i="2"/>
  <c r="M13" i="2"/>
  <c r="M9" i="2"/>
  <c r="M26" i="2" s="1"/>
  <c r="Q13" i="2"/>
  <c r="Q9" i="2"/>
  <c r="Q26" i="2" s="1"/>
  <c r="R59" i="2"/>
  <c r="R71" i="2" s="1"/>
  <c r="R72" i="2" s="1"/>
  <c r="N13" i="2"/>
  <c r="N9" i="2"/>
  <c r="N26" i="2" s="1"/>
  <c r="R13" i="2"/>
  <c r="R9" i="2"/>
  <c r="R42" i="2"/>
  <c r="R46" i="2" s="1"/>
  <c r="R48" i="2" s="1"/>
  <c r="R35" i="2"/>
  <c r="R30" i="2"/>
  <c r="R28" i="2" s="1"/>
  <c r="L4" i="1"/>
  <c r="L7" i="1" s="1"/>
  <c r="AA14" i="2" l="1"/>
  <c r="AA16" i="2" s="1"/>
  <c r="AA18" i="2" s="1"/>
  <c r="AA19" i="2" s="1"/>
  <c r="AB14" i="2"/>
  <c r="AB16" i="2" s="1"/>
  <c r="AB18" i="2" s="1"/>
  <c r="AB19" i="2" s="1"/>
  <c r="Q28" i="2"/>
  <c r="S13" i="2"/>
  <c r="Q46" i="2"/>
  <c r="Q48" i="2" s="1"/>
  <c r="AF13" i="2"/>
  <c r="AG10" i="2"/>
  <c r="AH10" i="2" s="1"/>
  <c r="AG13" i="2"/>
  <c r="AH9" i="2"/>
  <c r="AI22" i="2"/>
  <c r="U13" i="2"/>
  <c r="T13" i="2"/>
  <c r="V13" i="2"/>
  <c r="V14" i="2" s="1"/>
  <c r="V16" i="2" s="1"/>
  <c r="G14" i="2"/>
  <c r="G16" i="2" s="1"/>
  <c r="G18" i="2" s="1"/>
  <c r="G19" i="2" s="1"/>
  <c r="F14" i="2"/>
  <c r="F16" i="2" s="1"/>
  <c r="F18" i="2" s="1"/>
  <c r="F19" i="2" s="1"/>
  <c r="J14" i="2"/>
  <c r="J16" i="2" s="1"/>
  <c r="J18" i="2" s="1"/>
  <c r="J19" i="2" s="1"/>
  <c r="E14" i="2"/>
  <c r="E16" i="2" s="1"/>
  <c r="E18" i="2" s="1"/>
  <c r="E19" i="2" s="1"/>
  <c r="I14" i="2"/>
  <c r="I16" i="2" s="1"/>
  <c r="I18" i="2" s="1"/>
  <c r="I19" i="2" s="1"/>
  <c r="H14" i="2"/>
  <c r="H16" i="2" s="1"/>
  <c r="H18" i="2" s="1"/>
  <c r="H19" i="2" s="1"/>
  <c r="D14" i="2"/>
  <c r="D16" i="2" s="1"/>
  <c r="D18" i="2" s="1"/>
  <c r="D19" i="2" s="1"/>
  <c r="AF9" i="2"/>
  <c r="AF26" i="2" s="1"/>
  <c r="T9" i="2"/>
  <c r="T26" i="2" s="1"/>
  <c r="O38" i="2"/>
  <c r="U26" i="2"/>
  <c r="U8" i="2"/>
  <c r="V8" i="2"/>
  <c r="V26" i="2"/>
  <c r="U14" i="2"/>
  <c r="U16" i="2" s="1"/>
  <c r="S26" i="2"/>
  <c r="K14" i="2"/>
  <c r="K16" i="2" s="1"/>
  <c r="K18" i="2" s="1"/>
  <c r="K19" i="2" s="1"/>
  <c r="O14" i="2"/>
  <c r="O16" i="2" s="1"/>
  <c r="O18" i="2" s="1"/>
  <c r="L14" i="2"/>
  <c r="L16" i="2" s="1"/>
  <c r="L18" i="2" s="1"/>
  <c r="L19" i="2" s="1"/>
  <c r="P14" i="2"/>
  <c r="P16" i="2" s="1"/>
  <c r="P18" i="2" s="1"/>
  <c r="R14" i="2"/>
  <c r="R16" i="2" s="1"/>
  <c r="R18" i="2" s="1"/>
  <c r="R19" i="2" s="1"/>
  <c r="R26" i="2"/>
  <c r="R38" i="2"/>
  <c r="M14" i="2"/>
  <c r="M16" i="2" s="1"/>
  <c r="M18" i="2" s="1"/>
  <c r="M19" i="2" s="1"/>
  <c r="Q14" i="2"/>
  <c r="Q16" i="2" s="1"/>
  <c r="Q18" i="2" s="1"/>
  <c r="N14" i="2"/>
  <c r="N16" i="2" s="1"/>
  <c r="N18" i="2" s="1"/>
  <c r="N19" i="2" s="1"/>
  <c r="AA50" i="2" l="1"/>
  <c r="AB50" i="2"/>
  <c r="AH13" i="2"/>
  <c r="AI13" i="2"/>
  <c r="AJ10" i="2"/>
  <c r="AF14" i="2"/>
  <c r="AF16" i="2" s="1"/>
  <c r="AF8" i="2"/>
  <c r="AI9" i="2"/>
  <c r="T14" i="2"/>
  <c r="T16" i="2" s="1"/>
  <c r="T17" i="2" s="1"/>
  <c r="T18" i="2" s="1"/>
  <c r="T19" i="2" s="1"/>
  <c r="T8" i="2"/>
  <c r="AG22" i="2"/>
  <c r="AG9" i="2"/>
  <c r="AG8" i="2" s="1"/>
  <c r="AH22" i="2"/>
  <c r="O19" i="2"/>
  <c r="O50" i="2"/>
  <c r="Q19" i="2"/>
  <c r="Q50" i="2"/>
  <c r="P19" i="2"/>
  <c r="P50" i="2"/>
  <c r="V17" i="2"/>
  <c r="V18" i="2" s="1"/>
  <c r="V19" i="2" s="1"/>
  <c r="S16" i="2"/>
  <c r="U17" i="2"/>
  <c r="U18" i="2" s="1"/>
  <c r="U19" i="2" s="1"/>
  <c r="R50" i="2"/>
  <c r="AF17" i="2" l="1"/>
  <c r="AF18" i="2" s="1"/>
  <c r="AK10" i="2"/>
  <c r="AK13" i="2" s="1"/>
  <c r="AJ13" i="2"/>
  <c r="AJ9" i="2"/>
  <c r="AJ22" i="2"/>
  <c r="AI14" i="2"/>
  <c r="AI26" i="2"/>
  <c r="AI8" i="2"/>
  <c r="AG26" i="2"/>
  <c r="AG14" i="2"/>
  <c r="AH8" i="2"/>
  <c r="AH26" i="2"/>
  <c r="AH14" i="2"/>
  <c r="S18" i="2"/>
  <c r="AF19" i="2" l="1"/>
  <c r="AF50" i="2"/>
  <c r="S19" i="2"/>
  <c r="T28" i="2"/>
  <c r="U28" i="2" s="1"/>
  <c r="V28" i="2" s="1"/>
  <c r="AF28" i="2" s="1"/>
  <c r="AG15" i="2" s="1"/>
  <c r="AG16" i="2" s="1"/>
  <c r="AG17" i="2" s="1"/>
  <c r="AG18" i="2" s="1"/>
  <c r="AK22" i="2"/>
  <c r="AK9" i="2"/>
  <c r="AJ8" i="2"/>
  <c r="AJ26" i="2"/>
  <c r="AJ14" i="2"/>
  <c r="AG28" i="2" l="1"/>
  <c r="AH15" i="2" s="1"/>
  <c r="AH16" i="2" s="1"/>
  <c r="AG19" i="2"/>
  <c r="AG50" i="2"/>
  <c r="AH17" i="2"/>
  <c r="AH18" i="2" s="1"/>
  <c r="AH28" i="2" s="1"/>
  <c r="AK8" i="2"/>
  <c r="AK26" i="2"/>
  <c r="AK14" i="2"/>
  <c r="AH19" i="2" l="1"/>
  <c r="AH50" i="2"/>
  <c r="AI15" i="2"/>
  <c r="AI16" i="2"/>
  <c r="AI17" i="2" l="1"/>
  <c r="AI18" i="2" s="1"/>
  <c r="AI28" i="2" s="1"/>
  <c r="AI19" i="2" l="1"/>
  <c r="AI50" i="2"/>
  <c r="AJ15" i="2"/>
  <c r="AJ16" i="2" s="1"/>
  <c r="AJ17" i="2" l="1"/>
  <c r="AJ18" i="2" s="1"/>
  <c r="AJ28" i="2" s="1"/>
  <c r="AJ50" i="2" l="1"/>
  <c r="AJ19" i="2"/>
  <c r="AK15" i="2"/>
  <c r="AK16" i="2" s="1"/>
  <c r="AK17" i="2" l="1"/>
  <c r="AK18" i="2" s="1"/>
  <c r="AK28" i="2" s="1"/>
  <c r="AL18" i="2" l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AK19" i="2"/>
  <c r="AN24" i="2" l="1"/>
  <c r="AN25" i="2" s="1"/>
  <c r="AC13" i="2" l="1"/>
  <c r="AC9" i="2"/>
  <c r="AC26" i="2" s="1"/>
  <c r="AD13" i="2"/>
  <c r="AD9" i="2"/>
  <c r="AD26" i="2" s="1"/>
  <c r="AE13" i="2"/>
  <c r="AE9" i="2"/>
  <c r="AE26" i="2" s="1"/>
  <c r="AD22" i="2"/>
  <c r="AE22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E14" i="2" l="1"/>
  <c r="AE16" i="2" s="1"/>
  <c r="AE18" i="2" s="1"/>
  <c r="AC14" i="2"/>
  <c r="AC16" i="2" s="1"/>
  <c r="AC18" i="2" s="1"/>
  <c r="AD14" i="2"/>
  <c r="AD16" i="2" s="1"/>
  <c r="AD18" i="2" s="1"/>
  <c r="AC19" i="2" l="1"/>
  <c r="AC50" i="2"/>
  <c r="AD19" i="2"/>
  <c r="AD50" i="2"/>
  <c r="AE19" i="2"/>
  <c r="AE50" i="2"/>
</calcChain>
</file>

<file path=xl/comments1.xml><?xml version="1.0" encoding="utf-8"?>
<comments xmlns="http://schemas.openxmlformats.org/spreadsheetml/2006/main">
  <authors>
    <author>Martin Shkreli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125-127 including 2.5m from NWP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140.5-142.5 guidance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565-575 incl 45m from NWP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$1bn in revenue goal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Over 20% - guidance in Q116 press release</t>
        </r>
      </text>
    </comment>
  </commentList>
</comments>
</file>

<file path=xl/sharedStrings.xml><?xml version="1.0" encoding="utf-8"?>
<sst xmlns="http://schemas.openxmlformats.org/spreadsheetml/2006/main" count="240" uniqueCount="212">
  <si>
    <t>Price</t>
  </si>
  <si>
    <t>Shares</t>
  </si>
  <si>
    <t>MC</t>
  </si>
  <si>
    <t>Cash</t>
  </si>
  <si>
    <t>Debt</t>
  </si>
  <si>
    <t>EV</t>
  </si>
  <si>
    <t>Main</t>
  </si>
  <si>
    <t>Revenue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</si>
  <si>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</si>
  <si>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</si>
  <si>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</si>
  <si>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</si>
  <si>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</si>
  <si>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</si>
  <si>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</si>
  <si>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</si>
  <si>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</si>
  <si>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</si>
  <si>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</si>
  <si>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</si>
  <si>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</si>
  <si>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</si>
  <si>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</si>
  <si>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</si>
  <si>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COGS</t>
  </si>
  <si>
    <t>Gross Margin</t>
  </si>
  <si>
    <t>R&amp;D</t>
  </si>
  <si>
    <t>S&amp;M</t>
  </si>
  <si>
    <t>G&amp;A</t>
  </si>
  <si>
    <t>Operating Expenses</t>
  </si>
  <si>
    <t>Operating Income</t>
  </si>
  <si>
    <t>Net Income</t>
  </si>
  <si>
    <t>Taxes</t>
  </si>
  <si>
    <t>Pretax Income</t>
  </si>
  <si>
    <t>Interest Income</t>
  </si>
  <si>
    <t>EPS</t>
  </si>
  <si>
    <t>Assets</t>
  </si>
  <si>
    <t>OA</t>
  </si>
  <si>
    <t>DTA</t>
  </si>
  <si>
    <t>Goodwill</t>
  </si>
  <si>
    <t>PP&amp;E</t>
  </si>
  <si>
    <t>OCA</t>
  </si>
  <si>
    <t>Prepaids</t>
  </si>
  <si>
    <t>A/R</t>
  </si>
  <si>
    <t>L+S/E</t>
  </si>
  <si>
    <t>S/E</t>
  </si>
  <si>
    <t>Liabilities</t>
  </si>
  <si>
    <t>OLTL</t>
  </si>
  <si>
    <t>Deposits</t>
  </si>
  <si>
    <t>D/R</t>
  </si>
  <si>
    <t>A/E</t>
  </si>
  <si>
    <t>A/P</t>
  </si>
  <si>
    <t>Net Cash</t>
  </si>
  <si>
    <t>Revenue Growth</t>
  </si>
  <si>
    <t>Model NI</t>
  </si>
  <si>
    <t>Reported NI</t>
  </si>
  <si>
    <t>D&amp;A</t>
  </si>
  <si>
    <t>CFFO</t>
  </si>
  <si>
    <t>CapEx</t>
  </si>
  <si>
    <t>FCF</t>
  </si>
  <si>
    <t>DT</t>
  </si>
  <si>
    <t>SBC</t>
  </si>
  <si>
    <t>Excess Tax Benefit</t>
  </si>
  <si>
    <t>Impairment</t>
  </si>
  <si>
    <t>CoCo</t>
  </si>
  <si>
    <t>A&amp;L</t>
  </si>
  <si>
    <t>FCF-SBC</t>
  </si>
  <si>
    <t>Acquisitions</t>
  </si>
  <si>
    <t>3/7/16 Closed NWP acquisition</t>
  </si>
  <si>
    <t>Q112</t>
  </si>
  <si>
    <t>Q212</t>
  </si>
  <si>
    <t>Q312</t>
  </si>
  <si>
    <t>Q412</t>
  </si>
  <si>
    <t>1998: Company founded</t>
  </si>
  <si>
    <t>Properties Managed</t>
  </si>
  <si>
    <t>Customers (thousand)</t>
  </si>
  <si>
    <t>Salesreps</t>
  </si>
  <si>
    <t>DevOps</t>
  </si>
  <si>
    <t>HC</t>
  </si>
  <si>
    <t>Yardi</t>
  </si>
  <si>
    <t>Property Solutions</t>
  </si>
  <si>
    <t>LeaseHawk</t>
  </si>
  <si>
    <t>ForRent</t>
  </si>
  <si>
    <t>RentPath</t>
  </si>
  <si>
    <t>Steve Winn owns 32% of the company.</t>
  </si>
  <si>
    <t>Customer Growth</t>
  </si>
  <si>
    <t>Property Growth</t>
  </si>
  <si>
    <t>Discount</t>
  </si>
  <si>
    <t>Maturity</t>
  </si>
  <si>
    <t>NPV</t>
  </si>
  <si>
    <t>Share</t>
  </si>
  <si>
    <t>Disposals</t>
  </si>
  <si>
    <t>CFFI</t>
  </si>
  <si>
    <t>Common Stock</t>
  </si>
  <si>
    <t>Financing</t>
  </si>
  <si>
    <t>Credit Facility</t>
  </si>
  <si>
    <t>Property Management</t>
  </si>
  <si>
    <t>Resident Services</t>
  </si>
  <si>
    <t>Leasing &amp; Marketing</t>
  </si>
  <si>
    <t>Asset Optimization</t>
  </si>
  <si>
    <t>Segment</t>
  </si>
  <si>
    <t>%ofR</t>
  </si>
  <si>
    <t>RPU Growth</t>
  </si>
  <si>
    <t>ROIC</t>
  </si>
  <si>
    <t>Ben Goldstein</t>
  </si>
  <si>
    <t>Pavel</t>
  </si>
  <si>
    <t>Louis di Maria</t>
  </si>
  <si>
    <t>RPU</t>
  </si>
  <si>
    <t>Tax Rate</t>
  </si>
  <si>
    <t>D</t>
  </si>
  <si>
    <t>Do you even margin expand, bro? What happens in 2030? Aliens? Negative taxes? Cool! Circular references?</t>
  </si>
  <si>
    <t>Bum ass</t>
  </si>
  <si>
    <t>C-</t>
  </si>
  <si>
    <t>Nice front page but a lot of basic mistakes</t>
  </si>
  <si>
    <t>Acid</t>
  </si>
  <si>
    <t>You are definitely on acid. No need to test the stuff.</t>
  </si>
  <si>
    <t>Aviral</t>
  </si>
  <si>
    <t>Sloppy, ugly model and no primary research</t>
  </si>
  <si>
    <t>Rick B</t>
  </si>
  <si>
    <t>B-</t>
  </si>
  <si>
    <t>No ROIC, not much primary research, poor format</t>
  </si>
  <si>
    <t>Richard Carr</t>
  </si>
  <si>
    <t>B</t>
  </si>
  <si>
    <t>Munger quote. Crap model--no reasonable approach for revenue growth estimate--no understanding of margin structure re: scale. Nice due diligence from a message board.</t>
  </si>
  <si>
    <t>Christian</t>
  </si>
  <si>
    <t>Bro?</t>
  </si>
  <si>
    <t>Trash</t>
  </si>
  <si>
    <t>Haris</t>
  </si>
  <si>
    <t>http://nmhc.org/Content.aspx?id=4708</t>
  </si>
  <si>
    <t>Buildium</t>
  </si>
  <si>
    <t>High expectations for this model because you are a God. Always keep all cells Arial/10. Cool find on Yardi v. RP--should have downloaded the law suit through PACER. Why don't you include management's guidance in your forecasts? No taxes, no interest income. Should forecast revenue based on customers/ARPU, etc., not arbitrary numbers.</t>
  </si>
  <si>
    <t>B+</t>
  </si>
  <si>
    <t>Stephen Chung</t>
  </si>
  <si>
    <t>Great work in general, but total fail on the NPV, which is the most important thing, otherwise would have been an A or A+ even. Little-to-no apparent thought in operating cost forecasting.</t>
  </si>
  <si>
    <t>Mike Flanagan</t>
  </si>
  <si>
    <t>A</t>
  </si>
  <si>
    <t>A-</t>
  </si>
  <si>
    <t>Very nice work, some formatting errors, little off on expenses, because the D&amp;A subtraction, while creative, doesn't really make since there are cash CapEx costs????</t>
  </si>
  <si>
    <t>Ak He</t>
  </si>
  <si>
    <t>Very few if any mistakes. Missed the scale idea and the fact that software is a very acquisitive area--this company has tiny margins (e.g. subscale)</t>
  </si>
  <si>
    <t>Jason Yan</t>
  </si>
  <si>
    <t>Commentary and formatting is a bit bizarre, but unique. Forecasting of revenue was impressive, but cost forecasting was unrealistic ($1bn revenue with $35m NI)</t>
  </si>
  <si>
    <t>Services</t>
  </si>
  <si>
    <t>OneSite</t>
  </si>
  <si>
    <t>Multifamily properties management and accounting</t>
  </si>
  <si>
    <t>Propertyware</t>
  </si>
  <si>
    <t>Single family and small multifamily properties management</t>
  </si>
  <si>
    <t>LeaseStar</t>
  </si>
  <si>
    <t>Lead generator platform</t>
  </si>
  <si>
    <t>LeasingDesk</t>
  </si>
  <si>
    <t>Insurance coverage options and residents credit, risk screening</t>
  </si>
  <si>
    <t>Kigo</t>
  </si>
  <si>
    <t>Vacantion rental property management</t>
  </si>
  <si>
    <t>Velocity</t>
  </si>
  <si>
    <t>Energy spending and consume management, automated billing process</t>
  </si>
  <si>
    <t>Spend Managment</t>
  </si>
  <si>
    <t>Budget and costs control</t>
  </si>
  <si>
    <t>ActiveBuilding</t>
  </si>
  <si>
    <t>Services for residents</t>
  </si>
  <si>
    <t>Contact Center</t>
  </si>
  <si>
    <t>Calls manager</t>
  </si>
  <si>
    <t>YieldStar</t>
  </si>
  <si>
    <t>Revenue and pricing analysis</t>
  </si>
  <si>
    <t>Michele</t>
  </si>
  <si>
    <t>Pretty good but forecasting revenue was too arbitrary to get an A. Very nice job overall.</t>
  </si>
  <si>
    <t>Amanda Y</t>
  </si>
  <si>
    <t>Very nice front page, but don't ever tell me what to do. Arbitrary growth (how about ARPU?) What happens in 2030? World ending forecast?</t>
  </si>
  <si>
    <t>C</t>
  </si>
  <si>
    <t>Calvin</t>
  </si>
  <si>
    <t>Great factoid on the BOD thing but NPV is complete trash - suggest you find a dumpster to keep you company.</t>
  </si>
  <si>
    <t>Sultan</t>
  </si>
  <si>
    <t>Did you even try? This is 16 gallon, heavy-duty odor-protector trash.</t>
  </si>
  <si>
    <t>Ken Fitzpatrick</t>
  </si>
  <si>
    <t>Nice factoids on founder's age and his ownership is possibly through a fund, but the forecasts were garbage</t>
  </si>
  <si>
    <t>Luigi</t>
  </si>
  <si>
    <t>Arbitrary forecasts, terrible formatting makes me want to vomit instead of help you.</t>
  </si>
  <si>
    <t>David Cormier</t>
  </si>
  <si>
    <t>Arbitrary forecasts. I don't care how old you are. Cost structure forecasting was bad. 10% DR? why? No ROIC. Impairments in the IS?</t>
  </si>
  <si>
    <t>Gogy</t>
  </si>
  <si>
    <t>F</t>
  </si>
  <si>
    <t>Dangerously close to trash. Look at the models I've uploaded and try to make them more like that. Use factors to forecast revenue, not random arbitrary numbers.</t>
  </si>
  <si>
    <t>Nikhil</t>
  </si>
  <si>
    <t>A+</t>
  </si>
  <si>
    <t>What a boss. I think your numbers are too conservative and that's why I'm buying the stock - the 2% growth at maturity is a little weird to me, that's a lot of growth to grow forever. Impressive diligence plan, great thoughts on TAM. Seem to be ignoring the fact that they've had decent organic growth.</t>
  </si>
  <si>
    <t>Roman</t>
  </si>
  <si>
    <t>Arbitrary forecasts leading to crazy outcome.</t>
  </si>
  <si>
    <t>Max L</t>
  </si>
  <si>
    <t>Arbitrary forecasts, didn’t feel like quarterly modeling. Doesn't address the scale.</t>
  </si>
  <si>
    <t>Vilhelm</t>
  </si>
  <si>
    <t>2% maturity unrealistic. But good forecasts and sense of core margins. Bad formatting!!!!</t>
  </si>
  <si>
    <t>Alex</t>
  </si>
  <si>
    <t>Good forecasting but doesn’t get the margin concept. Why have a $3bn revenue with $200m NI???? Went ham on the market forecast.</t>
  </si>
  <si>
    <t>Isaacs</t>
  </si>
  <si>
    <t>I'm not a fan of % of revenue forecasts (maybe for S&amp;M) but companies do tend to gain scale w/ revenue growth. Share of TAM very bad way to forecast.</t>
  </si>
  <si>
    <t>Coded Realm</t>
  </si>
  <si>
    <t>I will recommend a dumpster nearby.</t>
  </si>
  <si>
    <t>Zach Hartenberg</t>
  </si>
  <si>
    <t>Arbitrary forecasts, terrible cost formatting. Get out of my face with this.</t>
  </si>
  <si>
    <t>D-</t>
  </si>
  <si>
    <t>Thomas</t>
  </si>
  <si>
    <t>Product Lines</t>
  </si>
  <si>
    <t>"Automates the leasing, renting, management, and accounting of property"</t>
  </si>
  <si>
    <t>CrossFire</t>
  </si>
  <si>
    <t>"Enable owners and managers to originate, capture, track, manage and close more leads"</t>
  </si>
  <si>
    <t>"Scientific yield management system that enables owners and managers to optimize rents"</t>
  </si>
  <si>
    <t>"Utility management systems that accelerate payments for resident charges"</t>
  </si>
  <si>
    <t>"Risk mitigation systems"</t>
  </si>
  <si>
    <t>OpsTechnology</t>
  </si>
  <si>
    <t>"Spend management systems"</t>
  </si>
  <si>
    <t>Revenue growth very arbitrary.</t>
  </si>
  <si>
    <t>Alexandros</t>
  </si>
  <si>
    <t>Pretty good but should have expected more margin expansion or explained why they can't achieve scale.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</si>
</sst>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9" xfId="0" applyBorder="1"/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/>
    <xf numFmtId="9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2" xfId="0" applyNumberFormat="1" applyFont="1" applyBorder="1" applyAlignment="1">
      <alignment horizontal="left"/>
    </xf>
    <xf numFmtId="9" fontId="1" fillId="0" borderId="2" xfId="0" applyNumberFormat="1" applyFont="1" applyBorder="1"/>
    <xf numFmtId="9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1" fillId="0" borderId="0" xfId="0" applyNumberFormat="1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7" xfId="0" applyNumberFormat="1" applyFont="1" applyBorder="1" applyAlignment="1">
      <alignment horizontal="left"/>
    </xf>
    <xf numFmtId="0" fontId="6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28575</xdr:colOff>
      <xdr:row>0</xdr:row>
      <xdr:rowOff>57150</xdr:rowOff>
    </xdr:from>
    <xdr:to>
      <xdr:col>31</xdr:col>
      <xdr:colOff>28575</xdr:colOff>
      <xdr:row>86</xdr:row>
      <xdr:rowOff>85725</xdr:rowOff>
    </xdr:to>
    <xdr:cxnSp macro="">
      <xdr:nvCxnSpPr>
        <xdr:cNvPr id="3" name="Straight Connector 2"/>
        <xdr:cNvCxnSpPr/>
      </xdr:nvCxnSpPr>
      <xdr:spPr>
        <a:xfrm>
          <a:off x="19250025" y="57150"/>
          <a:ext cx="0" cy="1249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0</xdr:row>
      <xdr:rowOff>9525</xdr:rowOff>
    </xdr:from>
    <xdr:to>
      <xdr:col>19</xdr:col>
      <xdr:colOff>66675</xdr:colOff>
      <xdr:row>78</xdr:row>
      <xdr:rowOff>66675</xdr:rowOff>
    </xdr:to>
    <xdr:cxnSp macro="">
      <xdr:nvCxnSpPr>
        <xdr:cNvPr id="4" name="Straight Connector 3"/>
        <xdr:cNvCxnSpPr/>
      </xdr:nvCxnSpPr>
      <xdr:spPr>
        <a:xfrm>
          <a:off x="12068175" y="9525"/>
          <a:ext cx="0" cy="12687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mhc.org/Content.aspx?id=470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workbookViewId="0">
      <selection activeCell="M3" sqref="M3"/>
    </sheetView>
  </sheetViews>
  <sheetFormatPr defaultRowHeight="12.75" x14ac:dyDescent="0.2"/>
  <cols>
    <col min="1" max="1" width="5" customWidth="1"/>
    <col min="2" max="2" width="19.7109375" customWidth="1"/>
  </cols>
  <sheetData>
    <row r="2" spans="2:13" x14ac:dyDescent="0.2">
      <c r="B2" s="14" t="s">
        <v>100</v>
      </c>
      <c r="C2" s="16" t="s">
        <v>101</v>
      </c>
      <c r="D2" s="16"/>
      <c r="E2" s="17"/>
      <c r="K2" t="s">
        <v>0</v>
      </c>
      <c r="L2" s="1">
        <v>21.37</v>
      </c>
    </row>
    <row r="3" spans="2:13" x14ac:dyDescent="0.2">
      <c r="B3" s="12" t="s">
        <v>96</v>
      </c>
      <c r="C3" s="18">
        <f>137/466</f>
        <v>0.29399141630901288</v>
      </c>
      <c r="D3" s="19"/>
      <c r="E3" s="20"/>
      <c r="G3" t="s">
        <v>79</v>
      </c>
      <c r="K3" t="s">
        <v>1</v>
      </c>
      <c r="L3" s="3">
        <v>77.147000000000006</v>
      </c>
      <c r="M3" s="2" t="s">
        <v>20</v>
      </c>
    </row>
    <row r="4" spans="2:13" x14ac:dyDescent="0.2">
      <c r="B4" s="12" t="s">
        <v>97</v>
      </c>
      <c r="C4" s="18">
        <f>146/466</f>
        <v>0.31330472103004292</v>
      </c>
      <c r="D4" s="19"/>
      <c r="E4" s="20"/>
      <c r="G4" t="s">
        <v>80</v>
      </c>
      <c r="K4" t="s">
        <v>2</v>
      </c>
      <c r="L4" s="3">
        <f>+L3*L2</f>
        <v>1648.6313900000002</v>
      </c>
    </row>
    <row r="5" spans="2:13" x14ac:dyDescent="0.2">
      <c r="B5" s="12" t="s">
        <v>98</v>
      </c>
      <c r="C5" s="18">
        <f>118/466</f>
        <v>0.25321888412017168</v>
      </c>
      <c r="D5" s="19"/>
      <c r="E5" s="20"/>
      <c r="G5" t="s">
        <v>81</v>
      </c>
      <c r="K5" t="s">
        <v>3</v>
      </c>
      <c r="L5" s="3">
        <v>143</v>
      </c>
      <c r="M5" s="2" t="s">
        <v>20</v>
      </c>
    </row>
    <row r="6" spans="2:13" x14ac:dyDescent="0.2">
      <c r="B6" s="13" t="s">
        <v>99</v>
      </c>
      <c r="C6" s="21">
        <f>46/466</f>
        <v>9.8712446351931327E-2</v>
      </c>
      <c r="D6" s="22"/>
      <c r="E6" s="23"/>
      <c r="G6" t="s">
        <v>82</v>
      </c>
      <c r="K6" t="s">
        <v>4</v>
      </c>
      <c r="L6" s="3">
        <v>124</v>
      </c>
      <c r="M6" s="2" t="s">
        <v>20</v>
      </c>
    </row>
    <row r="7" spans="2:13" x14ac:dyDescent="0.2">
      <c r="G7" t="s">
        <v>83</v>
      </c>
      <c r="K7" t="s">
        <v>5</v>
      </c>
      <c r="L7" s="3">
        <f>+L4-L5+L6</f>
        <v>1629.6313900000002</v>
      </c>
    </row>
    <row r="8" spans="2:13" x14ac:dyDescent="0.2">
      <c r="G8" t="s">
        <v>129</v>
      </c>
    </row>
    <row r="9" spans="2:13" x14ac:dyDescent="0.2">
      <c r="L9" s="1"/>
    </row>
    <row r="15" spans="2:13" x14ac:dyDescent="0.2">
      <c r="B15" t="s">
        <v>73</v>
      </c>
    </row>
    <row r="16" spans="2:13" x14ac:dyDescent="0.2">
      <c r="B16" t="s">
        <v>68</v>
      </c>
    </row>
    <row r="21" spans="2:11" x14ac:dyDescent="0.2">
      <c r="B21" s="24" t="s">
        <v>84</v>
      </c>
    </row>
    <row r="23" spans="2:11" x14ac:dyDescent="0.2">
      <c r="B23" s="9" t="s">
        <v>128</v>
      </c>
    </row>
    <row r="25" spans="2:11" x14ac:dyDescent="0.2">
      <c r="B25" s="28" t="s">
        <v>142</v>
      </c>
      <c r="C25" s="29"/>
      <c r="D25" s="30"/>
      <c r="E25" s="31"/>
    </row>
    <row r="26" spans="2:11" x14ac:dyDescent="0.2">
      <c r="B26" s="32" t="s">
        <v>143</v>
      </c>
      <c r="C26" s="33" t="s">
        <v>144</v>
      </c>
      <c r="D26" s="34"/>
      <c r="E26" s="35"/>
      <c r="J26" s="42" t="s">
        <v>200</v>
      </c>
      <c r="K26" s="43"/>
    </row>
    <row r="27" spans="2:11" x14ac:dyDescent="0.2">
      <c r="B27" s="36" t="s">
        <v>145</v>
      </c>
      <c r="C27" s="37" t="s">
        <v>146</v>
      </c>
      <c r="D27" s="38"/>
      <c r="E27" s="39"/>
      <c r="J27" s="43" t="s">
        <v>143</v>
      </c>
      <c r="K27" s="43" t="s">
        <v>201</v>
      </c>
    </row>
    <row r="28" spans="2:11" x14ac:dyDescent="0.2">
      <c r="B28" s="36" t="s">
        <v>147</v>
      </c>
      <c r="C28" s="37" t="s">
        <v>148</v>
      </c>
      <c r="D28" s="38"/>
      <c r="E28" s="39"/>
      <c r="J28" s="43" t="s">
        <v>202</v>
      </c>
      <c r="K28" s="43" t="s">
        <v>203</v>
      </c>
    </row>
    <row r="29" spans="2:11" x14ac:dyDescent="0.2">
      <c r="B29" s="36" t="s">
        <v>149</v>
      </c>
      <c r="C29" s="37" t="s">
        <v>150</v>
      </c>
      <c r="D29" s="38"/>
      <c r="E29" s="39"/>
      <c r="J29" s="43" t="s">
        <v>161</v>
      </c>
      <c r="K29" s="43" t="s">
        <v>204</v>
      </c>
    </row>
    <row r="30" spans="2:11" x14ac:dyDescent="0.2">
      <c r="B30" s="36" t="s">
        <v>151</v>
      </c>
      <c r="C30" s="37" t="s">
        <v>152</v>
      </c>
      <c r="D30" s="38"/>
      <c r="E30" s="39"/>
      <c r="J30" s="43" t="s">
        <v>153</v>
      </c>
      <c r="K30" s="43" t="s">
        <v>205</v>
      </c>
    </row>
    <row r="31" spans="2:11" x14ac:dyDescent="0.2">
      <c r="B31" s="36" t="s">
        <v>153</v>
      </c>
      <c r="C31" s="37" t="s">
        <v>154</v>
      </c>
      <c r="D31" s="38"/>
      <c r="E31" s="39"/>
      <c r="J31" s="43" t="s">
        <v>149</v>
      </c>
      <c r="K31" s="43" t="s">
        <v>206</v>
      </c>
    </row>
    <row r="32" spans="2:11" x14ac:dyDescent="0.2">
      <c r="B32" s="36" t="s">
        <v>155</v>
      </c>
      <c r="C32" s="37" t="s">
        <v>156</v>
      </c>
      <c r="D32" s="38"/>
      <c r="E32" s="39"/>
      <c r="J32" s="43" t="s">
        <v>207</v>
      </c>
      <c r="K32" s="43" t="s">
        <v>208</v>
      </c>
    </row>
    <row r="33" spans="2:5" x14ac:dyDescent="0.2">
      <c r="B33" s="36" t="s">
        <v>157</v>
      </c>
      <c r="C33" s="37" t="s">
        <v>158</v>
      </c>
      <c r="D33" s="38"/>
      <c r="E33" s="39"/>
    </row>
    <row r="34" spans="2:5" x14ac:dyDescent="0.2">
      <c r="B34" s="36" t="s">
        <v>159</v>
      </c>
      <c r="C34" s="37" t="s">
        <v>160</v>
      </c>
      <c r="D34" s="38"/>
      <c r="E34" s="39"/>
    </row>
    <row r="35" spans="2:5" x14ac:dyDescent="0.2">
      <c r="B35" s="40" t="s">
        <v>161</v>
      </c>
      <c r="C35" s="41" t="s">
        <v>162</v>
      </c>
      <c r="D35" s="30"/>
      <c r="E35" s="31"/>
    </row>
  </sheetData>
  <hyperlinks>
    <hyperlink ref="B2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78"/>
  <sheetViews>
    <sheetView workbookViewId="0">
      <pane xSplit="2" ySplit="2" topLeftCell="N26" activePane="bottomRight" state="frozen"/>
      <selection pane="topRight" activeCell="C1" sqref="C1"/>
      <selection pane="bottomLeft" activeCell="A3" sqref="A3"/>
      <selection pane="bottomRight" activeCell="S44" sqref="S44"/>
    </sheetView>
  </sheetViews>
  <sheetFormatPr defaultRowHeight="12.75" x14ac:dyDescent="0.2"/>
  <cols>
    <col min="1" max="1" width="5" bestFit="1" customWidth="1"/>
    <col min="2" max="2" width="19.5703125" bestFit="1" customWidth="1"/>
    <col min="3" max="39" width="9.140625" style="2"/>
    <col min="40" max="40" width="9" style="2" customWidth="1"/>
    <col min="41" max="41" width="9.140625" style="2"/>
  </cols>
  <sheetData>
    <row r="1" spans="1:41" x14ac:dyDescent="0.2">
      <c r="A1" s="9" t="s">
        <v>6</v>
      </c>
    </row>
    <row r="2" spans="1:41" x14ac:dyDescent="0.2">
      <c r="C2" s="2" t="s">
        <v>69</v>
      </c>
      <c r="D2" s="2" t="s">
        <v>70</v>
      </c>
      <c r="E2" s="2" t="s">
        <v>71</v>
      </c>
      <c r="F2" s="2" t="s">
        <v>72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X2" s="2">
        <v>2008</v>
      </c>
      <c r="Y2" s="2">
        <v>2009</v>
      </c>
      <c r="Z2" s="2">
        <f>+Y2+1</f>
        <v>2010</v>
      </c>
      <c r="AA2" s="2">
        <f t="shared" ref="AA2:AO2" si="0">+Z2+1</f>
        <v>2011</v>
      </c>
      <c r="AB2" s="2">
        <f t="shared" si="0"/>
        <v>2012</v>
      </c>
      <c r="AC2" s="2">
        <f t="shared" si="0"/>
        <v>2013</v>
      </c>
      <c r="AD2" s="2">
        <f t="shared" si="0"/>
        <v>2014</v>
      </c>
      <c r="AE2" s="2">
        <f t="shared" si="0"/>
        <v>2015</v>
      </c>
      <c r="AF2" s="2">
        <f t="shared" si="0"/>
        <v>2016</v>
      </c>
      <c r="AG2" s="2">
        <f t="shared" si="0"/>
        <v>2017</v>
      </c>
      <c r="AH2" s="2">
        <f t="shared" si="0"/>
        <v>2018</v>
      </c>
      <c r="AI2" s="2">
        <f t="shared" si="0"/>
        <v>2019</v>
      </c>
      <c r="AJ2" s="2">
        <f t="shared" si="0"/>
        <v>2020</v>
      </c>
      <c r="AK2" s="2">
        <f t="shared" si="0"/>
        <v>2021</v>
      </c>
      <c r="AL2" s="2">
        <f t="shared" si="0"/>
        <v>2022</v>
      </c>
      <c r="AM2" s="2">
        <f t="shared" si="0"/>
        <v>2023</v>
      </c>
      <c r="AN2" s="2">
        <f t="shared" si="0"/>
        <v>2024</v>
      </c>
      <c r="AO2" s="2">
        <f t="shared" si="0"/>
        <v>2025</v>
      </c>
    </row>
    <row r="3" spans="1:41" s="11" customFormat="1" x14ac:dyDescent="0.2">
      <c r="B3" s="11" t="s">
        <v>74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10.6</v>
      </c>
      <c r="S3" s="10"/>
      <c r="T3" s="10"/>
      <c r="U3" s="10"/>
      <c r="V3" s="10"/>
      <c r="W3" s="10"/>
      <c r="X3" s="10"/>
      <c r="Y3" s="10"/>
      <c r="Z3" s="10"/>
      <c r="AA3" s="10">
        <v>7.3019999999999996</v>
      </c>
      <c r="AB3" s="10">
        <v>8.1129999999999995</v>
      </c>
      <c r="AC3" s="10">
        <v>9.0220000000000002</v>
      </c>
      <c r="AD3" s="10">
        <v>9.56</v>
      </c>
      <c r="AE3" s="10">
        <f>+R3</f>
        <v>10.6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s="11" customFormat="1" x14ac:dyDescent="0.2">
      <c r="B4" s="11" t="s">
        <v>75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11.9</v>
      </c>
      <c r="S4" s="10"/>
      <c r="T4" s="10"/>
      <c r="U4" s="10"/>
      <c r="V4" s="10"/>
      <c r="W4" s="10"/>
      <c r="X4" s="10">
        <v>2.7</v>
      </c>
      <c r="Y4" s="10"/>
      <c r="Z4" s="10"/>
      <c r="AA4" s="10">
        <v>7.79</v>
      </c>
      <c r="AB4" s="10">
        <v>8.4659999999999993</v>
      </c>
      <c r="AC4" s="10">
        <v>8.7249999999999996</v>
      </c>
      <c r="AD4" s="10">
        <v>10.744</v>
      </c>
      <c r="AE4" s="10">
        <v>11.9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x14ac:dyDescent="0.2">
      <c r="B5" t="s">
        <v>107</v>
      </c>
      <c r="AA5" s="6">
        <f t="shared" ref="AA5:AD5" si="1">AA7/AA3</f>
        <v>35.329909613804439</v>
      </c>
      <c r="AB5" s="6">
        <f t="shared" si="1"/>
        <v>39.710587945273026</v>
      </c>
      <c r="AC5" s="6">
        <f t="shared" si="1"/>
        <v>41.789181999556639</v>
      </c>
      <c r="AD5" s="6">
        <f t="shared" si="1"/>
        <v>42.317050209205014</v>
      </c>
      <c r="AE5" s="6">
        <f>AE7/AE3</f>
        <v>44.2</v>
      </c>
    </row>
    <row r="7" spans="1:41" s="7" customFormat="1" x14ac:dyDescent="0.2">
      <c r="B7" s="7" t="s">
        <v>7</v>
      </c>
      <c r="C7" s="8"/>
      <c r="D7" s="8">
        <v>78.792000000000002</v>
      </c>
      <c r="E7" s="8">
        <v>83.239000000000004</v>
      </c>
      <c r="F7" s="8">
        <v>85.724000000000004</v>
      </c>
      <c r="G7" s="8">
        <v>88.980999999999995</v>
      </c>
      <c r="H7" s="8">
        <v>94.450999999999993</v>
      </c>
      <c r="I7" s="8">
        <v>98.070999999999998</v>
      </c>
      <c r="J7" s="8">
        <v>95.519000000000005</v>
      </c>
      <c r="K7" s="8">
        <v>100.563</v>
      </c>
      <c r="L7" s="8">
        <v>94.988</v>
      </c>
      <c r="M7" s="8">
        <v>104.536</v>
      </c>
      <c r="N7" s="8">
        <v>104.464</v>
      </c>
      <c r="O7" s="8">
        <v>110.47</v>
      </c>
      <c r="P7" s="8">
        <v>114.762</v>
      </c>
      <c r="Q7" s="8">
        <v>121.58799999999999</v>
      </c>
      <c r="R7" s="8">
        <v>121.7</v>
      </c>
      <c r="S7" s="8">
        <v>128.38300000000001</v>
      </c>
      <c r="T7" s="8">
        <f>+P7*1.25</f>
        <v>143.45249999999999</v>
      </c>
      <c r="U7" s="8">
        <f>+Q7*1.25</f>
        <v>151.98499999999999</v>
      </c>
      <c r="V7" s="8">
        <f>+R7*1.25</f>
        <v>152.125</v>
      </c>
      <c r="W7" s="8"/>
      <c r="X7" s="8"/>
      <c r="Y7" s="8"/>
      <c r="Z7" s="8"/>
      <c r="AA7" s="8">
        <v>257.97899999999998</v>
      </c>
      <c r="AB7" s="8">
        <v>322.17200000000003</v>
      </c>
      <c r="AC7" s="8">
        <v>377.02199999999999</v>
      </c>
      <c r="AD7" s="8">
        <v>404.55099999999999</v>
      </c>
      <c r="AE7" s="8">
        <v>468.52</v>
      </c>
      <c r="AF7" s="8">
        <f>SUM(S7:V7)</f>
        <v>575.94550000000004</v>
      </c>
      <c r="AG7" s="8">
        <f>+AF7*1.12</f>
        <v>645.05896000000007</v>
      </c>
      <c r="AH7" s="8">
        <f>+AG7*1.1</f>
        <v>709.56485600000019</v>
      </c>
      <c r="AI7" s="8">
        <f>+AH7*1.1</f>
        <v>780.52134160000026</v>
      </c>
      <c r="AJ7" s="8">
        <f>+AI7*1.1</f>
        <v>858.57347576000041</v>
      </c>
      <c r="AK7" s="8">
        <f>+AJ7*1.05</f>
        <v>901.50214954800049</v>
      </c>
      <c r="AL7" s="8"/>
      <c r="AM7" s="8"/>
      <c r="AN7" s="8"/>
      <c r="AO7" s="8"/>
    </row>
    <row r="8" spans="1:41" s="3" customFormat="1" x14ac:dyDescent="0.2">
      <c r="B8" s="3" t="s">
        <v>24</v>
      </c>
      <c r="C8" s="4"/>
      <c r="D8" s="4">
        <v>31.847999999999999</v>
      </c>
      <c r="E8" s="4">
        <v>32.896999999999998</v>
      </c>
      <c r="F8" s="4">
        <v>33.204000000000001</v>
      </c>
      <c r="G8" s="4">
        <v>35.363999999999997</v>
      </c>
      <c r="H8" s="4">
        <v>37.340000000000003</v>
      </c>
      <c r="I8" s="4">
        <v>38.110999999999997</v>
      </c>
      <c r="J8" s="4">
        <v>37.506</v>
      </c>
      <c r="K8" s="4">
        <v>39.927</v>
      </c>
      <c r="L8" s="4">
        <v>42.115000000000002</v>
      </c>
      <c r="M8" s="4">
        <v>46.311</v>
      </c>
      <c r="N8" s="4">
        <v>46.518000000000001</v>
      </c>
      <c r="O8" s="4">
        <v>47.723999999999997</v>
      </c>
      <c r="P8" s="4">
        <v>49.557000000000002</v>
      </c>
      <c r="Q8" s="4">
        <v>52.878999999999998</v>
      </c>
      <c r="R8" s="4">
        <v>50.817999999999998</v>
      </c>
      <c r="S8" s="4">
        <v>54.747999999999998</v>
      </c>
      <c r="T8" s="4">
        <f t="shared" ref="T8:V8" si="2">+T7-T9</f>
        <v>60.250050000000002</v>
      </c>
      <c r="U8" s="4">
        <f t="shared" si="2"/>
        <v>63.833699999999993</v>
      </c>
      <c r="V8" s="4">
        <f t="shared" si="2"/>
        <v>63.892500000000013</v>
      </c>
      <c r="W8" s="4"/>
      <c r="X8" s="4"/>
      <c r="Y8" s="4"/>
      <c r="Z8" s="4"/>
      <c r="AA8" s="4">
        <v>108.155</v>
      </c>
      <c r="AB8" s="4">
        <v>128.56200000000001</v>
      </c>
      <c r="AC8" s="4">
        <v>148.321</v>
      </c>
      <c r="AD8" s="4">
        <v>174.87100000000001</v>
      </c>
      <c r="AE8" s="4">
        <v>198.613</v>
      </c>
      <c r="AF8" s="4">
        <f>+AF7-AF9</f>
        <v>241.89711000000005</v>
      </c>
      <c r="AG8" s="4">
        <f t="shared" ref="AG8" si="3">+AG7-AG9</f>
        <v>264.47417360000003</v>
      </c>
      <c r="AH8" s="4">
        <f t="shared" ref="AH8" si="4">+AH7-AH9</f>
        <v>283.82594240000009</v>
      </c>
      <c r="AI8" s="4">
        <f t="shared" ref="AI8" si="5">+AI7-AI9</f>
        <v>304.40332322400013</v>
      </c>
      <c r="AJ8" s="4">
        <f t="shared" ref="AJ8" si="6">+AJ7-AJ9</f>
        <v>343.42939030400021</v>
      </c>
      <c r="AK8" s="4">
        <f t="shared" ref="AK8" si="7">+AK7-AK9</f>
        <v>360.6008598192002</v>
      </c>
      <c r="AL8" s="4"/>
      <c r="AM8" s="4"/>
      <c r="AN8" s="4"/>
      <c r="AO8" s="4"/>
    </row>
    <row r="9" spans="1:41" s="3" customFormat="1" x14ac:dyDescent="0.2">
      <c r="B9" s="3" t="s">
        <v>25</v>
      </c>
      <c r="C9" s="4"/>
      <c r="D9" s="4">
        <f>+D7-D8</f>
        <v>46.944000000000003</v>
      </c>
      <c r="E9" s="4">
        <f t="shared" ref="E9" si="8">+E7-E8</f>
        <v>50.342000000000006</v>
      </c>
      <c r="F9" s="4">
        <f t="shared" ref="F9" si="9">+F7-F8</f>
        <v>52.52</v>
      </c>
      <c r="G9" s="4">
        <f t="shared" ref="G9" si="10">+G7-G8</f>
        <v>53.616999999999997</v>
      </c>
      <c r="H9" s="4">
        <f>+H7-H8</f>
        <v>57.11099999999999</v>
      </c>
      <c r="I9" s="4">
        <f t="shared" ref="I9:J9" si="11">+I7-I8</f>
        <v>59.96</v>
      </c>
      <c r="J9" s="4">
        <f t="shared" si="11"/>
        <v>58.013000000000005</v>
      </c>
      <c r="K9" s="4">
        <f t="shared" ref="K9:S9" si="12">+K7-K8</f>
        <v>60.636000000000003</v>
      </c>
      <c r="L9" s="4">
        <f t="shared" si="12"/>
        <v>52.872999999999998</v>
      </c>
      <c r="M9" s="4">
        <f t="shared" si="12"/>
        <v>58.225000000000001</v>
      </c>
      <c r="N9" s="4">
        <f t="shared" si="12"/>
        <v>57.945999999999998</v>
      </c>
      <c r="O9" s="4">
        <f t="shared" si="12"/>
        <v>62.746000000000002</v>
      </c>
      <c r="P9" s="4">
        <f t="shared" si="12"/>
        <v>65.204999999999998</v>
      </c>
      <c r="Q9" s="4">
        <f t="shared" si="12"/>
        <v>68.709000000000003</v>
      </c>
      <c r="R9" s="4">
        <f t="shared" si="12"/>
        <v>70.882000000000005</v>
      </c>
      <c r="S9" s="4">
        <f t="shared" si="12"/>
        <v>73.635000000000019</v>
      </c>
      <c r="T9" s="4">
        <f t="shared" ref="T9:V9" si="13">+T7*0.58</f>
        <v>83.202449999999985</v>
      </c>
      <c r="U9" s="4">
        <f t="shared" si="13"/>
        <v>88.151299999999992</v>
      </c>
      <c r="V9" s="4">
        <f t="shared" si="13"/>
        <v>88.232499999999987</v>
      </c>
      <c r="W9" s="4"/>
      <c r="X9" s="4"/>
      <c r="Y9" s="4"/>
      <c r="Z9" s="4"/>
      <c r="AA9" s="4">
        <f>+AA7-AA8</f>
        <v>149.82399999999998</v>
      </c>
      <c r="AB9" s="4">
        <f>+AB7-AB8</f>
        <v>193.61</v>
      </c>
      <c r="AC9" s="4">
        <f>+AC7-AC8</f>
        <v>228.70099999999999</v>
      </c>
      <c r="AD9" s="4">
        <f>+AD7-AD8</f>
        <v>229.67999999999998</v>
      </c>
      <c r="AE9" s="4">
        <f>+AE7-AE8</f>
        <v>269.90699999999998</v>
      </c>
      <c r="AF9" s="4">
        <f>+AF7*0.58</f>
        <v>334.04838999999998</v>
      </c>
      <c r="AG9" s="4">
        <f>+AG7*0.59</f>
        <v>380.58478640000004</v>
      </c>
      <c r="AH9" s="4">
        <f>+AH7*0.6</f>
        <v>425.7389136000001</v>
      </c>
      <c r="AI9" s="4">
        <f>+AI7*0.61</f>
        <v>476.11801837600012</v>
      </c>
      <c r="AJ9" s="4">
        <f t="shared" ref="AJ9" si="14">+AJ7*0.6</f>
        <v>515.1440854560002</v>
      </c>
      <c r="AK9" s="4">
        <f t="shared" ref="AK9" si="15">+AK7*0.6</f>
        <v>540.90128972880029</v>
      </c>
      <c r="AL9" s="4"/>
      <c r="AM9" s="4"/>
      <c r="AN9" s="4"/>
      <c r="AO9" s="4"/>
    </row>
    <row r="10" spans="1:41" s="3" customFormat="1" x14ac:dyDescent="0.2">
      <c r="B10" s="3" t="s">
        <v>26</v>
      </c>
      <c r="C10" s="4"/>
      <c r="D10" s="4">
        <v>11.738</v>
      </c>
      <c r="E10" s="4">
        <v>12.273999999999999</v>
      </c>
      <c r="F10" s="4">
        <v>12.852</v>
      </c>
      <c r="G10" s="4">
        <v>12.038</v>
      </c>
      <c r="H10" s="4">
        <v>11.727</v>
      </c>
      <c r="I10" s="4">
        <v>13.231999999999999</v>
      </c>
      <c r="J10" s="4">
        <v>13.641</v>
      </c>
      <c r="K10" s="4">
        <v>14.840999999999999</v>
      </c>
      <c r="L10" s="4">
        <v>15.941000000000001</v>
      </c>
      <c r="M10" s="4">
        <v>17.527999999999999</v>
      </c>
      <c r="N10" s="4">
        <v>16.108000000000001</v>
      </c>
      <c r="O10" s="4">
        <v>17.977</v>
      </c>
      <c r="P10" s="4">
        <v>18.084</v>
      </c>
      <c r="Q10" s="4">
        <v>16.858000000000001</v>
      </c>
      <c r="R10" s="4">
        <v>15.88</v>
      </c>
      <c r="S10" s="4">
        <v>17.271999999999998</v>
      </c>
      <c r="T10" s="4">
        <f t="shared" ref="T10:V10" si="16">+P10</f>
        <v>18.084</v>
      </c>
      <c r="U10" s="4">
        <f t="shared" si="16"/>
        <v>16.858000000000001</v>
      </c>
      <c r="V10" s="4">
        <f t="shared" si="16"/>
        <v>15.88</v>
      </c>
      <c r="W10" s="4"/>
      <c r="X10" s="4"/>
      <c r="Y10" s="4"/>
      <c r="Z10" s="4"/>
      <c r="AA10" s="4">
        <v>43.441000000000003</v>
      </c>
      <c r="AB10" s="4">
        <v>48.177</v>
      </c>
      <c r="AC10" s="4">
        <v>50.637999999999998</v>
      </c>
      <c r="AD10" s="4">
        <v>64.418000000000006</v>
      </c>
      <c r="AE10" s="4">
        <v>68.799000000000007</v>
      </c>
      <c r="AF10" s="4">
        <f>+AE10*1.1</f>
        <v>75.678900000000013</v>
      </c>
      <c r="AG10" s="4">
        <f>+AF10*1.05</f>
        <v>79.462845000000016</v>
      </c>
      <c r="AH10" s="4">
        <f t="shared" ref="AH10" si="17">+AG10*1.05</f>
        <v>83.435987250000025</v>
      </c>
      <c r="AI10" s="4">
        <f>+AH10*0.8</f>
        <v>66.748789800000026</v>
      </c>
      <c r="AJ10" s="4">
        <f>+AI10*1.01</f>
        <v>67.41627769800003</v>
      </c>
      <c r="AK10" s="4">
        <f t="shared" ref="AK10" si="18">+AJ10*1.01</f>
        <v>68.090440474980028</v>
      </c>
      <c r="AL10" s="4"/>
      <c r="AM10" s="4"/>
      <c r="AN10" s="4"/>
      <c r="AO10" s="4"/>
    </row>
    <row r="11" spans="1:41" s="3" customFormat="1" x14ac:dyDescent="0.2">
      <c r="B11" s="3" t="s">
        <v>27</v>
      </c>
      <c r="C11" s="4"/>
      <c r="D11" s="4">
        <v>18.588000000000001</v>
      </c>
      <c r="E11" s="4">
        <v>21.792000000000002</v>
      </c>
      <c r="F11" s="4">
        <v>19.806000000000001</v>
      </c>
      <c r="G11" s="4">
        <v>22.902000000000001</v>
      </c>
      <c r="H11" s="4">
        <v>23.923999999999999</v>
      </c>
      <c r="I11" s="4">
        <v>25.166</v>
      </c>
      <c r="J11" s="4">
        <v>23.902000000000001</v>
      </c>
      <c r="K11" s="4">
        <v>25.991</v>
      </c>
      <c r="L11" s="4">
        <v>28.03</v>
      </c>
      <c r="M11" s="4">
        <v>29.949000000000002</v>
      </c>
      <c r="N11" s="4">
        <v>27.593</v>
      </c>
      <c r="O11" s="4">
        <v>28.951000000000001</v>
      </c>
      <c r="P11" s="4">
        <v>29.823</v>
      </c>
      <c r="Q11" s="4">
        <v>31.559000000000001</v>
      </c>
      <c r="R11" s="4">
        <v>30.41</v>
      </c>
      <c r="S11" s="4">
        <v>32.198999999999998</v>
      </c>
      <c r="T11" s="4">
        <f t="shared" ref="T11:V11" si="19">+P11*1.1</f>
        <v>32.805300000000003</v>
      </c>
      <c r="U11" s="4">
        <f t="shared" si="19"/>
        <v>34.714900000000007</v>
      </c>
      <c r="V11" s="4">
        <f t="shared" si="19"/>
        <v>33.451000000000001</v>
      </c>
      <c r="W11" s="4"/>
      <c r="X11" s="4"/>
      <c r="Y11" s="4"/>
      <c r="Z11" s="4"/>
      <c r="AA11" s="4">
        <v>63.774999999999999</v>
      </c>
      <c r="AB11" s="4">
        <v>76.992000000000004</v>
      </c>
      <c r="AC11" s="4">
        <v>95.894000000000005</v>
      </c>
      <c r="AD11" s="4">
        <v>111.563</v>
      </c>
      <c r="AE11" s="4">
        <v>123.108</v>
      </c>
      <c r="AF11" s="4">
        <f>+AE11*1.2</f>
        <v>147.7296</v>
      </c>
      <c r="AG11" s="4">
        <f>+AF11*1.1</f>
        <v>162.50256000000002</v>
      </c>
      <c r="AH11" s="4">
        <f t="shared" ref="AH11" si="20">+AG11*1.1</f>
        <v>178.75281600000002</v>
      </c>
      <c r="AI11" s="4">
        <f>+AH11*1.1</f>
        <v>196.62809760000005</v>
      </c>
      <c r="AJ11" s="4">
        <f>+AI11*1.05</f>
        <v>206.45950248000005</v>
      </c>
      <c r="AK11" s="4">
        <f t="shared" ref="AK11" si="21">+AJ11*1.05</f>
        <v>216.78247760400006</v>
      </c>
      <c r="AL11" s="4"/>
      <c r="AM11" s="4"/>
      <c r="AN11" s="4"/>
      <c r="AO11" s="4"/>
    </row>
    <row r="12" spans="1:41" s="3" customFormat="1" x14ac:dyDescent="0.2">
      <c r="B12" s="3" t="s">
        <v>28</v>
      </c>
      <c r="C12" s="4"/>
      <c r="D12" s="4">
        <v>19.946000000000002</v>
      </c>
      <c r="E12" s="4">
        <v>12.545</v>
      </c>
      <c r="F12" s="4">
        <v>12.199</v>
      </c>
      <c r="G12" s="4">
        <v>16.507000000000001</v>
      </c>
      <c r="H12" s="4">
        <v>12.819000000000001</v>
      </c>
      <c r="I12" s="4">
        <v>15.554</v>
      </c>
      <c r="J12" s="4">
        <v>15.73</v>
      </c>
      <c r="K12" s="4">
        <v>20.928999999999998</v>
      </c>
      <c r="L12" s="4">
        <v>16.818999999999999</v>
      </c>
      <c r="M12" s="4">
        <v>15.443</v>
      </c>
      <c r="N12" s="4">
        <v>16.010999999999999</v>
      </c>
      <c r="O12" s="4">
        <v>18.863</v>
      </c>
      <c r="P12" s="4">
        <v>20.036999999999999</v>
      </c>
      <c r="Q12" s="4">
        <v>13.423999999999999</v>
      </c>
      <c r="R12" s="4">
        <v>17.016999999999999</v>
      </c>
      <c r="S12" s="4">
        <v>18.346</v>
      </c>
      <c r="T12" s="4">
        <f t="shared" ref="T12:V12" si="22">+P12</f>
        <v>20.036999999999999</v>
      </c>
      <c r="U12" s="4">
        <f t="shared" si="22"/>
        <v>13.423999999999999</v>
      </c>
      <c r="V12" s="4">
        <f t="shared" si="22"/>
        <v>17.016999999999999</v>
      </c>
      <c r="W12" s="4"/>
      <c r="X12" s="4"/>
      <c r="Y12" s="4"/>
      <c r="Z12" s="4"/>
      <c r="AA12" s="4">
        <v>40.798000000000002</v>
      </c>
      <c r="AB12" s="4">
        <v>56.993000000000002</v>
      </c>
      <c r="AC12" s="4">
        <v>60.61</v>
      </c>
      <c r="AD12" s="4">
        <v>69.201999999999998</v>
      </c>
      <c r="AE12" s="4">
        <v>68.813999999999993</v>
      </c>
      <c r="AF12" s="4">
        <f>+AE12*1.05</f>
        <v>72.2547</v>
      </c>
      <c r="AG12" s="4">
        <f t="shared" ref="AG12" si="23">+AF12*1.05</f>
        <v>75.867435</v>
      </c>
      <c r="AH12" s="4">
        <f>+AG12*1.01</f>
        <v>76.626109350000007</v>
      </c>
      <c r="AI12" s="4">
        <v>10</v>
      </c>
      <c r="AJ12" s="4">
        <f>+AI12</f>
        <v>10</v>
      </c>
      <c r="AK12" s="4">
        <f t="shared" ref="AK12" si="24">+AJ12</f>
        <v>10</v>
      </c>
      <c r="AL12" s="4"/>
      <c r="AM12" s="4"/>
      <c r="AN12" s="4"/>
      <c r="AO12" s="4"/>
    </row>
    <row r="13" spans="1:41" s="3" customFormat="1" x14ac:dyDescent="0.2">
      <c r="B13" s="3" t="s">
        <v>29</v>
      </c>
      <c r="C13" s="4"/>
      <c r="D13" s="4">
        <f>SUM(D10:D12)</f>
        <v>50.272000000000006</v>
      </c>
      <c r="E13" s="4">
        <f t="shared" ref="E13" si="25">SUM(E10:E12)</f>
        <v>46.611000000000004</v>
      </c>
      <c r="F13" s="4">
        <f t="shared" ref="F13" si="26">SUM(F10:F12)</f>
        <v>44.856999999999999</v>
      </c>
      <c r="G13" s="4">
        <f t="shared" ref="G13" si="27">SUM(G10:G12)</f>
        <v>51.447000000000003</v>
      </c>
      <c r="H13" s="4">
        <f>SUM(H10:H12)</f>
        <v>48.47</v>
      </c>
      <c r="I13" s="4">
        <f t="shared" ref="I13:J13" si="28">SUM(I10:I12)</f>
        <v>53.951999999999998</v>
      </c>
      <c r="J13" s="4">
        <f t="shared" si="28"/>
        <v>53.272999999999996</v>
      </c>
      <c r="K13" s="4">
        <f t="shared" ref="K13:R13" si="29">SUM(K10:K12)</f>
        <v>61.760999999999996</v>
      </c>
      <c r="L13" s="4">
        <f t="shared" si="29"/>
        <v>60.790000000000006</v>
      </c>
      <c r="M13" s="4">
        <f t="shared" si="29"/>
        <v>62.92</v>
      </c>
      <c r="N13" s="4">
        <f t="shared" si="29"/>
        <v>59.712000000000003</v>
      </c>
      <c r="O13" s="4">
        <f t="shared" si="29"/>
        <v>65.790999999999997</v>
      </c>
      <c r="P13" s="4">
        <f t="shared" si="29"/>
        <v>67.943999999999988</v>
      </c>
      <c r="Q13" s="4">
        <f t="shared" si="29"/>
        <v>61.841000000000001</v>
      </c>
      <c r="R13" s="4">
        <f t="shared" si="29"/>
        <v>63.307000000000002</v>
      </c>
      <c r="S13" s="4">
        <f t="shared" ref="S13:V13" si="30">SUM(S10:S12)</f>
        <v>67.816999999999993</v>
      </c>
      <c r="T13" s="4">
        <f t="shared" si="30"/>
        <v>70.926299999999998</v>
      </c>
      <c r="U13" s="4">
        <f t="shared" si="30"/>
        <v>64.996900000000011</v>
      </c>
      <c r="V13" s="4">
        <f t="shared" si="30"/>
        <v>66.347999999999999</v>
      </c>
      <c r="W13" s="4"/>
      <c r="X13" s="4"/>
      <c r="Y13" s="4"/>
      <c r="Z13" s="4"/>
      <c r="AA13" s="4">
        <f>SUM(AA10:AA12)</f>
        <v>148.01400000000001</v>
      </c>
      <c r="AB13" s="4">
        <f>SUM(AB10:AB12)</f>
        <v>182.16200000000001</v>
      </c>
      <c r="AC13" s="4">
        <f>SUM(AC10:AC12)</f>
        <v>207.142</v>
      </c>
      <c r="AD13" s="4">
        <f>SUM(AD10:AD12)</f>
        <v>245.18299999999999</v>
      </c>
      <c r="AE13" s="4">
        <f>SUM(AE10:AE12)</f>
        <v>260.721</v>
      </c>
      <c r="AF13" s="4">
        <f t="shared" ref="AF13" si="31">SUM(AF10:AF12)</f>
        <v>295.66320000000002</v>
      </c>
      <c r="AG13" s="4">
        <f t="shared" ref="AG13" si="32">SUM(AG10:AG12)</f>
        <v>317.83284000000003</v>
      </c>
      <c r="AH13" s="4">
        <f t="shared" ref="AH13" si="33">SUM(AH10:AH12)</f>
        <v>338.81491260000007</v>
      </c>
      <c r="AI13" s="4">
        <f t="shared" ref="AI13" si="34">SUM(AI10:AI12)</f>
        <v>273.3768874000001</v>
      </c>
      <c r="AJ13" s="4">
        <f t="shared" ref="AJ13" si="35">SUM(AJ10:AJ12)</f>
        <v>283.87578017800007</v>
      </c>
      <c r="AK13" s="4">
        <f t="shared" ref="AK13" si="36">SUM(AK10:AK12)</f>
        <v>294.87291807898009</v>
      </c>
      <c r="AL13" s="4"/>
      <c r="AM13" s="4"/>
      <c r="AN13" s="4"/>
      <c r="AO13" s="4"/>
    </row>
    <row r="14" spans="1:41" s="3" customFormat="1" x14ac:dyDescent="0.2">
      <c r="B14" s="3" t="s">
        <v>30</v>
      </c>
      <c r="C14" s="4"/>
      <c r="D14" s="4">
        <f>D9-D13</f>
        <v>-3.328000000000003</v>
      </c>
      <c r="E14" s="4">
        <f t="shared" ref="E14" si="37">E9-E13</f>
        <v>3.7310000000000016</v>
      </c>
      <c r="F14" s="4">
        <f t="shared" ref="F14" si="38">F9-F13</f>
        <v>7.6630000000000038</v>
      </c>
      <c r="G14" s="4">
        <f t="shared" ref="G14" si="39">G9-G13</f>
        <v>2.1699999999999946</v>
      </c>
      <c r="H14" s="4">
        <f>H9-H13</f>
        <v>8.6409999999999911</v>
      </c>
      <c r="I14" s="4">
        <f t="shared" ref="I14:J14" si="40">I9-I13</f>
        <v>6.0080000000000027</v>
      </c>
      <c r="J14" s="4">
        <f t="shared" si="40"/>
        <v>4.7400000000000091</v>
      </c>
      <c r="K14" s="4">
        <f t="shared" ref="K14:R14" si="41">K9-K13</f>
        <v>-1.1249999999999929</v>
      </c>
      <c r="L14" s="4">
        <f t="shared" si="41"/>
        <v>-7.9170000000000087</v>
      </c>
      <c r="M14" s="4">
        <f t="shared" si="41"/>
        <v>-4.6950000000000003</v>
      </c>
      <c r="N14" s="4">
        <f t="shared" si="41"/>
        <v>-1.7660000000000053</v>
      </c>
      <c r="O14" s="4">
        <f t="shared" si="41"/>
        <v>-3.0449999999999946</v>
      </c>
      <c r="P14" s="4">
        <f t="shared" si="41"/>
        <v>-2.7389999999999901</v>
      </c>
      <c r="Q14" s="4">
        <f t="shared" si="41"/>
        <v>6.8680000000000021</v>
      </c>
      <c r="R14" s="4">
        <f t="shared" si="41"/>
        <v>7.5750000000000028</v>
      </c>
      <c r="S14" s="4">
        <f>S9-S13</f>
        <v>5.8180000000000263</v>
      </c>
      <c r="T14" s="4">
        <f t="shared" ref="T14:V14" si="42">T9-T13</f>
        <v>12.276149999999987</v>
      </c>
      <c r="U14" s="4">
        <f t="shared" si="42"/>
        <v>23.154399999999981</v>
      </c>
      <c r="V14" s="4">
        <f t="shared" si="42"/>
        <v>21.884499999999989</v>
      </c>
      <c r="W14" s="4"/>
      <c r="X14" s="4"/>
      <c r="Y14" s="4"/>
      <c r="Z14" s="4"/>
      <c r="AA14" s="4">
        <f>AA9-AA13</f>
        <v>1.8099999999999739</v>
      </c>
      <c r="AB14" s="4">
        <f>AB9-AB13</f>
        <v>11.448000000000008</v>
      </c>
      <c r="AC14" s="4">
        <f>AC9-AC13</f>
        <v>21.558999999999997</v>
      </c>
      <c r="AD14" s="4">
        <f>AD9-AD13</f>
        <v>-15.503000000000014</v>
      </c>
      <c r="AE14" s="4">
        <f>AE9-AE13</f>
        <v>9.1859999999999786</v>
      </c>
      <c r="AF14" s="4">
        <f t="shared" ref="AF14" si="43">AF9-AF13</f>
        <v>38.385189999999966</v>
      </c>
      <c r="AG14" s="4">
        <f t="shared" ref="AG14" si="44">AG9-AG13</f>
        <v>62.751946400000008</v>
      </c>
      <c r="AH14" s="4">
        <f t="shared" ref="AH14" si="45">AH9-AH13</f>
        <v>86.924001000000032</v>
      </c>
      <c r="AI14" s="4">
        <f t="shared" ref="AI14" si="46">AI9-AI13</f>
        <v>202.74113097600002</v>
      </c>
      <c r="AJ14" s="4">
        <f t="shared" ref="AJ14" si="47">AJ9-AJ13</f>
        <v>231.26830527800013</v>
      </c>
      <c r="AK14" s="4">
        <f t="shared" ref="AK14" si="48">AK9-AK13</f>
        <v>246.0283716498202</v>
      </c>
      <c r="AL14" s="4"/>
      <c r="AM14" s="4"/>
      <c r="AN14" s="4"/>
      <c r="AO14" s="4"/>
    </row>
    <row r="15" spans="1:41" s="3" customFormat="1" x14ac:dyDescent="0.2">
      <c r="B15" s="3" t="s">
        <v>34</v>
      </c>
      <c r="C15" s="4"/>
      <c r="D15" s="4">
        <v>-0.57699999999999996</v>
      </c>
      <c r="E15" s="4">
        <v>-0.40699999999999997</v>
      </c>
      <c r="F15" s="4">
        <v>-0.42599999999999999</v>
      </c>
      <c r="G15" s="4">
        <v>-8.8999999999999996E-2</v>
      </c>
      <c r="H15" s="4">
        <v>-0.59599999999999997</v>
      </c>
      <c r="I15" s="4">
        <v>-0.23599999999999999</v>
      </c>
      <c r="J15" s="4">
        <v>-0.156</v>
      </c>
      <c r="K15" s="4">
        <v>-0.222</v>
      </c>
      <c r="L15" s="4">
        <v>-0.20399999999999999</v>
      </c>
      <c r="M15" s="4">
        <v>-0.34499999999999997</v>
      </c>
      <c r="N15" s="4">
        <v>-0.33300000000000002</v>
      </c>
      <c r="O15" s="4">
        <v>-0.26700000000000002</v>
      </c>
      <c r="P15" s="4">
        <v>-0.39</v>
      </c>
      <c r="Q15" s="4">
        <v>-0.39100000000000001</v>
      </c>
      <c r="R15" s="4">
        <v>-0.40100000000000002</v>
      </c>
      <c r="S15" s="4">
        <v>-0.70799999999999996</v>
      </c>
      <c r="T15" s="4">
        <v>-0.40100000000000002</v>
      </c>
      <c r="U15" s="4">
        <v>-0.40100000000000002</v>
      </c>
      <c r="V15" s="4">
        <v>-0.40100000000000002</v>
      </c>
      <c r="W15" s="4"/>
      <c r="X15" s="4"/>
      <c r="Y15" s="4"/>
      <c r="Z15" s="4"/>
      <c r="AA15" s="4">
        <v>-3.2509999999999999</v>
      </c>
      <c r="AB15" s="4">
        <v>-2.0459999999999998</v>
      </c>
      <c r="AC15" s="4">
        <v>-1.077</v>
      </c>
      <c r="AD15" s="4">
        <v>-1.1040000000000001</v>
      </c>
      <c r="AE15" s="4">
        <v>-1.4490000000000001</v>
      </c>
      <c r="AF15" s="4">
        <v>-1</v>
      </c>
      <c r="AG15" s="4">
        <f>+AF28*$AN$21</f>
        <v>2.7413416249999987</v>
      </c>
      <c r="AH15" s="4">
        <f t="shared" ref="AH15:AK15" si="49">+AG28*$AN$21</f>
        <v>5.1973399259374986</v>
      </c>
      <c r="AI15" s="4">
        <f t="shared" si="49"/>
        <v>8.6518902106601558</v>
      </c>
      <c r="AJ15" s="4">
        <f t="shared" si="49"/>
        <v>16.579128505159911</v>
      </c>
      <c r="AK15" s="4">
        <f t="shared" si="49"/>
        <v>25.873407272028416</v>
      </c>
      <c r="AL15" s="4"/>
      <c r="AM15" s="4"/>
      <c r="AN15" s="4"/>
      <c r="AO15" s="4"/>
    </row>
    <row r="16" spans="1:41" s="3" customFormat="1" x14ac:dyDescent="0.2">
      <c r="B16" s="3" t="s">
        <v>33</v>
      </c>
      <c r="C16" s="4"/>
      <c r="D16" s="4">
        <f>+D14+D15</f>
        <v>-3.9050000000000029</v>
      </c>
      <c r="E16" s="4">
        <f t="shared" ref="E16" si="50">+E14+E15</f>
        <v>3.3240000000000016</v>
      </c>
      <c r="F16" s="4">
        <f t="shared" ref="F16" si="51">+F14+F15</f>
        <v>7.2370000000000037</v>
      </c>
      <c r="G16" s="4">
        <f t="shared" ref="G16" si="52">+G14+G15</f>
        <v>2.0809999999999946</v>
      </c>
      <c r="H16" s="4">
        <f>+H14+H15</f>
        <v>8.044999999999991</v>
      </c>
      <c r="I16" s="4">
        <f t="shared" ref="I16:J16" si="53">+I14+I15</f>
        <v>5.7720000000000029</v>
      </c>
      <c r="J16" s="4">
        <f t="shared" si="53"/>
        <v>4.5840000000000094</v>
      </c>
      <c r="K16" s="4">
        <f t="shared" ref="K16:R16" si="54">+K14+K15</f>
        <v>-1.3469999999999929</v>
      </c>
      <c r="L16" s="4">
        <f t="shared" si="54"/>
        <v>-8.1210000000000093</v>
      </c>
      <c r="M16" s="4">
        <f t="shared" si="54"/>
        <v>-5.04</v>
      </c>
      <c r="N16" s="4">
        <f t="shared" si="54"/>
        <v>-2.0990000000000055</v>
      </c>
      <c r="O16" s="4">
        <f t="shared" si="54"/>
        <v>-3.3119999999999945</v>
      </c>
      <c r="P16" s="4">
        <f t="shared" si="54"/>
        <v>-3.1289999999999902</v>
      </c>
      <c r="Q16" s="4">
        <f t="shared" si="54"/>
        <v>6.4770000000000021</v>
      </c>
      <c r="R16" s="4">
        <f t="shared" si="54"/>
        <v>7.174000000000003</v>
      </c>
      <c r="S16" s="4">
        <f t="shared" ref="S16:V16" si="55">+S14+S15</f>
        <v>5.1100000000000261</v>
      </c>
      <c r="T16" s="4">
        <f t="shared" si="55"/>
        <v>11.875149999999987</v>
      </c>
      <c r="U16" s="4">
        <f t="shared" si="55"/>
        <v>22.753399999999981</v>
      </c>
      <c r="V16" s="4">
        <f t="shared" si="55"/>
        <v>21.483499999999989</v>
      </c>
      <c r="W16" s="4"/>
      <c r="X16" s="4"/>
      <c r="Y16" s="4"/>
      <c r="Z16" s="4"/>
      <c r="AA16" s="4">
        <f>+AA14+AA15</f>
        <v>-1.441000000000026</v>
      </c>
      <c r="AB16" s="4">
        <f>+AB14+AB15</f>
        <v>9.4020000000000081</v>
      </c>
      <c r="AC16" s="4">
        <f>+AC14+AC15</f>
        <v>20.481999999999999</v>
      </c>
      <c r="AD16" s="4">
        <f>+AD14+AD15</f>
        <v>-16.607000000000014</v>
      </c>
      <c r="AE16" s="4">
        <f>+AE14+AE15</f>
        <v>7.7369999999999788</v>
      </c>
      <c r="AF16" s="4">
        <f t="shared" ref="AF16" si="56">+AF14+AF15</f>
        <v>37.385189999999966</v>
      </c>
      <c r="AG16" s="4">
        <f t="shared" ref="AG16" si="57">+AG14+AG15</f>
        <v>65.493288025000012</v>
      </c>
      <c r="AH16" s="4">
        <f t="shared" ref="AH16" si="58">+AH14+AH15</f>
        <v>92.121340925937531</v>
      </c>
      <c r="AI16" s="4">
        <f t="shared" ref="AI16" si="59">+AI14+AI15</f>
        <v>211.39302118666018</v>
      </c>
      <c r="AJ16" s="4">
        <f t="shared" ref="AJ16" si="60">+AJ14+AJ15</f>
        <v>247.84743378316003</v>
      </c>
      <c r="AK16" s="4">
        <f t="shared" ref="AK16" si="61">+AK14+AK15</f>
        <v>271.90177892184863</v>
      </c>
      <c r="AL16" s="4"/>
      <c r="AM16" s="4"/>
      <c r="AN16" s="4"/>
      <c r="AO16" s="4"/>
    </row>
    <row r="17" spans="1:98" s="3" customFormat="1" x14ac:dyDescent="0.2">
      <c r="B17" s="3" t="s">
        <v>32</v>
      </c>
      <c r="C17" s="4"/>
      <c r="D17" s="4">
        <v>-1.5329999999999999</v>
      </c>
      <c r="E17" s="4">
        <v>1.2110000000000001</v>
      </c>
      <c r="F17" s="4">
        <v>3.5150000000000001</v>
      </c>
      <c r="G17" s="4">
        <v>1.0629999999999999</v>
      </c>
      <c r="H17" s="4">
        <v>3.4350000000000001</v>
      </c>
      <c r="I17" s="4">
        <v>-7.1139999999999999</v>
      </c>
      <c r="J17" s="4">
        <v>2.4060000000000001</v>
      </c>
      <c r="K17" s="4">
        <v>-0.51100000000000001</v>
      </c>
      <c r="L17" s="4">
        <v>-1.83</v>
      </c>
      <c r="M17" s="4">
        <v>-1.7829999999999999</v>
      </c>
      <c r="N17" s="4">
        <v>-2.2090000000000001</v>
      </c>
      <c r="O17" s="4">
        <v>-1.704</v>
      </c>
      <c r="P17" s="4">
        <v>0.189</v>
      </c>
      <c r="Q17" s="4">
        <v>-5.6050000000000004</v>
      </c>
      <c r="R17" s="4">
        <v>3.274</v>
      </c>
      <c r="S17" s="4">
        <v>2.1139999999999999</v>
      </c>
      <c r="T17" s="4">
        <f t="shared" ref="T17:V17" si="62">+T16*0.35</f>
        <v>4.1563024999999953</v>
      </c>
      <c r="U17" s="4">
        <f t="shared" si="62"/>
        <v>7.9636899999999926</v>
      </c>
      <c r="V17" s="4">
        <f t="shared" si="62"/>
        <v>7.5192249999999952</v>
      </c>
      <c r="W17" s="4"/>
      <c r="X17" s="4"/>
      <c r="Y17" s="4"/>
      <c r="Z17" s="4"/>
      <c r="AA17" s="4">
        <v>-0.21</v>
      </c>
      <c r="AB17" s="4">
        <v>4.2190000000000003</v>
      </c>
      <c r="AC17" s="4">
        <v>-0.21</v>
      </c>
      <c r="AD17" s="4">
        <v>-6.3330000000000002</v>
      </c>
      <c r="AE17" s="4">
        <v>-3.8460000000000001</v>
      </c>
      <c r="AF17" s="4">
        <f>+AF16*$AN$26</f>
        <v>9.3462974999999915</v>
      </c>
      <c r="AG17" s="4">
        <f t="shared" ref="AG17:AK17" si="63">+AG16*$AN$26</f>
        <v>16.373322006250003</v>
      </c>
      <c r="AH17" s="4">
        <f t="shared" si="63"/>
        <v>23.030335231484383</v>
      </c>
      <c r="AI17" s="4">
        <f t="shared" si="63"/>
        <v>52.848255296665045</v>
      </c>
      <c r="AJ17" s="4">
        <f t="shared" si="63"/>
        <v>61.961858445790007</v>
      </c>
      <c r="AK17" s="4">
        <f t="shared" si="63"/>
        <v>67.975444730462158</v>
      </c>
      <c r="AL17" s="4"/>
      <c r="AM17" s="4"/>
      <c r="AN17" s="4"/>
      <c r="AO17" s="4"/>
    </row>
    <row r="18" spans="1:98" s="3" customFormat="1" x14ac:dyDescent="0.2">
      <c r="B18" s="3" t="s">
        <v>31</v>
      </c>
      <c r="C18" s="4"/>
      <c r="D18" s="4">
        <f>+D16-D17</f>
        <v>-2.372000000000003</v>
      </c>
      <c r="E18" s="4">
        <f t="shared" ref="E18" si="64">+E16-E17</f>
        <v>2.1130000000000013</v>
      </c>
      <c r="F18" s="4">
        <f t="shared" ref="F18" si="65">+F16-F17</f>
        <v>3.7220000000000035</v>
      </c>
      <c r="G18" s="4">
        <f t="shared" ref="G18" si="66">+G16-G17</f>
        <v>1.0179999999999947</v>
      </c>
      <c r="H18" s="4">
        <f>+H16-H17</f>
        <v>4.6099999999999905</v>
      </c>
      <c r="I18" s="4">
        <f t="shared" ref="I18:J18" si="67">+I16-I17</f>
        <v>12.886000000000003</v>
      </c>
      <c r="J18" s="4">
        <f t="shared" si="67"/>
        <v>2.1780000000000093</v>
      </c>
      <c r="K18" s="4">
        <f t="shared" ref="K18:R18" si="68">+K16-K17</f>
        <v>-0.83599999999999286</v>
      </c>
      <c r="L18" s="4">
        <f t="shared" si="68"/>
        <v>-6.2910000000000093</v>
      </c>
      <c r="M18" s="4">
        <f t="shared" si="68"/>
        <v>-3.2570000000000001</v>
      </c>
      <c r="N18" s="4">
        <f t="shared" si="68"/>
        <v>0.10999999999999455</v>
      </c>
      <c r="O18" s="4">
        <f t="shared" si="68"/>
        <v>-1.6079999999999945</v>
      </c>
      <c r="P18" s="4">
        <f t="shared" si="68"/>
        <v>-3.3179999999999903</v>
      </c>
      <c r="Q18" s="4">
        <f t="shared" si="68"/>
        <v>12.082000000000003</v>
      </c>
      <c r="R18" s="4">
        <f t="shared" si="68"/>
        <v>3.900000000000003</v>
      </c>
      <c r="S18" s="4">
        <f t="shared" ref="S18:V18" si="69">+S16-S17</f>
        <v>2.9960000000000262</v>
      </c>
      <c r="T18" s="4">
        <f t="shared" si="69"/>
        <v>7.7188474999999919</v>
      </c>
      <c r="U18" s="4">
        <f t="shared" si="69"/>
        <v>14.789709999999989</v>
      </c>
      <c r="V18" s="4">
        <f t="shared" si="69"/>
        <v>13.964274999999994</v>
      </c>
      <c r="W18" s="4"/>
      <c r="X18" s="4"/>
      <c r="Y18" s="4"/>
      <c r="Z18" s="4"/>
      <c r="AA18" s="4">
        <f>+AA16-AA17</f>
        <v>-1.2310000000000261</v>
      </c>
      <c r="AB18" s="4">
        <f>+AB16-AB17</f>
        <v>5.1830000000000078</v>
      </c>
      <c r="AC18" s="4">
        <f>+AC16-AC17</f>
        <v>20.692</v>
      </c>
      <c r="AD18" s="4">
        <f>+AD16-AD17</f>
        <v>-10.274000000000013</v>
      </c>
      <c r="AE18" s="4">
        <f>+AE16-AE17</f>
        <v>11.582999999999979</v>
      </c>
      <c r="AF18" s="4">
        <f t="shared" ref="AF18" si="70">+AF16-AF17</f>
        <v>28.038892499999974</v>
      </c>
      <c r="AG18" s="4">
        <f>+AG16-AG17</f>
        <v>49.119966018750006</v>
      </c>
      <c r="AH18" s="4">
        <f t="shared" ref="AH18" si="71">+AH16-AH17</f>
        <v>69.091005694453145</v>
      </c>
      <c r="AI18" s="4">
        <f t="shared" ref="AI18" si="72">+AI16-AI17</f>
        <v>158.54476588999512</v>
      </c>
      <c r="AJ18" s="4">
        <f t="shared" ref="AJ18" si="73">+AJ16-AJ17</f>
        <v>185.88557533737003</v>
      </c>
      <c r="AK18" s="4">
        <f t="shared" ref="AK18" si="74">+AK16-AK17</f>
        <v>203.92633419138647</v>
      </c>
      <c r="AL18" s="4">
        <f>+AK18*(1+$AN$23)</f>
        <v>204.94596586234337</v>
      </c>
      <c r="AM18" s="4">
        <f t="shared" ref="AM18:CT18" si="75">+AL18*(1+$AN$23)</f>
        <v>205.97069569165507</v>
      </c>
      <c r="AN18" s="4">
        <f t="shared" si="75"/>
        <v>207.00054917011332</v>
      </c>
      <c r="AO18" s="4">
        <f t="shared" si="75"/>
        <v>208.03555191596385</v>
      </c>
      <c r="AP18" s="4">
        <f t="shared" si="75"/>
        <v>209.07572967554364</v>
      </c>
      <c r="AQ18" s="4">
        <f t="shared" si="75"/>
        <v>210.12110832392133</v>
      </c>
      <c r="AR18" s="4">
        <f t="shared" si="75"/>
        <v>211.17171386554091</v>
      </c>
      <c r="AS18" s="4">
        <f t="shared" si="75"/>
        <v>212.22757243486859</v>
      </c>
      <c r="AT18" s="4">
        <f t="shared" si="75"/>
        <v>213.28871029704291</v>
      </c>
      <c r="AU18" s="4">
        <f t="shared" si="75"/>
        <v>214.35515384852809</v>
      </c>
      <c r="AV18" s="4">
        <f t="shared" si="75"/>
        <v>215.4269296177707</v>
      </c>
      <c r="AW18" s="4">
        <f t="shared" si="75"/>
        <v>216.50406426585954</v>
      </c>
      <c r="AX18" s="4">
        <f t="shared" si="75"/>
        <v>217.58658458718881</v>
      </c>
      <c r="AY18" s="4">
        <f t="shared" si="75"/>
        <v>218.67451751012473</v>
      </c>
      <c r="AZ18" s="4">
        <f t="shared" si="75"/>
        <v>219.76789009767532</v>
      </c>
      <c r="BA18" s="4">
        <f t="shared" si="75"/>
        <v>220.86672954816368</v>
      </c>
      <c r="BB18" s="4">
        <f t="shared" si="75"/>
        <v>221.97106319590446</v>
      </c>
      <c r="BC18" s="4">
        <f t="shared" si="75"/>
        <v>223.08091851188397</v>
      </c>
      <c r="BD18" s="4">
        <f t="shared" si="75"/>
        <v>224.19632310444337</v>
      </c>
      <c r="BE18" s="4">
        <f t="shared" si="75"/>
        <v>225.31730471996556</v>
      </c>
      <c r="BF18" s="4">
        <f t="shared" si="75"/>
        <v>226.44389124356536</v>
      </c>
      <c r="BG18" s="4">
        <f t="shared" si="75"/>
        <v>227.57611069978316</v>
      </c>
      <c r="BH18" s="4">
        <f t="shared" si="75"/>
        <v>228.71399125328205</v>
      </c>
      <c r="BI18" s="4">
        <f t="shared" si="75"/>
        <v>229.85756120954844</v>
      </c>
      <c r="BJ18" s="4">
        <f t="shared" si="75"/>
        <v>231.00684901559615</v>
      </c>
      <c r="BK18" s="4">
        <f t="shared" si="75"/>
        <v>232.1618832606741</v>
      </c>
      <c r="BL18" s="4">
        <f t="shared" si="75"/>
        <v>233.32269267697745</v>
      </c>
      <c r="BM18" s="4">
        <f t="shared" si="75"/>
        <v>234.48930614036232</v>
      </c>
      <c r="BN18" s="4">
        <f t="shared" si="75"/>
        <v>235.66175267106411</v>
      </c>
      <c r="BO18" s="4">
        <f t="shared" si="75"/>
        <v>236.8400614344194</v>
      </c>
      <c r="BP18" s="4">
        <f t="shared" si="75"/>
        <v>238.02426174159146</v>
      </c>
      <c r="BQ18" s="4">
        <f t="shared" si="75"/>
        <v>239.2143830502994</v>
      </c>
      <c r="BR18" s="4">
        <f t="shared" si="75"/>
        <v>240.41045496555088</v>
      </c>
      <c r="BS18" s="4">
        <f t="shared" si="75"/>
        <v>241.61250724037862</v>
      </c>
      <c r="BT18" s="4">
        <f t="shared" si="75"/>
        <v>242.8205697765805</v>
      </c>
      <c r="BU18" s="4">
        <f t="shared" si="75"/>
        <v>244.03467262546337</v>
      </c>
      <c r="BV18" s="4">
        <f t="shared" si="75"/>
        <v>245.25484598859066</v>
      </c>
      <c r="BW18" s="4">
        <f t="shared" si="75"/>
        <v>246.48112021853359</v>
      </c>
      <c r="BX18" s="4">
        <f t="shared" si="75"/>
        <v>247.71352581962623</v>
      </c>
      <c r="BY18" s="4">
        <f t="shared" si="75"/>
        <v>248.95209344872433</v>
      </c>
      <c r="BZ18" s="4">
        <f t="shared" si="75"/>
        <v>250.19685391596792</v>
      </c>
      <c r="CA18" s="4">
        <f t="shared" si="75"/>
        <v>251.44783818554774</v>
      </c>
      <c r="CB18" s="4">
        <f t="shared" si="75"/>
        <v>252.70507737647546</v>
      </c>
      <c r="CC18" s="4">
        <f t="shared" si="75"/>
        <v>253.96860276335781</v>
      </c>
      <c r="CD18" s="4">
        <f t="shared" si="75"/>
        <v>255.23844577717458</v>
      </c>
      <c r="CE18" s="4">
        <f t="shared" si="75"/>
        <v>256.51463800606041</v>
      </c>
      <c r="CF18" s="4">
        <f t="shared" si="75"/>
        <v>257.7972111960907</v>
      </c>
      <c r="CG18" s="4">
        <f t="shared" si="75"/>
        <v>259.08619725207114</v>
      </c>
      <c r="CH18" s="4">
        <f t="shared" si="75"/>
        <v>260.38162823833147</v>
      </c>
      <c r="CI18" s="4">
        <f t="shared" si="75"/>
        <v>261.6835363795231</v>
      </c>
      <c r="CJ18" s="4">
        <f t="shared" si="75"/>
        <v>262.9919540614207</v>
      </c>
      <c r="CK18" s="4">
        <f t="shared" si="75"/>
        <v>264.3069138317278</v>
      </c>
      <c r="CL18" s="4">
        <f t="shared" si="75"/>
        <v>265.62844840088638</v>
      </c>
      <c r="CM18" s="4">
        <f t="shared" si="75"/>
        <v>266.95659064289077</v>
      </c>
      <c r="CN18" s="4">
        <f t="shared" si="75"/>
        <v>268.29137359610519</v>
      </c>
      <c r="CO18" s="4">
        <f t="shared" si="75"/>
        <v>269.63283046408571</v>
      </c>
      <c r="CP18" s="4">
        <f t="shared" si="75"/>
        <v>270.98099461640612</v>
      </c>
      <c r="CQ18" s="4">
        <f t="shared" si="75"/>
        <v>272.33589958948812</v>
      </c>
      <c r="CR18" s="4">
        <f t="shared" si="75"/>
        <v>273.69757908743554</v>
      </c>
      <c r="CS18" s="4">
        <f t="shared" si="75"/>
        <v>275.06606698287271</v>
      </c>
      <c r="CT18" s="4">
        <f t="shared" si="75"/>
        <v>276.44139731778705</v>
      </c>
    </row>
    <row r="19" spans="1:98" s="1" customFormat="1" x14ac:dyDescent="0.2">
      <c r="B19" s="1" t="s">
        <v>35</v>
      </c>
      <c r="C19" s="6"/>
      <c r="D19" s="6">
        <f>D18/D20</f>
        <v>-3.3360524317178182E-2</v>
      </c>
      <c r="E19" s="6">
        <f t="shared" ref="E19" si="76">E18/E20</f>
        <v>2.8445653051883381E-2</v>
      </c>
      <c r="F19" s="6">
        <f t="shared" ref="F19" si="77">F18/F20</f>
        <v>4.9653148345784472E-2</v>
      </c>
      <c r="G19" s="6">
        <f t="shared" ref="G19" si="78">G18/G20</f>
        <v>1.3491663795159895E-2</v>
      </c>
      <c r="H19" s="6">
        <f>H18/H20</f>
        <v>6.0833190377535137E-2</v>
      </c>
      <c r="I19" s="6">
        <f t="shared" ref="I19:J19" si="79">I18/I20</f>
        <v>0.16878200846136723</v>
      </c>
      <c r="J19" s="6">
        <f t="shared" si="79"/>
        <v>2.824609638429228E-2</v>
      </c>
      <c r="K19" s="6">
        <f t="shared" ref="K19:R19" si="80">K18/K20</f>
        <v>-1.0896483407627446E-2</v>
      </c>
      <c r="L19" s="6">
        <f t="shared" si="80"/>
        <v>-8.1402119482939447E-2</v>
      </c>
      <c r="M19" s="6">
        <f t="shared" si="80"/>
        <v>-4.214544513457557E-2</v>
      </c>
      <c r="N19" s="6">
        <f t="shared" si="80"/>
        <v>1.4181654096563469E-3</v>
      </c>
      <c r="O19" s="6">
        <f t="shared" si="80"/>
        <v>-2.0895056915640035E-2</v>
      </c>
      <c r="P19" s="6">
        <f t="shared" si="80"/>
        <v>-4.3203687548014819E-2</v>
      </c>
      <c r="Q19" s="6">
        <f t="shared" si="80"/>
        <v>0.15780262264249523</v>
      </c>
      <c r="R19" s="6">
        <f t="shared" si="80"/>
        <v>5.0613198364804393E-2</v>
      </c>
      <c r="S19" s="6">
        <f t="shared" ref="S19:V19" si="81">S18/S20</f>
        <v>3.8834951456311016E-2</v>
      </c>
      <c r="T19" s="6">
        <f t="shared" si="81"/>
        <v>0.10005376100172386</v>
      </c>
      <c r="U19" s="6">
        <f t="shared" si="81"/>
        <v>0.1917081675243365</v>
      </c>
      <c r="V19" s="6">
        <f t="shared" si="81"/>
        <v>0.18100865879424985</v>
      </c>
      <c r="W19" s="6"/>
      <c r="X19" s="6"/>
      <c r="Y19" s="6"/>
      <c r="Z19" s="6"/>
      <c r="AA19" s="6">
        <f>AA18/AA20</f>
        <v>-1.7976051401869537E-2</v>
      </c>
      <c r="AB19" s="6">
        <f>AB18/AB20</f>
        <v>7.0038647604118917E-2</v>
      </c>
      <c r="AC19" s="6">
        <f>AC18/AC20</f>
        <v>0.27159489151692545</v>
      </c>
      <c r="AD19" s="6">
        <f>AD18/AD20</f>
        <v>-0.13344416879895071</v>
      </c>
      <c r="AE19" s="6">
        <f>AE18/AE20</f>
        <v>0.15103861049172607</v>
      </c>
      <c r="AF19" s="6">
        <f t="shared" ref="AF19" si="82">AF18/AF20</f>
        <v>0.36561817861753287</v>
      </c>
      <c r="AG19" s="6">
        <f t="shared" ref="AG19" si="83">AG18/AG20</f>
        <v>0.6405086259926458</v>
      </c>
      <c r="AH19" s="6">
        <f t="shared" ref="AH19" si="84">AH18/AH20</f>
        <v>0.90092458754779892</v>
      </c>
      <c r="AI19" s="6">
        <f t="shared" ref="AI19" si="85">AI18/AI20</f>
        <v>2.0673729725253311</v>
      </c>
      <c r="AJ19" s="6">
        <f t="shared" ref="AJ19" si="86">AJ18/AJ20</f>
        <v>2.4238883717008965</v>
      </c>
      <c r="AK19" s="6">
        <f t="shared" ref="AK19" si="87">AK18/AK20</f>
        <v>2.6591340895224413</v>
      </c>
      <c r="AL19" s="6"/>
      <c r="AM19" s="6"/>
      <c r="AN19" s="6"/>
      <c r="AO19" s="6"/>
    </row>
    <row r="20" spans="1:98" s="3" customFormat="1" x14ac:dyDescent="0.2">
      <c r="B20" s="3" t="s">
        <v>1</v>
      </c>
      <c r="C20" s="4"/>
      <c r="D20" s="4">
        <v>71.102000000000004</v>
      </c>
      <c r="E20" s="4">
        <v>74.281999999999996</v>
      </c>
      <c r="F20" s="4">
        <v>74.959999999999994</v>
      </c>
      <c r="G20" s="4">
        <v>75.453999999999994</v>
      </c>
      <c r="H20" s="4">
        <v>75.781000000000006</v>
      </c>
      <c r="I20" s="4">
        <v>76.346999999999994</v>
      </c>
      <c r="J20" s="4">
        <v>77.108000000000004</v>
      </c>
      <c r="K20" s="4">
        <v>76.721999999999994</v>
      </c>
      <c r="L20" s="4">
        <v>77.283000000000001</v>
      </c>
      <c r="M20" s="4">
        <v>77.28</v>
      </c>
      <c r="N20" s="4">
        <v>77.564999999999998</v>
      </c>
      <c r="O20" s="4">
        <v>76.956000000000003</v>
      </c>
      <c r="P20" s="4">
        <v>76.799000000000007</v>
      </c>
      <c r="Q20" s="4">
        <v>76.563999999999993</v>
      </c>
      <c r="R20" s="4">
        <v>77.055000000000007</v>
      </c>
      <c r="S20" s="4">
        <v>77.147000000000006</v>
      </c>
      <c r="T20" s="4">
        <f t="shared" ref="T20:V20" si="88">+S20</f>
        <v>77.147000000000006</v>
      </c>
      <c r="U20" s="4">
        <f t="shared" si="88"/>
        <v>77.147000000000006</v>
      </c>
      <c r="V20" s="4">
        <f t="shared" si="88"/>
        <v>77.147000000000006</v>
      </c>
      <c r="W20" s="4"/>
      <c r="X20" s="4"/>
      <c r="Y20" s="4"/>
      <c r="Z20" s="4"/>
      <c r="AA20" s="4">
        <v>68.48</v>
      </c>
      <c r="AB20" s="4">
        <v>74.001999999999995</v>
      </c>
      <c r="AC20" s="4">
        <v>76.186999999999998</v>
      </c>
      <c r="AD20" s="4">
        <v>76.991</v>
      </c>
      <c r="AE20" s="4">
        <v>76.688999999999993</v>
      </c>
      <c r="AF20" s="4">
        <f>+AE20</f>
        <v>76.688999999999993</v>
      </c>
      <c r="AG20" s="4">
        <f t="shared" ref="AG20:AH20" si="89">+AF20</f>
        <v>76.688999999999993</v>
      </c>
      <c r="AH20" s="4">
        <f t="shared" si="89"/>
        <v>76.688999999999993</v>
      </c>
      <c r="AI20" s="4">
        <f t="shared" ref="AI20:AK20" si="90">+AH20</f>
        <v>76.688999999999993</v>
      </c>
      <c r="AJ20" s="4">
        <f t="shared" si="90"/>
        <v>76.688999999999993</v>
      </c>
      <c r="AK20" s="4">
        <f t="shared" si="90"/>
        <v>76.688999999999993</v>
      </c>
      <c r="AL20" s="4"/>
      <c r="AM20" s="4"/>
      <c r="AN20" s="4"/>
      <c r="AO20" s="4"/>
    </row>
    <row r="21" spans="1:98" x14ac:dyDescent="0.2">
      <c r="AM21" s="25" t="s">
        <v>103</v>
      </c>
      <c r="AN21" s="27">
        <v>0.05</v>
      </c>
    </row>
    <row r="22" spans="1:98" x14ac:dyDescent="0.2">
      <c r="A22" s="24"/>
      <c r="B22" s="24" t="s">
        <v>53</v>
      </c>
      <c r="C22" s="25"/>
      <c r="D22" s="25"/>
      <c r="E22" s="25"/>
      <c r="F22" s="25"/>
      <c r="G22" s="25"/>
      <c r="H22" s="26">
        <f t="shared" ref="H22" si="91">H7/D7-1</f>
        <v>0.1987384506041221</v>
      </c>
      <c r="I22" s="26">
        <f t="shared" ref="I22" si="92">I7/E7-1</f>
        <v>0.1781857062194403</v>
      </c>
      <c r="J22" s="26">
        <f t="shared" ref="J22" si="93">J7/F7-1</f>
        <v>0.11426205030096592</v>
      </c>
      <c r="K22" s="26">
        <f t="shared" ref="K22:N22" si="94">K7/G7-1</f>
        <v>0.13016261898607584</v>
      </c>
      <c r="L22" s="26">
        <f>L7/H7-1</f>
        <v>5.6854877132057613E-3</v>
      </c>
      <c r="M22" s="26">
        <f t="shared" si="94"/>
        <v>6.5921628208134964E-2</v>
      </c>
      <c r="N22" s="26">
        <f t="shared" si="94"/>
        <v>9.3646290266857779E-2</v>
      </c>
      <c r="O22" s="26">
        <f t="shared" ref="O22:V22" si="95">O7/K7-1</f>
        <v>9.8515358531467756E-2</v>
      </c>
      <c r="P22" s="26">
        <f t="shared" si="95"/>
        <v>0.20817366404177373</v>
      </c>
      <c r="Q22" s="26">
        <f t="shared" si="95"/>
        <v>0.16312083875411343</v>
      </c>
      <c r="R22" s="26">
        <f t="shared" si="95"/>
        <v>0.16499463930157754</v>
      </c>
      <c r="S22" s="26">
        <f t="shared" si="95"/>
        <v>0.16215262062098312</v>
      </c>
      <c r="T22" s="26">
        <f t="shared" si="95"/>
        <v>0.24999999999999978</v>
      </c>
      <c r="U22" s="26">
        <f t="shared" si="95"/>
        <v>0.25</v>
      </c>
      <c r="V22" s="26">
        <f t="shared" si="95"/>
        <v>0.25</v>
      </c>
      <c r="W22" s="25"/>
      <c r="X22" s="25"/>
      <c r="Y22" s="25"/>
      <c r="Z22" s="25"/>
      <c r="AA22" s="25"/>
      <c r="AB22" s="26">
        <f t="shared" ref="AB22:AD22" si="96">AB7/AA7-1</f>
        <v>0.24883033115098541</v>
      </c>
      <c r="AC22" s="26">
        <f t="shared" si="96"/>
        <v>0.17025067355325718</v>
      </c>
      <c r="AD22" s="26">
        <f t="shared" si="96"/>
        <v>7.3016959222538702E-2</v>
      </c>
      <c r="AE22" s="26">
        <f>AE7/AD7-1</f>
        <v>0.15812345044258946</v>
      </c>
      <c r="AF22" s="26">
        <f>+AF7/AE7-1</f>
        <v>0.22928690344062175</v>
      </c>
      <c r="AG22" s="26">
        <f>AG7/AF7-1</f>
        <v>0.12000000000000011</v>
      </c>
      <c r="AH22" s="26">
        <f t="shared" ref="AH22:AI22" si="97">AH7/AG7-1</f>
        <v>0.10000000000000009</v>
      </c>
      <c r="AI22" s="26">
        <f t="shared" si="97"/>
        <v>0.10000000000000009</v>
      </c>
      <c r="AJ22" s="26">
        <f t="shared" ref="AJ22:AK22" si="98">AJ7/AI7-1</f>
        <v>0.10000000000000009</v>
      </c>
      <c r="AK22" s="26">
        <f t="shared" si="98"/>
        <v>5.0000000000000044E-2</v>
      </c>
      <c r="AM22" s="2" t="s">
        <v>87</v>
      </c>
      <c r="AN22" s="15">
        <v>0.06</v>
      </c>
    </row>
    <row r="23" spans="1:98" x14ac:dyDescent="0.2">
      <c r="B23" t="s">
        <v>85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AA23" s="5"/>
      <c r="AB23" s="5">
        <f>AB4/AA4-1</f>
        <v>8.6777920410783027E-2</v>
      </c>
      <c r="AC23" s="5">
        <f t="shared" ref="AC23" si="99">AC4/AB4-1</f>
        <v>3.0592960075596531E-2</v>
      </c>
      <c r="AD23" s="5">
        <f>AD4/AC4-1</f>
        <v>0.23140401146131806</v>
      </c>
      <c r="AE23" s="5">
        <f>AE4/AD4-1</f>
        <v>0.10759493670886089</v>
      </c>
      <c r="AF23" s="5"/>
      <c r="AG23" s="5"/>
      <c r="AH23" s="5"/>
      <c r="AI23" s="5"/>
      <c r="AJ23" s="5"/>
      <c r="AK23" s="5"/>
      <c r="AM23" s="2" t="s">
        <v>88</v>
      </c>
      <c r="AN23" s="15">
        <v>5.0000000000000001E-3</v>
      </c>
    </row>
    <row r="24" spans="1:98" x14ac:dyDescent="0.2">
      <c r="B24" t="s">
        <v>86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AA24" s="5"/>
      <c r="AB24" s="5">
        <f>AB3/AA3-1</f>
        <v>0.11106546151739249</v>
      </c>
      <c r="AC24" s="5">
        <f t="shared" ref="AC24:AD24" si="100">AC3/AB3-1</f>
        <v>0.112042401084679</v>
      </c>
      <c r="AD24" s="5">
        <f t="shared" si="100"/>
        <v>5.9632010640656263E-2</v>
      </c>
      <c r="AE24" s="5">
        <f>AE3/AD3-1</f>
        <v>0.10878661087866104</v>
      </c>
      <c r="AF24" s="5"/>
      <c r="AG24" s="5"/>
      <c r="AH24" s="5"/>
      <c r="AI24" s="5"/>
      <c r="AJ24" s="5"/>
      <c r="AK24" s="5"/>
      <c r="AM24" s="2" t="s">
        <v>89</v>
      </c>
      <c r="AN24" s="4">
        <f>NPV(AN22,AG18:CT18)</f>
        <v>3217.1236818830876</v>
      </c>
    </row>
    <row r="25" spans="1:98" x14ac:dyDescent="0.2">
      <c r="B25" t="s">
        <v>102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AA25" s="5"/>
      <c r="AB25" s="5">
        <f>AB5/AA5-1</f>
        <v>0.12399347689689333</v>
      </c>
      <c r="AC25" s="5">
        <f t="shared" ref="AC25:AD25" si="101">AC5/AB5-1</f>
        <v>5.234357288157554E-2</v>
      </c>
      <c r="AD25" s="5">
        <f t="shared" si="101"/>
        <v>1.2631695199345483E-2</v>
      </c>
      <c r="AE25" s="5">
        <f>AE5/AD5-1</f>
        <v>4.4496243984071482E-2</v>
      </c>
      <c r="AF25" s="5"/>
      <c r="AG25" s="5"/>
      <c r="AH25" s="5"/>
      <c r="AI25" s="5"/>
      <c r="AJ25" s="5"/>
      <c r="AK25" s="5"/>
      <c r="AM25" s="2" t="s">
        <v>90</v>
      </c>
      <c r="AN25" s="6">
        <f>AN24/Main!L3</f>
        <v>41.701215625793452</v>
      </c>
    </row>
    <row r="26" spans="1:98" x14ac:dyDescent="0.2">
      <c r="B26" t="s">
        <v>25</v>
      </c>
      <c r="D26" s="5">
        <f t="shared" ref="D26:E26" si="102">+D9/D7</f>
        <v>0.59579652756625046</v>
      </c>
      <c r="E26" s="5">
        <f t="shared" si="102"/>
        <v>0.60478862071865358</v>
      </c>
      <c r="F26" s="5">
        <f t="shared" ref="F26:G26" si="103">+F9/F7</f>
        <v>0.61266389809154964</v>
      </c>
      <c r="G26" s="5">
        <f t="shared" si="103"/>
        <v>0.60256684011193407</v>
      </c>
      <c r="H26" s="5">
        <f t="shared" ref="H26:I26" si="104">+H9/H7</f>
        <v>0.60466273517485247</v>
      </c>
      <c r="I26" s="5">
        <f t="shared" si="104"/>
        <v>0.61139378613453521</v>
      </c>
      <c r="J26" s="5">
        <f t="shared" ref="J26:N26" si="105">+J9/J7</f>
        <v>0.60734513552277558</v>
      </c>
      <c r="K26" s="5">
        <f t="shared" si="105"/>
        <v>0.60296530533098658</v>
      </c>
      <c r="L26" s="5">
        <f t="shared" si="105"/>
        <v>0.55662820566808435</v>
      </c>
      <c r="M26" s="5">
        <f t="shared" si="105"/>
        <v>0.55698515343996324</v>
      </c>
      <c r="N26" s="5">
        <f t="shared" si="105"/>
        <v>0.55469826926022359</v>
      </c>
      <c r="O26" s="5">
        <f t="shared" ref="O26:P26" si="106">+O9/O7</f>
        <v>0.56799130985788004</v>
      </c>
      <c r="P26" s="5">
        <f t="shared" si="106"/>
        <v>0.56817587703246719</v>
      </c>
      <c r="Q26" s="5">
        <f t="shared" ref="Q26:R26" si="107">+Q9/Q7</f>
        <v>0.56509688456097651</v>
      </c>
      <c r="R26" s="5">
        <f t="shared" si="107"/>
        <v>0.58243221035332793</v>
      </c>
      <c r="S26" s="5">
        <f t="shared" ref="S26:V26" si="108">+S9/S7</f>
        <v>0.57355724667596186</v>
      </c>
      <c r="T26" s="5">
        <f t="shared" si="108"/>
        <v>0.57999999999999996</v>
      </c>
      <c r="U26" s="5">
        <f t="shared" si="108"/>
        <v>0.57999999999999996</v>
      </c>
      <c r="V26" s="5">
        <f t="shared" si="108"/>
        <v>0.57999999999999996</v>
      </c>
      <c r="AA26" s="5">
        <f t="shared" ref="AA26:AD26" si="109">+AA9/AA7</f>
        <v>0.580760449493951</v>
      </c>
      <c r="AB26" s="5">
        <f>+AB9/AB7</f>
        <v>0.60095228635635622</v>
      </c>
      <c r="AC26" s="5">
        <f t="shared" si="109"/>
        <v>0.60659855393053985</v>
      </c>
      <c r="AD26" s="5">
        <f t="shared" si="109"/>
        <v>0.56774053209607689</v>
      </c>
      <c r="AE26" s="5">
        <f>+AE9/AE7</f>
        <v>0.5760842653461965</v>
      </c>
      <c r="AF26" s="5">
        <f t="shared" ref="AF26:AG26" si="110">+AF9/AF7</f>
        <v>0.57999999999999996</v>
      </c>
      <c r="AG26" s="5">
        <f t="shared" si="110"/>
        <v>0.59</v>
      </c>
      <c r="AH26" s="5">
        <f t="shared" ref="AH26:AI26" si="111">+AH9/AH7</f>
        <v>0.6</v>
      </c>
      <c r="AI26" s="5">
        <f t="shared" si="111"/>
        <v>0.61</v>
      </c>
      <c r="AJ26" s="5">
        <f t="shared" ref="AJ26:AK26" si="112">+AJ9/AJ7</f>
        <v>0.6</v>
      </c>
      <c r="AK26" s="5">
        <f t="shared" si="112"/>
        <v>0.6</v>
      </c>
      <c r="AM26" s="2" t="s">
        <v>108</v>
      </c>
      <c r="AN26" s="5">
        <v>0.25</v>
      </c>
    </row>
    <row r="27" spans="1:98" x14ac:dyDescent="0.2">
      <c r="AC27" s="5"/>
      <c r="AD27" s="5"/>
      <c r="AE27" s="5"/>
    </row>
    <row r="28" spans="1:98" x14ac:dyDescent="0.2">
      <c r="B28" t="s">
        <v>52</v>
      </c>
      <c r="O28" s="4">
        <f>O30-O44</f>
        <v>116.994</v>
      </c>
      <c r="P28" s="4">
        <f>P30-P44</f>
        <v>78.816000000000003</v>
      </c>
      <c r="Q28" s="4">
        <f>Q30-Q44</f>
        <v>68.652000000000001</v>
      </c>
      <c r="R28" s="4">
        <f>R30-R44</f>
        <v>76.372</v>
      </c>
      <c r="S28" s="4">
        <f>S30-S44</f>
        <v>18.353999999999999</v>
      </c>
      <c r="T28" s="4">
        <f t="shared" ref="T28:V28" si="113">+S28+T18</f>
        <v>26.072847499999991</v>
      </c>
      <c r="U28" s="4">
        <f t="shared" si="113"/>
        <v>40.86255749999998</v>
      </c>
      <c r="V28" s="4">
        <f t="shared" si="113"/>
        <v>54.826832499999973</v>
      </c>
      <c r="AF28" s="4">
        <f>+V28</f>
        <v>54.826832499999973</v>
      </c>
      <c r="AG28" s="4">
        <f>+AF28+AG18</f>
        <v>103.94679851874997</v>
      </c>
      <c r="AH28" s="4">
        <f>+AG28+AH18</f>
        <v>173.03780421320312</v>
      </c>
      <c r="AI28" s="4">
        <f>+AH28+AI18</f>
        <v>331.58257010319824</v>
      </c>
      <c r="AJ28" s="4">
        <f>+AI28+AJ18</f>
        <v>517.46814544056826</v>
      </c>
      <c r="AK28" s="4">
        <f>+AJ28+AK18</f>
        <v>721.39447963195471</v>
      </c>
    </row>
    <row r="29" spans="1:98" x14ac:dyDescent="0.2">
      <c r="R29" s="4"/>
    </row>
    <row r="30" spans="1:98" s="3" customFormat="1" x14ac:dyDescent="0.2">
      <c r="B30" s="3" t="s">
        <v>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f>27.787+104.207</f>
        <v>131.994</v>
      </c>
      <c r="P30" s="4">
        <f>29.322+99.494</f>
        <v>128.816</v>
      </c>
      <c r="Q30" s="4">
        <f>18.566+94.086</f>
        <v>112.652</v>
      </c>
      <c r="R30" s="4">
        <f>30.911+85.461</f>
        <v>116.372</v>
      </c>
      <c r="S30" s="4">
        <f>57.499+85.168</f>
        <v>142.667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98" s="3" customFormat="1" x14ac:dyDescent="0.2">
      <c r="B31" s="3" t="s">
        <v>43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60.805</v>
      </c>
      <c r="P31" s="4">
        <v>65.477999999999994</v>
      </c>
      <c r="Q31" s="4">
        <v>68.459999999999994</v>
      </c>
      <c r="R31" s="4">
        <v>74.191999999999993</v>
      </c>
      <c r="S31" s="4">
        <v>76.164000000000001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98" s="3" customFormat="1" x14ac:dyDescent="0.2">
      <c r="B32" s="3" t="s">
        <v>42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v>8.7370000000000001</v>
      </c>
      <c r="P32" s="4">
        <v>8.5239999999999991</v>
      </c>
      <c r="Q32" s="4">
        <v>9.61</v>
      </c>
      <c r="R32" s="4">
        <v>8.2940000000000005</v>
      </c>
      <c r="S32" s="4">
        <v>10.362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2:41" s="3" customFormat="1" x14ac:dyDescent="0.2">
      <c r="B33" s="3" t="s">
        <v>41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v>1.9279999999999999</v>
      </c>
      <c r="P33" s="4">
        <v>1.2030000000000001</v>
      </c>
      <c r="Q33" s="4">
        <v>2.5710000000000002</v>
      </c>
      <c r="R33" s="4">
        <v>23.085000000000001</v>
      </c>
      <c r="S33" s="4">
        <v>25.827999999999999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2:41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73.141999999999996</v>
      </c>
      <c r="P34" s="4">
        <v>70.831000000000003</v>
      </c>
      <c r="Q34" s="4">
        <v>71.944000000000003</v>
      </c>
      <c r="R34" s="4">
        <v>82.197999999999993</v>
      </c>
      <c r="S34" s="4">
        <v>94.188000000000002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2:41" s="3" customFormat="1" x14ac:dyDescent="0.2">
      <c r="B35" s="3" t="s">
        <v>39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f>193.385+94.757</f>
        <v>288.142</v>
      </c>
      <c r="P35" s="4">
        <f>220.555+113.55</f>
        <v>334.10500000000002</v>
      </c>
      <c r="Q35" s="4">
        <f>220.104+87.287</f>
        <v>307.39100000000002</v>
      </c>
      <c r="R35" s="4">
        <f>220.097+81.28</f>
        <v>301.37700000000001</v>
      </c>
      <c r="S35" s="4">
        <f>255.398+91.723</f>
        <v>347.12099999999998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2:41" s="3" customFormat="1" x14ac:dyDescent="0.2">
      <c r="B36" s="3" t="s">
        <v>38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f>3.952+11.089</f>
        <v>15.041</v>
      </c>
      <c r="P36" s="4">
        <f>1.445+11.111</f>
        <v>12.556000000000001</v>
      </c>
      <c r="Q36" s="4">
        <v>17.635000000000002</v>
      </c>
      <c r="R36" s="4">
        <v>12.051</v>
      </c>
      <c r="S36" s="4">
        <v>20.917999999999999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2:41" s="3" customFormat="1" x14ac:dyDescent="0.2">
      <c r="B37" s="3" t="s">
        <v>37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4.8890000000000002</v>
      </c>
      <c r="P37" s="4">
        <v>4.8949999999999996</v>
      </c>
      <c r="Q37" s="4">
        <v>5.2009999999999996</v>
      </c>
      <c r="R37" s="4">
        <v>5.6319999999999997</v>
      </c>
      <c r="S37" s="4">
        <v>5.5709999999999997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2:41" s="3" customFormat="1" x14ac:dyDescent="0.2">
      <c r="B38" s="3" t="s">
        <v>36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>SUM(O30:O37)</f>
        <v>584.67800000000011</v>
      </c>
      <c r="P38" s="4">
        <f>SUM(P30:P37)</f>
        <v>626.40800000000002</v>
      </c>
      <c r="Q38" s="4">
        <f>SUM(Q30:Q37)</f>
        <v>595.46399999999994</v>
      </c>
      <c r="R38" s="4">
        <f>SUM(R30:R37)</f>
        <v>623.20100000000002</v>
      </c>
      <c r="S38" s="4">
        <f>SUM(S30:S37)</f>
        <v>722.81899999999996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40" spans="2:41" s="3" customFormat="1" x14ac:dyDescent="0.2">
      <c r="B40" s="3" t="s">
        <v>51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15.647</v>
      </c>
      <c r="P40" s="4">
        <v>17.323</v>
      </c>
      <c r="Q40" s="4">
        <v>15.67</v>
      </c>
      <c r="R40" s="4">
        <v>17.448</v>
      </c>
      <c r="S40" s="4">
        <v>27.498999999999999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2:41" s="3" customFormat="1" x14ac:dyDescent="0.2">
      <c r="B41" s="3" t="s">
        <v>50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25.25</v>
      </c>
      <c r="P41" s="4">
        <v>33.929000000000002</v>
      </c>
      <c r="Q41" s="4">
        <v>33.582000000000001</v>
      </c>
      <c r="R41" s="4">
        <v>28.294</v>
      </c>
      <c r="S41" s="4">
        <v>39.674999999999997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2:41" s="3" customFormat="1" x14ac:dyDescent="0.2">
      <c r="B42" s="3" t="s">
        <v>49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f>72.161+7</f>
        <v>79.161000000000001</v>
      </c>
      <c r="P42" s="4">
        <f>74.65+7.063</f>
        <v>81.713000000000008</v>
      </c>
      <c r="Q42" s="4">
        <f>77.217+7.107</f>
        <v>84.323999999999998</v>
      </c>
      <c r="R42" s="4">
        <f>84.2+6.979</f>
        <v>91.179000000000002</v>
      </c>
      <c r="S42" s="4">
        <f>82.805+6.992</f>
        <v>89.797000000000011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2:41" s="3" customFormat="1" x14ac:dyDescent="0.2">
      <c r="B43" s="3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104.145</v>
      </c>
      <c r="P43" s="4">
        <v>99.617999999999995</v>
      </c>
      <c r="Q43" s="4">
        <v>93.956000000000003</v>
      </c>
      <c r="R43" s="4">
        <v>85.405000000000001</v>
      </c>
      <c r="S43" s="4">
        <v>85.119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2:41" s="3" customFormat="1" x14ac:dyDescent="0.2">
      <c r="B44" s="3" t="s">
        <v>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15</v>
      </c>
      <c r="P44" s="4">
        <v>50</v>
      </c>
      <c r="Q44" s="4">
        <v>44</v>
      </c>
      <c r="R44" s="4">
        <v>40</v>
      </c>
      <c r="S44" s="4">
        <f>121.188+3.125</f>
        <v>124.313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2:41" s="3" customFormat="1" x14ac:dyDescent="0.2">
      <c r="B45" s="3" t="s">
        <v>47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f>12.135+4.596</f>
        <v>16.731000000000002</v>
      </c>
      <c r="P45" s="4">
        <f>13.259+3.202</f>
        <v>16.460999999999999</v>
      </c>
      <c r="Q45" s="4">
        <f>10.574+1.439</f>
        <v>12.013</v>
      </c>
      <c r="R45" s="4">
        <v>34.423000000000002</v>
      </c>
      <c r="S45" s="4">
        <v>33.451000000000001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2:41" s="3" customFormat="1" x14ac:dyDescent="0.2">
      <c r="B46" s="3" t="s">
        <v>46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f>SUM(O40:O45)</f>
        <v>255.93399999999997</v>
      </c>
      <c r="P46" s="4">
        <f>SUM(P40:P45)</f>
        <v>299.04399999999998</v>
      </c>
      <c r="Q46" s="4">
        <f>SUM(Q40:Q45)</f>
        <v>283.54499999999996</v>
      </c>
      <c r="R46" s="4">
        <f>SUM(R40:R45)</f>
        <v>296.74900000000002</v>
      </c>
      <c r="S46" s="4">
        <f>SUM(S40:S45)</f>
        <v>399.85400000000004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2:41" s="3" customFormat="1" x14ac:dyDescent="0.2">
      <c r="B47" s="3" t="s">
        <v>45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328.74400000000003</v>
      </c>
      <c r="P47" s="4">
        <v>327.36399999999998</v>
      </c>
      <c r="Q47" s="4">
        <v>311.91899999999998</v>
      </c>
      <c r="R47" s="4">
        <v>326.452</v>
      </c>
      <c r="S47" s="4">
        <v>322.96499999999997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2:41" s="3" customFormat="1" x14ac:dyDescent="0.2">
      <c r="B48" s="3" t="s">
        <v>44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O47+O46</f>
        <v>584.678</v>
      </c>
      <c r="P48" s="4">
        <f>P47+P46</f>
        <v>626.4079999999999</v>
      </c>
      <c r="Q48" s="4">
        <f>Q47+Q46</f>
        <v>595.46399999999994</v>
      </c>
      <c r="R48" s="4">
        <f>R47+R46</f>
        <v>623.20100000000002</v>
      </c>
      <c r="S48" s="4">
        <f>S47+S46</f>
        <v>722.81899999999996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50" spans="2:41" s="11" customFormat="1" x14ac:dyDescent="0.2">
      <c r="B50" s="11" t="s">
        <v>54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f>O18</f>
        <v>-1.6079999999999945</v>
      </c>
      <c r="P50" s="10">
        <f>P18</f>
        <v>-3.3179999999999903</v>
      </c>
      <c r="Q50" s="10">
        <f>Q18</f>
        <v>12.082000000000003</v>
      </c>
      <c r="R50" s="10">
        <f>R18</f>
        <v>3.900000000000003</v>
      </c>
      <c r="S50" s="10">
        <f>S18</f>
        <v>2.9960000000000262</v>
      </c>
      <c r="T50" s="10"/>
      <c r="U50" s="10"/>
      <c r="V50" s="10"/>
      <c r="W50" s="10"/>
      <c r="X50" s="10">
        <f t="shared" ref="X50:AJ50" si="114">X18</f>
        <v>0</v>
      </c>
      <c r="Y50" s="10">
        <f t="shared" si="114"/>
        <v>0</v>
      </c>
      <c r="Z50" s="10">
        <f t="shared" si="114"/>
        <v>0</v>
      </c>
      <c r="AA50" s="10">
        <f t="shared" si="114"/>
        <v>-1.2310000000000261</v>
      </c>
      <c r="AB50" s="10">
        <f t="shared" si="114"/>
        <v>5.1830000000000078</v>
      </c>
      <c r="AC50" s="10">
        <f t="shared" si="114"/>
        <v>20.692</v>
      </c>
      <c r="AD50" s="10">
        <f t="shared" si="114"/>
        <v>-10.274000000000013</v>
      </c>
      <c r="AE50" s="10">
        <f t="shared" si="114"/>
        <v>11.582999999999979</v>
      </c>
      <c r="AF50" s="10">
        <f t="shared" si="114"/>
        <v>28.038892499999974</v>
      </c>
      <c r="AG50" s="10">
        <f t="shared" si="114"/>
        <v>49.119966018750006</v>
      </c>
      <c r="AH50" s="10">
        <f t="shared" si="114"/>
        <v>69.091005694453145</v>
      </c>
      <c r="AI50" s="10">
        <f t="shared" si="114"/>
        <v>158.54476588999512</v>
      </c>
      <c r="AJ50" s="10">
        <f t="shared" si="114"/>
        <v>185.88557533737003</v>
      </c>
      <c r="AK50" s="10"/>
      <c r="AL50" s="10"/>
      <c r="AM50" s="10"/>
      <c r="AN50" s="10"/>
      <c r="AO50" s="10"/>
    </row>
    <row r="51" spans="2:41" s="11" customFormat="1" x14ac:dyDescent="0.2">
      <c r="B51" s="11" t="s">
        <v>55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>
        <v>-1.6080000000000001</v>
      </c>
      <c r="P51" s="10">
        <v>-3.3180000000000001</v>
      </c>
      <c r="Q51" s="10">
        <v>-8.1920000000000002</v>
      </c>
      <c r="R51" s="10">
        <v>3.9</v>
      </c>
      <c r="S51" s="10">
        <v>2.996</v>
      </c>
      <c r="T51" s="10"/>
      <c r="U51" s="10"/>
      <c r="V51" s="10"/>
      <c r="W51" s="10"/>
      <c r="X51" s="10"/>
      <c r="Y51" s="10"/>
      <c r="Z51" s="10"/>
      <c r="AA51" s="10"/>
      <c r="AB51" s="10"/>
      <c r="AC51" s="10">
        <v>20.692</v>
      </c>
      <c r="AD51" s="10">
        <v>-10.273999999999999</v>
      </c>
      <c r="AE51" s="10">
        <v>-9.218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2:41" s="11" customFormat="1" x14ac:dyDescent="0.2">
      <c r="B52" s="11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>
        <v>10.611000000000001</v>
      </c>
      <c r="P52" s="10">
        <v>11.263</v>
      </c>
      <c r="Q52" s="10">
        <v>11.913</v>
      </c>
      <c r="R52" s="10">
        <v>12.103999999999999</v>
      </c>
      <c r="S52" s="10">
        <v>12.606999999999999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>
        <v>45.890999999999998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2:41" s="11" customFormat="1" x14ac:dyDescent="0.2">
      <c r="B53" s="11" t="s">
        <v>60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>
        <v>-2.1080000000000001</v>
      </c>
      <c r="P53" s="10">
        <v>0.45400000000000001</v>
      </c>
      <c r="Q53" s="10">
        <v>-7.173</v>
      </c>
      <c r="R53" s="10">
        <v>3.6080000000000001</v>
      </c>
      <c r="S53" s="10">
        <v>1.5389999999999999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>
        <v>-5.2190000000000003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2:41" s="11" customFormat="1" x14ac:dyDescent="0.2">
      <c r="B54" s="11" t="s">
        <v>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>
        <v>10.747</v>
      </c>
      <c r="P54" s="10">
        <v>11.25</v>
      </c>
      <c r="Q54" s="10">
        <v>8.6690000000000005</v>
      </c>
      <c r="R54" s="10">
        <v>7.4560000000000004</v>
      </c>
      <c r="S54" s="10">
        <v>8.391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>
        <v>38.122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2:41" s="11" customFormat="1" x14ac:dyDescent="0.2">
      <c r="B55" s="11" t="s">
        <v>62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0</v>
      </c>
      <c r="P55" s="10">
        <v>0.63700000000000001</v>
      </c>
      <c r="Q55" s="10">
        <v>0.33100000000000002</v>
      </c>
      <c r="R55" s="10">
        <v>-1.325</v>
      </c>
      <c r="S55" s="10">
        <v>-2.7E-2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>
        <v>-0.35699999999999998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2:41" s="11" customFormat="1" x14ac:dyDescent="0.2">
      <c r="B56" s="11" t="s">
        <v>63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>
        <v>1.119</v>
      </c>
      <c r="P56" s="10">
        <v>1.6839999999999999</v>
      </c>
      <c r="Q56" s="10">
        <v>20.966000000000001</v>
      </c>
      <c r="R56" s="10">
        <v>0.10199999999999999</v>
      </c>
      <c r="S56" s="10">
        <v>0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>
        <f>20.801+3.07</f>
        <v>23.870999999999999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2:41" s="11" customFormat="1" x14ac:dyDescent="0.2">
      <c r="B57" s="11" t="s">
        <v>64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>
        <v>0.377</v>
      </c>
      <c r="P57" s="10">
        <v>0.11600000000000001</v>
      </c>
      <c r="Q57" s="10">
        <v>-3.5110000000000001</v>
      </c>
      <c r="R57" s="10">
        <v>-0.25</v>
      </c>
      <c r="S57" s="10">
        <v>-0.126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>
        <v>-3.2679999999999998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2:41" s="11" customFormat="1" x14ac:dyDescent="0.2">
      <c r="B58" s="11" t="s">
        <v>65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>
        <v>3.36</v>
      </c>
      <c r="P58" s="10">
        <v>4.21</v>
      </c>
      <c r="Q58" s="10">
        <v>-3.2829999999999999</v>
      </c>
      <c r="R58" s="10">
        <v>2.0710000000000002</v>
      </c>
      <c r="S58" s="10">
        <v>3.589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>
        <f>-8.701+1.391-0.543-0.806+3.888+10.791+0.17</f>
        <v>6.1899999999999995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2:41" s="11" customFormat="1" x14ac:dyDescent="0.2">
      <c r="B59" s="11" t="s">
        <v>57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f>SUM(O51:O58)</f>
        <v>22.497999999999998</v>
      </c>
      <c r="P59" s="10">
        <f>SUM(P51:P58)</f>
        <v>26.296000000000003</v>
      </c>
      <c r="Q59" s="10">
        <f>SUM(Q51:Q58)</f>
        <v>19.720000000000002</v>
      </c>
      <c r="R59" s="10">
        <f>SUM(R51:R58)</f>
        <v>27.666</v>
      </c>
      <c r="S59" s="10">
        <f>SUM(S51:S58)</f>
        <v>28.968999999999998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>
        <f>SUM(AE51:AE58)</f>
        <v>96.011999999999986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2:41" s="11" customFormat="1" x14ac:dyDescent="0.2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2:41" s="11" customFormat="1" x14ac:dyDescent="0.2">
      <c r="B61" s="11" t="s">
        <v>58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>
        <v>-6.1820000000000004</v>
      </c>
      <c r="P61" s="10">
        <v>-4.8949999999999996</v>
      </c>
      <c r="Q61" s="10">
        <v>-7.476</v>
      </c>
      <c r="R61" s="10">
        <v>-14.6</v>
      </c>
      <c r="S61" s="10">
        <v>-10.217000000000001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>
        <v>-33.384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2:41" s="11" customFormat="1" x14ac:dyDescent="0.2">
      <c r="B62" s="11" t="s">
        <v>91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>
        <v>0.30499999999999999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2:41" s="11" customFormat="1" x14ac:dyDescent="0.2">
      <c r="B63" s="11" t="s">
        <v>67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>
        <v>-1.139</v>
      </c>
      <c r="P63" s="10">
        <v>-45.45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>
        <v>-45.281999999999996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2:41" s="11" customFormat="1" x14ac:dyDescent="0.2">
      <c r="B64" s="11" t="s">
        <v>92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>
        <f>SUM(AE61:AE63)</f>
        <v>-78.36099999999999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2:41" s="11" customFormat="1" x14ac:dyDescent="0.2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2:41" s="11" customFormat="1" x14ac:dyDescent="0.2">
      <c r="B66" s="11" t="s">
        <v>95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>
        <f>51.5-31.5</f>
        <v>20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2:41" s="11" customFormat="1" x14ac:dyDescent="0.2">
      <c r="B67" s="11" t="s">
        <v>94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>
        <f>-0.574-0.008</f>
        <v>-0.58199999999999996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2:41" s="11" customFormat="1" x14ac:dyDescent="0.2">
      <c r="B68" s="11" t="s">
        <v>64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>
        <v>-3.6850000000000001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2:41" s="11" customFormat="1" x14ac:dyDescent="0.2">
      <c r="B69" s="11" t="s">
        <v>93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>
        <f>12.115+0.357-41.544</f>
        <v>-29.071999999999996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2:41" s="11" customFormat="1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2:41" s="11" customFormat="1" x14ac:dyDescent="0.2">
      <c r="B71" s="11" t="s">
        <v>59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f>+O61+O59</f>
        <v>16.315999999999995</v>
      </c>
      <c r="P71" s="10">
        <f>+P61+P59</f>
        <v>21.401000000000003</v>
      </c>
      <c r="Q71" s="10">
        <f>+Q61+Q59</f>
        <v>12.244000000000003</v>
      </c>
      <c r="R71" s="10">
        <f>+R61+R59</f>
        <v>13.066000000000001</v>
      </c>
      <c r="S71" s="10">
        <f>+S61+S59</f>
        <v>18.751999999999995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>
        <f>+AE61+AE59</f>
        <v>62.627999999999986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2:41" x14ac:dyDescent="0.2">
      <c r="B72" s="11" t="s">
        <v>66</v>
      </c>
      <c r="O72" s="10">
        <f>O71-O54</f>
        <v>5.5689999999999955</v>
      </c>
      <c r="P72" s="10">
        <f>P71-P54</f>
        <v>10.151000000000003</v>
      </c>
      <c r="Q72" s="10">
        <f>Q71-Q54</f>
        <v>3.5750000000000028</v>
      </c>
      <c r="R72" s="10">
        <f>R71-R54</f>
        <v>5.61</v>
      </c>
      <c r="S72" s="10">
        <f>S71-S54</f>
        <v>10.360999999999995</v>
      </c>
      <c r="AE72" s="10">
        <f>AE71-AE54</f>
        <v>24.505999999999986</v>
      </c>
    </row>
    <row r="76" spans="2:41" s="3" customFormat="1" x14ac:dyDescent="0.2">
      <c r="B76" s="3" t="s">
        <v>76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>
        <v>440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>+R76</f>
        <v>440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2:41" s="3" customFormat="1" x14ac:dyDescent="0.2">
      <c r="B77" s="3" t="s">
        <v>77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>
        <v>350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>+R77</f>
        <v>350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2:41" s="3" customFormat="1" x14ac:dyDescent="0.2">
      <c r="B78" s="3" t="s">
        <v>78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>
        <v>4100</v>
      </c>
      <c r="S78" s="4"/>
      <c r="T78" s="4"/>
      <c r="U78" s="4"/>
      <c r="V78" s="4"/>
      <c r="W78" s="4"/>
      <c r="X78" s="4">
        <v>900</v>
      </c>
      <c r="Y78" s="4"/>
      <c r="Z78" s="4"/>
      <c r="AA78" s="4"/>
      <c r="AB78" s="4"/>
      <c r="AC78" s="4"/>
      <c r="AD78" s="4">
        <v>4100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2"/>
  <sheetViews>
    <sheetView workbookViewId="0">
      <selection activeCell="I21" sqref="I21"/>
    </sheetView>
  </sheetViews>
  <sheetFormatPr defaultRowHeight="12.75" x14ac:dyDescent="0.2"/>
  <cols>
    <col min="2" max="2" width="13.85546875" customWidth="1"/>
  </cols>
  <sheetData>
    <row r="3" spans="2:4" x14ac:dyDescent="0.2">
      <c r="B3" s="24" t="s">
        <v>181</v>
      </c>
      <c r="C3" s="24" t="s">
        <v>182</v>
      </c>
      <c r="D3" s="24" t="s">
        <v>183</v>
      </c>
    </row>
    <row r="4" spans="2:4" x14ac:dyDescent="0.2">
      <c r="B4" s="24" t="s">
        <v>138</v>
      </c>
      <c r="C4" s="24" t="s">
        <v>135</v>
      </c>
      <c r="D4" s="24" t="s">
        <v>139</v>
      </c>
    </row>
    <row r="5" spans="2:4" x14ac:dyDescent="0.2">
      <c r="B5" s="24" t="s">
        <v>134</v>
      </c>
      <c r="C5" s="24" t="s">
        <v>136</v>
      </c>
      <c r="D5" s="24" t="s">
        <v>137</v>
      </c>
    </row>
    <row r="6" spans="2:4" x14ac:dyDescent="0.2">
      <c r="B6" s="24" t="s">
        <v>127</v>
      </c>
      <c r="C6" s="24" t="s">
        <v>131</v>
      </c>
      <c r="D6" s="24" t="s">
        <v>130</v>
      </c>
    </row>
    <row r="7" spans="2:4" x14ac:dyDescent="0.2">
      <c r="B7" s="24" t="s">
        <v>140</v>
      </c>
      <c r="C7" s="24" t="s">
        <v>131</v>
      </c>
      <c r="D7" s="24" t="s">
        <v>141</v>
      </c>
    </row>
    <row r="8" spans="2:4" x14ac:dyDescent="0.2">
      <c r="B8" s="24" t="s">
        <v>188</v>
      </c>
      <c r="C8" s="24" t="s">
        <v>131</v>
      </c>
      <c r="D8" s="24" t="s">
        <v>189</v>
      </c>
    </row>
    <row r="9" spans="2:4" x14ac:dyDescent="0.2">
      <c r="B9" t="s">
        <v>121</v>
      </c>
      <c r="C9" t="s">
        <v>122</v>
      </c>
      <c r="D9" t="s">
        <v>123</v>
      </c>
    </row>
    <row r="10" spans="2:4" x14ac:dyDescent="0.2">
      <c r="B10" t="s">
        <v>163</v>
      </c>
      <c r="C10" t="s">
        <v>122</v>
      </c>
      <c r="D10" t="s">
        <v>164</v>
      </c>
    </row>
    <row r="11" spans="2:4" x14ac:dyDescent="0.2">
      <c r="B11" t="s">
        <v>210</v>
      </c>
      <c r="C11" t="s">
        <v>122</v>
      </c>
      <c r="D11" t="s">
        <v>211</v>
      </c>
    </row>
    <row r="12" spans="2:4" x14ac:dyDescent="0.2">
      <c r="B12" t="s">
        <v>118</v>
      </c>
      <c r="C12" t="s">
        <v>119</v>
      </c>
      <c r="D12" t="s">
        <v>120</v>
      </c>
    </row>
    <row r="13" spans="2:4" x14ac:dyDescent="0.2">
      <c r="B13" t="s">
        <v>132</v>
      </c>
      <c r="C13" t="s">
        <v>119</v>
      </c>
      <c r="D13" t="s">
        <v>133</v>
      </c>
    </row>
    <row r="14" spans="2:4" x14ac:dyDescent="0.2">
      <c r="B14" t="s">
        <v>106</v>
      </c>
      <c r="C14" t="s">
        <v>111</v>
      </c>
      <c r="D14" t="s">
        <v>110</v>
      </c>
    </row>
    <row r="15" spans="2:4" x14ac:dyDescent="0.2">
      <c r="B15" t="s">
        <v>165</v>
      </c>
      <c r="C15" t="s">
        <v>167</v>
      </c>
      <c r="D15" t="s">
        <v>166</v>
      </c>
    </row>
    <row r="16" spans="2:4" x14ac:dyDescent="0.2">
      <c r="B16" t="s">
        <v>190</v>
      </c>
      <c r="C16" t="s">
        <v>167</v>
      </c>
      <c r="D16" t="s">
        <v>191</v>
      </c>
    </row>
    <row r="17" spans="2:4" x14ac:dyDescent="0.2">
      <c r="B17" t="s">
        <v>105</v>
      </c>
      <c r="C17" t="s">
        <v>112</v>
      </c>
      <c r="D17" t="s">
        <v>113</v>
      </c>
    </row>
    <row r="18" spans="2:4" x14ac:dyDescent="0.2">
      <c r="B18" t="s">
        <v>172</v>
      </c>
      <c r="C18" t="s">
        <v>112</v>
      </c>
      <c r="D18" t="s">
        <v>173</v>
      </c>
    </row>
    <row r="19" spans="2:4" x14ac:dyDescent="0.2">
      <c r="B19" t="s">
        <v>176</v>
      </c>
      <c r="C19" t="s">
        <v>112</v>
      </c>
      <c r="D19" t="s">
        <v>177</v>
      </c>
    </row>
    <row r="20" spans="2:4" x14ac:dyDescent="0.2">
      <c r="B20" t="s">
        <v>192</v>
      </c>
      <c r="C20" t="s">
        <v>112</v>
      </c>
      <c r="D20" t="s">
        <v>193</v>
      </c>
    </row>
    <row r="21" spans="2:4" x14ac:dyDescent="0.2">
      <c r="B21" t="s">
        <v>199</v>
      </c>
      <c r="C21" t="s">
        <v>112</v>
      </c>
      <c r="D21" t="s">
        <v>209</v>
      </c>
    </row>
    <row r="22" spans="2:4" x14ac:dyDescent="0.2">
      <c r="B22" t="s">
        <v>116</v>
      </c>
      <c r="C22" t="s">
        <v>109</v>
      </c>
      <c r="D22" t="s">
        <v>117</v>
      </c>
    </row>
    <row r="23" spans="2:4" x14ac:dyDescent="0.2">
      <c r="B23" t="s">
        <v>168</v>
      </c>
      <c r="C23" t="s">
        <v>109</v>
      </c>
      <c r="D23" t="s">
        <v>169</v>
      </c>
    </row>
    <row r="24" spans="2:4" x14ac:dyDescent="0.2">
      <c r="B24" t="s">
        <v>174</v>
      </c>
      <c r="C24" t="s">
        <v>109</v>
      </c>
      <c r="D24" t="s">
        <v>175</v>
      </c>
    </row>
    <row r="25" spans="2:4" x14ac:dyDescent="0.2">
      <c r="B25" t="s">
        <v>184</v>
      </c>
      <c r="C25" t="s">
        <v>109</v>
      </c>
      <c r="D25" t="s">
        <v>185</v>
      </c>
    </row>
    <row r="26" spans="2:4" x14ac:dyDescent="0.2">
      <c r="B26" t="s">
        <v>186</v>
      </c>
      <c r="C26" t="s">
        <v>109</v>
      </c>
      <c r="D26" t="s">
        <v>187</v>
      </c>
    </row>
    <row r="27" spans="2:4" x14ac:dyDescent="0.2">
      <c r="B27" t="s">
        <v>196</v>
      </c>
      <c r="C27" t="s">
        <v>198</v>
      </c>
      <c r="D27" t="s">
        <v>197</v>
      </c>
    </row>
    <row r="28" spans="2:4" x14ac:dyDescent="0.2">
      <c r="B28" t="s">
        <v>178</v>
      </c>
      <c r="C28" t="s">
        <v>179</v>
      </c>
      <c r="D28" t="s">
        <v>180</v>
      </c>
    </row>
    <row r="29" spans="2:4" x14ac:dyDescent="0.2">
      <c r="B29" t="s">
        <v>104</v>
      </c>
      <c r="C29" t="s">
        <v>114</v>
      </c>
      <c r="D29" t="s">
        <v>115</v>
      </c>
    </row>
    <row r="30" spans="2:4" x14ac:dyDescent="0.2">
      <c r="B30" t="s">
        <v>124</v>
      </c>
      <c r="C30" t="s">
        <v>126</v>
      </c>
      <c r="D30" t="s">
        <v>125</v>
      </c>
    </row>
    <row r="31" spans="2:4" x14ac:dyDescent="0.2">
      <c r="B31" t="s">
        <v>170</v>
      </c>
      <c r="C31" t="s">
        <v>126</v>
      </c>
      <c r="D31" t="s">
        <v>171</v>
      </c>
    </row>
    <row r="32" spans="2:4" x14ac:dyDescent="0.2">
      <c r="B32" t="s">
        <v>194</v>
      </c>
      <c r="C32" t="s">
        <v>126</v>
      </c>
      <c r="D32" t="s">
        <v>195</v>
      </c>
    </row>
  </sheetData>
  <sortState ref="B3:D32">
    <sortCondition ref="C3:C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Viewers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2016-04-23T16:18:11Z</dcterms:created>
  <dcterms:modified xsi:type="dcterms:W3CDTF">2016-05-04T20:36:17Z</dcterms:modified>
</cp:coreProperties>
</file>