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Desktop\Investing Class\"/>
    </mc:Choice>
  </mc:AlternateContent>
  <bookViews>
    <workbookView xWindow="0" yWindow="0" windowWidth="13980" windowHeight="12240" activeTab="1"/>
  </bookViews>
  <sheets>
    <sheet name="Main" sheetId="1" r:id="rId1"/>
    <sheet name="Mode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56" i="2" l="1"/>
  <c r="T56" i="2"/>
  <c r="U57" i="2"/>
  <c r="U55" i="2"/>
  <c r="I56" i="2"/>
  <c r="J56" i="2"/>
  <c r="I55" i="2" l="1"/>
  <c r="AI25" i="2" l="1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AL24" i="2"/>
  <c r="AL25" i="2" s="1"/>
  <c r="AK17" i="2"/>
  <c r="AL17" i="2" s="1"/>
  <c r="AM17" i="2" s="1"/>
  <c r="AN17" i="2" s="1"/>
  <c r="AO17" i="2" s="1"/>
  <c r="AP17" i="2" s="1"/>
  <c r="AQ17" i="2" s="1"/>
  <c r="AR17" i="2" s="1"/>
  <c r="AS17" i="2" s="1"/>
  <c r="AT17" i="2" s="1"/>
  <c r="AU17" i="2" s="1"/>
  <c r="AV17" i="2" s="1"/>
  <c r="AW17" i="2" s="1"/>
  <c r="AX17" i="2" s="1"/>
  <c r="AY17" i="2" s="1"/>
  <c r="AZ17" i="2" s="1"/>
  <c r="BA17" i="2" s="1"/>
  <c r="BB17" i="2" s="1"/>
  <c r="BC17" i="2" s="1"/>
  <c r="BD17" i="2" s="1"/>
  <c r="BE17" i="2" s="1"/>
  <c r="BF17" i="2" s="1"/>
  <c r="BG17" i="2" s="1"/>
  <c r="BH17" i="2" s="1"/>
  <c r="BI17" i="2" s="1"/>
  <c r="BJ17" i="2" s="1"/>
  <c r="BK17" i="2" s="1"/>
  <c r="BL17" i="2" s="1"/>
  <c r="BM17" i="2" s="1"/>
  <c r="BN17" i="2" s="1"/>
  <c r="BO17" i="2" s="1"/>
  <c r="BP17" i="2" s="1"/>
  <c r="BQ17" i="2" s="1"/>
  <c r="BR17" i="2" s="1"/>
  <c r="BS17" i="2" s="1"/>
  <c r="BT17" i="2" s="1"/>
  <c r="BU17" i="2" s="1"/>
  <c r="BV17" i="2" s="1"/>
  <c r="BW17" i="2" s="1"/>
  <c r="BX17" i="2" s="1"/>
  <c r="BY17" i="2" s="1"/>
  <c r="BZ17" i="2" s="1"/>
  <c r="CA17" i="2" s="1"/>
  <c r="CB17" i="2" s="1"/>
  <c r="CC17" i="2" s="1"/>
  <c r="CD17" i="2" s="1"/>
  <c r="CE17" i="2" s="1"/>
  <c r="CF17" i="2" s="1"/>
  <c r="CG17" i="2" s="1"/>
  <c r="CH17" i="2" s="1"/>
  <c r="CI17" i="2" s="1"/>
  <c r="CJ17" i="2" s="1"/>
  <c r="CK17" i="2" s="1"/>
  <c r="CL17" i="2" s="1"/>
  <c r="CM17" i="2" s="1"/>
  <c r="CN17" i="2" s="1"/>
  <c r="CO17" i="2" s="1"/>
  <c r="CP17" i="2" s="1"/>
  <c r="CQ17" i="2" s="1"/>
  <c r="CR17" i="2" s="1"/>
  <c r="CS17" i="2" s="1"/>
  <c r="CT17" i="2" s="1"/>
  <c r="CU17" i="2" s="1"/>
  <c r="CV17" i="2" s="1"/>
  <c r="CW17" i="2" s="1"/>
  <c r="CX17" i="2" s="1"/>
  <c r="CY17" i="2" s="1"/>
  <c r="CZ17" i="2" s="1"/>
  <c r="DA17" i="2" s="1"/>
  <c r="DB17" i="2" s="1"/>
  <c r="DC17" i="2" s="1"/>
  <c r="DD17" i="2" s="1"/>
  <c r="DE17" i="2" s="1"/>
  <c r="DF17" i="2" s="1"/>
  <c r="DG17" i="2" s="1"/>
  <c r="DH17" i="2" s="1"/>
  <c r="DI17" i="2" s="1"/>
  <c r="DJ17" i="2" s="1"/>
  <c r="DK17" i="2" s="1"/>
  <c r="DL17" i="2" s="1"/>
  <c r="DM17" i="2" s="1"/>
  <c r="DN17" i="2" s="1"/>
  <c r="DO17" i="2" s="1"/>
  <c r="DP17" i="2" s="1"/>
  <c r="DQ17" i="2" s="1"/>
  <c r="DR17" i="2" s="1"/>
  <c r="DS17" i="2" s="1"/>
  <c r="DT17" i="2" s="1"/>
  <c r="DU17" i="2" s="1"/>
  <c r="DV17" i="2" s="1"/>
  <c r="DW17" i="2" s="1"/>
  <c r="DX17" i="2" s="1"/>
  <c r="DY17" i="2" s="1"/>
  <c r="DZ17" i="2" s="1"/>
  <c r="EA17" i="2" s="1"/>
  <c r="EB17" i="2" s="1"/>
  <c r="EC17" i="2" s="1"/>
  <c r="ED17" i="2" s="1"/>
  <c r="EE17" i="2" s="1"/>
  <c r="EF17" i="2" s="1"/>
  <c r="EG17" i="2" s="1"/>
  <c r="EH17" i="2" s="1"/>
  <c r="EI17" i="2" s="1"/>
  <c r="EJ17" i="2" s="1"/>
  <c r="EK17" i="2" s="1"/>
  <c r="EL17" i="2" s="1"/>
  <c r="EM17" i="2" s="1"/>
  <c r="EN17" i="2" s="1"/>
  <c r="EO17" i="2" s="1"/>
  <c r="EP17" i="2" s="1"/>
  <c r="EQ17" i="2" s="1"/>
  <c r="ER17" i="2" s="1"/>
  <c r="ES17" i="2" s="1"/>
  <c r="ET17" i="2" s="1"/>
  <c r="EU17" i="2" s="1"/>
  <c r="EV17" i="2" s="1"/>
  <c r="EW17" i="2" s="1"/>
  <c r="EX17" i="2" s="1"/>
  <c r="EY17" i="2" s="1"/>
  <c r="EZ17" i="2" s="1"/>
  <c r="FA17" i="2" s="1"/>
  <c r="FB17" i="2" s="1"/>
  <c r="FC17" i="2" s="1"/>
  <c r="FD17" i="2" s="1"/>
  <c r="FE17" i="2" s="1"/>
  <c r="FF17" i="2" s="1"/>
  <c r="FG17" i="2" s="1"/>
  <c r="FH17" i="2" s="1"/>
  <c r="FI17" i="2" s="1"/>
  <c r="FJ17" i="2" s="1"/>
  <c r="FK17" i="2" s="1"/>
  <c r="FL17" i="2" s="1"/>
  <c r="FM17" i="2" s="1"/>
  <c r="FN17" i="2" s="1"/>
  <c r="FO17" i="2" s="1"/>
  <c r="FP17" i="2" s="1"/>
  <c r="FQ17" i="2" s="1"/>
  <c r="FR17" i="2" s="1"/>
  <c r="FS17" i="2" s="1"/>
  <c r="FT17" i="2" s="1"/>
  <c r="FU17" i="2" s="1"/>
  <c r="FV17" i="2" s="1"/>
  <c r="FW17" i="2" s="1"/>
  <c r="FX17" i="2" s="1"/>
  <c r="FY17" i="2" s="1"/>
  <c r="FZ17" i="2" s="1"/>
  <c r="GA17" i="2" s="1"/>
  <c r="GB17" i="2" s="1"/>
  <c r="GC17" i="2" s="1"/>
  <c r="GD17" i="2" s="1"/>
  <c r="GE17" i="2" s="1"/>
  <c r="GF17" i="2" s="1"/>
  <c r="GG17" i="2" s="1"/>
  <c r="GH17" i="2" s="1"/>
  <c r="GI17" i="2" s="1"/>
  <c r="GJ17" i="2" s="1"/>
  <c r="GK17" i="2" s="1"/>
  <c r="GL17" i="2" s="1"/>
  <c r="GM17" i="2" s="1"/>
  <c r="GN17" i="2" s="1"/>
  <c r="GO17" i="2" s="1"/>
  <c r="GP17" i="2" s="1"/>
  <c r="GQ17" i="2" s="1"/>
  <c r="GR17" i="2" s="1"/>
  <c r="GS17" i="2" s="1"/>
  <c r="GT17" i="2" s="1"/>
  <c r="GU17" i="2" s="1"/>
  <c r="GV17" i="2" s="1"/>
  <c r="GW17" i="2" s="1"/>
  <c r="GX17" i="2" s="1"/>
  <c r="GY17" i="2" s="1"/>
  <c r="GZ17" i="2" s="1"/>
  <c r="HA17" i="2" s="1"/>
  <c r="HB17" i="2" s="1"/>
  <c r="HC17" i="2" s="1"/>
  <c r="HD17" i="2" s="1"/>
  <c r="HE17" i="2" s="1"/>
  <c r="HF17" i="2" s="1"/>
  <c r="HG17" i="2" s="1"/>
  <c r="HH17" i="2" s="1"/>
  <c r="HI17" i="2" s="1"/>
  <c r="HJ17" i="2" s="1"/>
  <c r="HK17" i="2" s="1"/>
  <c r="HL17" i="2" s="1"/>
  <c r="HM17" i="2" s="1"/>
  <c r="HN17" i="2" s="1"/>
  <c r="HO17" i="2" s="1"/>
  <c r="HP17" i="2" s="1"/>
  <c r="HQ17" i="2" s="1"/>
  <c r="HR17" i="2" s="1"/>
  <c r="HS17" i="2" s="1"/>
  <c r="HT17" i="2" s="1"/>
  <c r="HU17" i="2" s="1"/>
  <c r="HV17" i="2" s="1"/>
  <c r="HW17" i="2" s="1"/>
  <c r="HX17" i="2" s="1"/>
  <c r="HY17" i="2" s="1"/>
  <c r="HZ17" i="2" s="1"/>
  <c r="IA17" i="2" s="1"/>
  <c r="IB17" i="2" s="1"/>
  <c r="IC17" i="2" s="1"/>
  <c r="ID17" i="2" s="1"/>
  <c r="AJ17" i="2"/>
  <c r="V19" i="2"/>
  <c r="V18" i="2" s="1"/>
  <c r="AI17" i="2"/>
  <c r="AH17" i="2"/>
  <c r="AG17" i="2"/>
  <c r="AF17" i="2"/>
  <c r="AB17" i="2"/>
  <c r="AA17" i="2"/>
  <c r="Z17" i="2"/>
  <c r="Y17" i="2"/>
  <c r="X17" i="2"/>
  <c r="W17" i="2"/>
  <c r="V17" i="2"/>
  <c r="AI16" i="2"/>
  <c r="AH16" i="2"/>
  <c r="AG16" i="2"/>
  <c r="AF16" i="2"/>
  <c r="AE16" i="2"/>
  <c r="AE17" i="2" s="1"/>
  <c r="AD16" i="2"/>
  <c r="AD17" i="2" s="1"/>
  <c r="AC16" i="2"/>
  <c r="AC17" i="2" s="1"/>
  <c r="AB16" i="2"/>
  <c r="AA16" i="2"/>
  <c r="Z16" i="2"/>
  <c r="Y16" i="2"/>
  <c r="X16" i="2"/>
  <c r="W16" i="2"/>
  <c r="V16" i="2"/>
  <c r="U19" i="2"/>
  <c r="U17" i="2"/>
  <c r="U18" i="2" s="1"/>
  <c r="U16" i="2"/>
  <c r="T25" i="2"/>
  <c r="S25" i="2"/>
  <c r="R25" i="2"/>
  <c r="Q2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V14" i="2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AG14" i="2" s="1"/>
  <c r="AH14" i="2" s="1"/>
  <c r="AI14" i="2" s="1"/>
  <c r="U14" i="2"/>
  <c r="AI13" i="2"/>
  <c r="AI24" i="2" s="1"/>
  <c r="AH13" i="2"/>
  <c r="AG13" i="2"/>
  <c r="AF13" i="2"/>
  <c r="AE13" i="2"/>
  <c r="AD13" i="2"/>
  <c r="AC13" i="2"/>
  <c r="AB13" i="2"/>
  <c r="AA13" i="2"/>
  <c r="AA24" i="2" s="1"/>
  <c r="Z13" i="2"/>
  <c r="AH24" i="2"/>
  <c r="AG24" i="2"/>
  <c r="AF24" i="2"/>
  <c r="AE24" i="2"/>
  <c r="AD24" i="2"/>
  <c r="AC24" i="2"/>
  <c r="AB24" i="2"/>
  <c r="Z24" i="2"/>
  <c r="U24" i="2"/>
  <c r="Y13" i="2"/>
  <c r="Y24" i="2" s="1"/>
  <c r="X13" i="2"/>
  <c r="X24" i="2" s="1"/>
  <c r="W13" i="2"/>
  <c r="W24" i="2" s="1"/>
  <c r="V13" i="2"/>
  <c r="V24" i="2" s="1"/>
  <c r="U13" i="2"/>
  <c r="T24" i="2"/>
  <c r="S24" i="2"/>
  <c r="R24" i="2"/>
  <c r="Q24" i="2"/>
  <c r="AD6" i="2"/>
  <c r="AE6" i="2" s="1"/>
  <c r="AF6" i="2" s="1"/>
  <c r="AG6" i="2" s="1"/>
  <c r="AH6" i="2" s="1"/>
  <c r="AI6" i="2" s="1"/>
  <c r="AC6" i="2"/>
  <c r="Z6" i="2"/>
  <c r="AA6" i="2" s="1"/>
  <c r="AB6" i="2" s="1"/>
  <c r="Y6" i="2"/>
  <c r="V6" i="2"/>
  <c r="W6" i="2" s="1"/>
  <c r="X6" i="2" s="1"/>
  <c r="U6" i="2"/>
  <c r="T21" i="2"/>
  <c r="S21" i="2"/>
  <c r="R21" i="2"/>
  <c r="R14" i="2"/>
  <c r="Q19" i="2"/>
  <c r="R19" i="2"/>
  <c r="Q17" i="2"/>
  <c r="Q18" i="2" s="1"/>
  <c r="Q15" i="2"/>
  <c r="Q14" i="2"/>
  <c r="R12" i="2"/>
  <c r="Q12" i="2"/>
  <c r="Q13" i="2" s="1"/>
  <c r="Q8" i="2"/>
  <c r="R6" i="2"/>
  <c r="R8" i="2" s="1"/>
  <c r="Q6" i="2"/>
  <c r="S19" i="2"/>
  <c r="S16" i="2"/>
  <c r="S14" i="2"/>
  <c r="S12" i="2"/>
  <c r="S11" i="2"/>
  <c r="S10" i="2"/>
  <c r="S9" i="2"/>
  <c r="S8" i="2"/>
  <c r="S7" i="2"/>
  <c r="S6" i="2"/>
  <c r="S5" i="2"/>
  <c r="S4" i="2"/>
  <c r="S3" i="2"/>
  <c r="T19" i="2"/>
  <c r="T17" i="2"/>
  <c r="T18" i="2" s="1"/>
  <c r="T16" i="2"/>
  <c r="T15" i="2"/>
  <c r="T14" i="2"/>
  <c r="T12" i="2"/>
  <c r="T13" i="2" s="1"/>
  <c r="T11" i="2"/>
  <c r="T10" i="2"/>
  <c r="T9" i="2"/>
  <c r="T8" i="2"/>
  <c r="T7" i="2"/>
  <c r="T6" i="2"/>
  <c r="T5" i="2"/>
  <c r="T4" i="2"/>
  <c r="T3" i="2"/>
  <c r="S2" i="2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R2" i="2"/>
  <c r="J21" i="2"/>
  <c r="I21" i="2"/>
  <c r="H21" i="2"/>
  <c r="G21" i="2"/>
  <c r="C14" i="2"/>
  <c r="C19" i="2"/>
  <c r="G19" i="2"/>
  <c r="G14" i="2"/>
  <c r="C12" i="2"/>
  <c r="C6" i="2"/>
  <c r="C8" i="2" s="1"/>
  <c r="G12" i="2"/>
  <c r="G6" i="2"/>
  <c r="G8" i="2" s="1"/>
  <c r="F14" i="2"/>
  <c r="F12" i="2"/>
  <c r="F6" i="2"/>
  <c r="F8" i="2" s="1"/>
  <c r="J14" i="2"/>
  <c r="J12" i="2"/>
  <c r="J13" i="2" s="1"/>
  <c r="J24" i="2" s="1"/>
  <c r="J6" i="2"/>
  <c r="D14" i="2"/>
  <c r="D12" i="2"/>
  <c r="D6" i="2"/>
  <c r="D8" i="2" s="1"/>
  <c r="E14" i="2"/>
  <c r="E12" i="2"/>
  <c r="E8" i="2"/>
  <c r="I14" i="2"/>
  <c r="I6" i="2"/>
  <c r="F13" i="2" l="1"/>
  <c r="F24" i="2" s="1"/>
  <c r="W19" i="2"/>
  <c r="R13" i="2"/>
  <c r="R15" i="2" s="1"/>
  <c r="R17" i="2" s="1"/>
  <c r="R18" i="2" s="1"/>
  <c r="S13" i="2"/>
  <c r="S15" i="2" s="1"/>
  <c r="S17" i="2" s="1"/>
  <c r="S18" i="2" s="1"/>
  <c r="C13" i="2"/>
  <c r="G13" i="2"/>
  <c r="J8" i="2"/>
  <c r="J15" i="2" s="1"/>
  <c r="D13" i="2"/>
  <c r="E13" i="2"/>
  <c r="E15" i="2" l="1"/>
  <c r="E24" i="2"/>
  <c r="J17" i="2"/>
  <c r="J18" i="2" s="1"/>
  <c r="J25" i="2"/>
  <c r="G15" i="2"/>
  <c r="G24" i="2"/>
  <c r="D15" i="2"/>
  <c r="D24" i="2"/>
  <c r="F15" i="2"/>
  <c r="C15" i="2"/>
  <c r="C24" i="2"/>
  <c r="W18" i="2"/>
  <c r="X19" i="2"/>
  <c r="E6" i="2"/>
  <c r="C17" i="2" l="1"/>
  <c r="C18" i="2" s="1"/>
  <c r="C25" i="2"/>
  <c r="E17" i="2"/>
  <c r="E18" i="2" s="1"/>
  <c r="E25" i="2"/>
  <c r="F17" i="2"/>
  <c r="F18" i="2" s="1"/>
  <c r="F25" i="2"/>
  <c r="D17" i="2"/>
  <c r="D18" i="2" s="1"/>
  <c r="D25" i="2"/>
  <c r="G17" i="2"/>
  <c r="G18" i="2" s="1"/>
  <c r="G25" i="2"/>
  <c r="X18" i="2"/>
  <c r="Y19" i="2"/>
  <c r="AE2" i="2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AY2" i="2" s="1"/>
  <c r="AZ2" i="2" s="1"/>
  <c r="BA2" i="2" s="1"/>
  <c r="BB2" i="2" s="1"/>
  <c r="BC2" i="2" s="1"/>
  <c r="BD2" i="2" s="1"/>
  <c r="BE2" i="2" s="1"/>
  <c r="BF2" i="2" s="1"/>
  <c r="BG2" i="2" s="1"/>
  <c r="BH2" i="2" s="1"/>
  <c r="BI2" i="2" s="1"/>
  <c r="BJ2" i="2" s="1"/>
  <c r="BK2" i="2" s="1"/>
  <c r="BL2" i="2" s="1"/>
  <c r="BM2" i="2" s="1"/>
  <c r="BN2" i="2" s="1"/>
  <c r="BO2" i="2" s="1"/>
  <c r="BP2" i="2" s="1"/>
  <c r="BQ2" i="2" s="1"/>
  <c r="BR2" i="2" s="1"/>
  <c r="BS2" i="2" s="1"/>
  <c r="BT2" i="2" s="1"/>
  <c r="BU2" i="2" s="1"/>
  <c r="BV2" i="2" s="1"/>
  <c r="BW2" i="2" s="1"/>
  <c r="BX2" i="2" s="1"/>
  <c r="BY2" i="2" s="1"/>
  <c r="BZ2" i="2" s="1"/>
  <c r="CA2" i="2" s="1"/>
  <c r="CB2" i="2" s="1"/>
  <c r="CC2" i="2" s="1"/>
  <c r="CD2" i="2" s="1"/>
  <c r="CE2" i="2" s="1"/>
  <c r="CF2" i="2" s="1"/>
  <c r="CG2" i="2" s="1"/>
  <c r="CH2" i="2" s="1"/>
  <c r="CI2" i="2" s="1"/>
  <c r="CJ2" i="2" s="1"/>
  <c r="CK2" i="2" s="1"/>
  <c r="CL2" i="2" s="1"/>
  <c r="CM2" i="2" s="1"/>
  <c r="CN2" i="2" s="1"/>
  <c r="CO2" i="2" s="1"/>
  <c r="CP2" i="2" s="1"/>
  <c r="CQ2" i="2" s="1"/>
  <c r="CR2" i="2" s="1"/>
  <c r="CS2" i="2" s="1"/>
  <c r="CT2" i="2" s="1"/>
  <c r="CU2" i="2" s="1"/>
  <c r="CV2" i="2" s="1"/>
  <c r="CW2" i="2" s="1"/>
  <c r="CX2" i="2" s="1"/>
  <c r="CY2" i="2" s="1"/>
  <c r="CZ2" i="2" s="1"/>
  <c r="DA2" i="2" s="1"/>
  <c r="DB2" i="2" s="1"/>
  <c r="DC2" i="2" s="1"/>
  <c r="DD2" i="2" s="1"/>
  <c r="DE2" i="2" s="1"/>
  <c r="DF2" i="2" s="1"/>
  <c r="DG2" i="2" s="1"/>
  <c r="DH2" i="2" s="1"/>
  <c r="DI2" i="2" s="1"/>
  <c r="DJ2" i="2" s="1"/>
  <c r="DK2" i="2" s="1"/>
  <c r="DL2" i="2" s="1"/>
  <c r="DM2" i="2" s="1"/>
  <c r="DN2" i="2" s="1"/>
  <c r="DO2" i="2" s="1"/>
  <c r="DP2" i="2" s="1"/>
  <c r="DQ2" i="2" s="1"/>
  <c r="DR2" i="2" s="1"/>
  <c r="DS2" i="2" s="1"/>
  <c r="DT2" i="2" s="1"/>
  <c r="DU2" i="2" s="1"/>
  <c r="DV2" i="2" s="1"/>
  <c r="DW2" i="2" s="1"/>
  <c r="DX2" i="2" s="1"/>
  <c r="DY2" i="2" s="1"/>
  <c r="DZ2" i="2" s="1"/>
  <c r="EA2" i="2" s="1"/>
  <c r="EB2" i="2" s="1"/>
  <c r="EC2" i="2" s="1"/>
  <c r="ED2" i="2" s="1"/>
  <c r="EE2" i="2" s="1"/>
  <c r="EF2" i="2" s="1"/>
  <c r="EG2" i="2" s="1"/>
  <c r="EH2" i="2" s="1"/>
  <c r="EI2" i="2" s="1"/>
  <c r="EJ2" i="2" s="1"/>
  <c r="H12" i="2"/>
  <c r="H14" i="2"/>
  <c r="H6" i="2"/>
  <c r="H8" i="2" s="1"/>
  <c r="I45" i="2"/>
  <c r="I47" i="2" s="1"/>
  <c r="I43" i="2"/>
  <c r="I36" i="2"/>
  <c r="I33" i="2"/>
  <c r="I29" i="2"/>
  <c r="I37" i="2" s="1"/>
  <c r="I49" i="2" s="1"/>
  <c r="I50" i="2" s="1"/>
  <c r="I12" i="2"/>
  <c r="H6" i="1"/>
  <c r="H5" i="1"/>
  <c r="H4" i="1"/>
  <c r="H7" i="1" s="1"/>
  <c r="H13" i="2" l="1"/>
  <c r="Y18" i="2"/>
  <c r="Z19" i="2"/>
  <c r="I27" i="2"/>
  <c r="I8" i="2"/>
  <c r="H15" i="2" l="1"/>
  <c r="H24" i="2"/>
  <c r="AA19" i="2"/>
  <c r="Z18" i="2"/>
  <c r="I13" i="2"/>
  <c r="I15" i="2" l="1"/>
  <c r="I25" i="2" s="1"/>
  <c r="I24" i="2"/>
  <c r="H17" i="2"/>
  <c r="H18" i="2" s="1"/>
  <c r="H25" i="2"/>
  <c r="AA18" i="2"/>
  <c r="AB19" i="2"/>
  <c r="I17" i="2" l="1"/>
  <c r="I18" i="2" s="1"/>
  <c r="AB18" i="2"/>
  <c r="AC19" i="2"/>
  <c r="AD19" i="2" l="1"/>
  <c r="AC18" i="2"/>
  <c r="AE19" i="2" l="1"/>
  <c r="AD18" i="2"/>
  <c r="AF19" i="2" l="1"/>
  <c r="AE18" i="2"/>
  <c r="AG19" i="2" l="1"/>
  <c r="AF18" i="2"/>
  <c r="AH19" i="2" l="1"/>
  <c r="AG18" i="2"/>
  <c r="AI19" i="2" l="1"/>
  <c r="AI18" i="2" s="1"/>
  <c r="AH18" i="2"/>
</calcChain>
</file>

<file path=xl/comments1.xml><?xml version="1.0" encoding="utf-8"?>
<comments xmlns="http://schemas.openxmlformats.org/spreadsheetml/2006/main">
  <authors>
    <author>Martin Shkreli</author>
  </authors>
  <commentList>
    <comment ref="U21" authorId="0" shapeId="0">
      <text>
        <r>
          <rPr>
            <b/>
            <sz val="9"/>
            <color indexed="81"/>
            <rFont val="Tahoma"/>
            <family val="2"/>
          </rPr>
          <t>Martin Shkreli:</t>
        </r>
        <r>
          <rPr>
            <sz val="9"/>
            <color indexed="81"/>
            <rFont val="Tahoma"/>
            <family val="2"/>
          </rPr>
          <t xml:space="preserve">
Q415 guidance: +12% revenue growth for FY16</t>
        </r>
      </text>
    </comment>
    <comment ref="J22" authorId="0" shapeId="0">
      <text>
        <r>
          <rPr>
            <b/>
            <sz val="9"/>
            <color indexed="81"/>
            <rFont val="Tahoma"/>
            <charset val="1"/>
          </rPr>
          <t>Martin Shkreli:</t>
        </r>
        <r>
          <rPr>
            <sz val="9"/>
            <color indexed="81"/>
            <rFont val="Tahoma"/>
            <charset val="1"/>
          </rPr>
          <t xml:space="preserve">
4% increase in traffic</t>
        </r>
      </text>
    </comment>
    <comment ref="T22" authorId="0" shapeId="0">
      <text>
        <r>
          <rPr>
            <b/>
            <sz val="9"/>
            <color indexed="81"/>
            <rFont val="Tahoma"/>
            <charset val="1"/>
          </rPr>
          <t>Martin Shkreli:</t>
        </r>
        <r>
          <rPr>
            <sz val="9"/>
            <color indexed="81"/>
            <rFont val="Tahoma"/>
            <charset val="1"/>
          </rPr>
          <t xml:space="preserve">
3% traffic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Martin Shkreli:</t>
        </r>
        <r>
          <rPr>
            <sz val="9"/>
            <color indexed="81"/>
            <rFont val="Tahoma"/>
            <family val="2"/>
          </rPr>
          <t xml:space="preserve">
Q415 guidance: FY16 SSS "somewhat above mid-single digits"</t>
        </r>
      </text>
    </comment>
    <comment ref="T23" authorId="0" shapeId="0">
      <text>
        <r>
          <rPr>
            <b/>
            <sz val="9"/>
            <color indexed="81"/>
            <rFont val="Tahoma"/>
            <charset val="1"/>
          </rPr>
          <t>Martin Shkreli:</t>
        </r>
        <r>
          <rPr>
            <sz val="9"/>
            <color indexed="81"/>
            <rFont val="Tahoma"/>
            <charset val="1"/>
          </rPr>
          <t xml:space="preserve">
3% traffic</t>
        </r>
      </text>
    </comment>
  </commentList>
</comments>
</file>

<file path=xl/sharedStrings.xml><?xml version="1.0" encoding="utf-8"?>
<sst xmlns="http://schemas.openxmlformats.org/spreadsheetml/2006/main" count="74" uniqueCount="68">
  <si>
    <t>Price</t>
  </si>
  <si>
    <t>Shares</t>
  </si>
  <si>
    <t>MC</t>
  </si>
  <si>
    <t>Cash</t>
  </si>
  <si>
    <t>Debt</t>
  </si>
  <si>
    <t>EV</t>
  </si>
  <si>
    <t>Q215</t>
  </si>
  <si>
    <t>Main</t>
  </si>
  <si>
    <t>Revenue</t>
  </si>
  <si>
    <t>Q114</t>
  </si>
  <si>
    <t>Q214</t>
  </si>
  <si>
    <t>Q314</t>
  </si>
  <si>
    <t>Q414</t>
  </si>
  <si>
    <t>Q115</t>
  </si>
  <si>
    <t>Q315</t>
  </si>
  <si>
    <t>Q415</t>
  </si>
  <si>
    <t>Company-Operated Stores</t>
  </si>
  <si>
    <t>Licensed Stores</t>
  </si>
  <si>
    <t>CPG, Foodservice and Other</t>
  </si>
  <si>
    <t>Gross Margin</t>
  </si>
  <si>
    <t>Other Operating Expenses</t>
  </si>
  <si>
    <t>Operating Expenses</t>
  </si>
  <si>
    <t>Operating Income</t>
  </si>
  <si>
    <t>Net Income</t>
  </si>
  <si>
    <t>Taxes</t>
  </si>
  <si>
    <t>Pretax Income</t>
  </si>
  <si>
    <t>Interest Income</t>
  </si>
  <si>
    <t>A/R</t>
  </si>
  <si>
    <t>Inventories</t>
  </si>
  <si>
    <t>Prepaid Expenses</t>
  </si>
  <si>
    <t>Deferred Income Taxes</t>
  </si>
  <si>
    <t>PP&amp;E</t>
  </si>
  <si>
    <t>OLTA</t>
  </si>
  <si>
    <t>Intangible</t>
  </si>
  <si>
    <t>Assets</t>
  </si>
  <si>
    <t>A/P</t>
  </si>
  <si>
    <t>A/L</t>
  </si>
  <si>
    <t>Insurance</t>
  </si>
  <si>
    <t>Stored Value</t>
  </si>
  <si>
    <t>OLTL</t>
  </si>
  <si>
    <t>Liabilities</t>
  </si>
  <si>
    <t>S/E</t>
  </si>
  <si>
    <t>L+SE</t>
  </si>
  <si>
    <t>Net Cash</t>
  </si>
  <si>
    <t>Book Value (S/E) A - L</t>
  </si>
  <si>
    <t>Tangible Book Value</t>
  </si>
  <si>
    <t>NPV</t>
  </si>
  <si>
    <t>Revenue Growth</t>
  </si>
  <si>
    <t>Howard Schultz - CEO</t>
  </si>
  <si>
    <t>COGS</t>
  </si>
  <si>
    <t>Store Operating Costs</t>
  </si>
  <si>
    <t>G&amp;A</t>
  </si>
  <si>
    <t>EPS</t>
  </si>
  <si>
    <t>Operating Margin</t>
  </si>
  <si>
    <t>Tax Rate</t>
  </si>
  <si>
    <t>Discount</t>
  </si>
  <si>
    <t>Maturity</t>
  </si>
  <si>
    <t>Share</t>
  </si>
  <si>
    <t>Q116</t>
  </si>
  <si>
    <t>Q216</t>
  </si>
  <si>
    <t>Q316</t>
  </si>
  <si>
    <t>Q416</t>
  </si>
  <si>
    <t>Total Comps</t>
  </si>
  <si>
    <t>US Comps</t>
  </si>
  <si>
    <t>Stores</t>
  </si>
  <si>
    <t>Store Net Adds</t>
  </si>
  <si>
    <t>Revenue/Store</t>
  </si>
  <si>
    <t>Store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</si>
</sst>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&quot;x&quot;"/>
    <numFmt numFmtId="165" formatCode="0.0%"/>
  </numFmts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9" fontId="0" fillId="0" borderId="0" xfId="0" applyNumberFormat="1" applyAlignment="1">
      <alignment horizontal="right"/>
    </xf>
    <xf numFmtId="0" fontId="3" fillId="0" borderId="0" xfId="1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/>
    <xf numFmtId="3" fontId="0" fillId="0" borderId="0" xfId="0" applyNumberFormat="1" applyFont="1"/>
    <xf numFmtId="165" fontId="0" fillId="0" borderId="0" xfId="0" applyNumberFormat="1"/>
    <xf numFmtId="165" fontId="0" fillId="0" borderId="0" xfId="0" applyNumberFormat="1" applyFont="1"/>
    <xf numFmtId="9" fontId="1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0</xdr:row>
      <xdr:rowOff>0</xdr:rowOff>
    </xdr:from>
    <xdr:to>
      <xdr:col>10</xdr:col>
      <xdr:colOff>9525</xdr:colOff>
      <xdr:row>68</xdr:row>
      <xdr:rowOff>57150</xdr:rowOff>
    </xdr:to>
    <xdr:cxnSp macro="">
      <xdr:nvCxnSpPr>
        <xdr:cNvPr id="3" name="Straight Connector 2"/>
        <xdr:cNvCxnSpPr/>
      </xdr:nvCxnSpPr>
      <xdr:spPr>
        <a:xfrm>
          <a:off x="7258050" y="0"/>
          <a:ext cx="0" cy="11068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</xdr:colOff>
      <xdr:row>0</xdr:row>
      <xdr:rowOff>0</xdr:rowOff>
    </xdr:from>
    <xdr:to>
      <xdr:col>20</xdr:col>
      <xdr:colOff>19050</xdr:colOff>
      <xdr:row>76</xdr:row>
      <xdr:rowOff>85725</xdr:rowOff>
    </xdr:to>
    <xdr:cxnSp macro="">
      <xdr:nvCxnSpPr>
        <xdr:cNvPr id="4" name="Straight Connector 3"/>
        <xdr:cNvCxnSpPr/>
      </xdr:nvCxnSpPr>
      <xdr:spPr>
        <a:xfrm>
          <a:off x="13354050" y="0"/>
          <a:ext cx="0" cy="12392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P34"/>
  <sheetViews>
    <sheetView zoomScaleNormal="100" workbookViewId="0">
      <selection activeCell="G8" sqref="G8"/>
    </sheetView>
  </sheetViews>
  <sheetFormatPr defaultRowHeight="12.75" x14ac:dyDescent="0.2"/>
  <cols>
    <col min="1" max="1" width="4.85546875" customWidth="1"/>
    <col min="2" max="5" width="9.140625" customWidth="1"/>
    <col min="6" max="6" width="11.140625" customWidth="1"/>
    <col min="7" max="7" width="8.42578125" customWidth="1"/>
    <col min="8" max="8" width="10.85546875" customWidth="1"/>
    <col min="9" max="11" width="11" customWidth="1"/>
    <col min="12" max="12" width="12.7109375" customWidth="1"/>
  </cols>
  <sheetData>
    <row r="2" spans="2:94" x14ac:dyDescent="0.2">
      <c r="G2" t="s">
        <v>0</v>
      </c>
      <c r="H2" s="1">
        <v>63</v>
      </c>
      <c r="J2" s="1"/>
    </row>
    <row r="3" spans="2:94" x14ac:dyDescent="0.2">
      <c r="G3" t="s">
        <v>1</v>
      </c>
      <c r="H3" s="2">
        <v>1484.2</v>
      </c>
      <c r="I3" s="4" t="s">
        <v>6</v>
      </c>
    </row>
    <row r="4" spans="2:94" x14ac:dyDescent="0.2">
      <c r="G4" t="s">
        <v>2</v>
      </c>
      <c r="H4" s="15">
        <f>+H3*H2</f>
        <v>93504.6</v>
      </c>
      <c r="I4" s="4"/>
    </row>
    <row r="5" spans="2:94" x14ac:dyDescent="0.2">
      <c r="G5" t="s">
        <v>3</v>
      </c>
      <c r="H5" s="15">
        <f>2080.5+94.7+390.1+359.4</f>
        <v>2924.7</v>
      </c>
      <c r="I5" s="4" t="s">
        <v>6</v>
      </c>
    </row>
    <row r="6" spans="2:94" x14ac:dyDescent="0.2">
      <c r="G6" t="s">
        <v>4</v>
      </c>
      <c r="H6" s="2">
        <f>549.8+2347.4</f>
        <v>2897.2</v>
      </c>
      <c r="I6" s="4" t="s">
        <v>6</v>
      </c>
    </row>
    <row r="7" spans="2:94" x14ac:dyDescent="0.2">
      <c r="G7" t="s">
        <v>5</v>
      </c>
      <c r="H7" s="2">
        <f>+H4-H5+H6</f>
        <v>93477.1</v>
      </c>
    </row>
    <row r="8" spans="2:94" x14ac:dyDescent="0.2">
      <c r="H8" s="2"/>
    </row>
    <row r="9" spans="2:94" x14ac:dyDescent="0.2">
      <c r="H9" s="2"/>
    </row>
    <row r="10" spans="2:94" x14ac:dyDescent="0.2">
      <c r="B10" t="s">
        <v>48</v>
      </c>
      <c r="H10" s="14"/>
    </row>
    <row r="12" spans="2:94" x14ac:dyDescent="0.2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</row>
    <row r="13" spans="2:94" x14ac:dyDescent="0.2">
      <c r="C13" s="2"/>
    </row>
    <row r="14" spans="2:94" x14ac:dyDescent="0.2">
      <c r="C14" s="1"/>
    </row>
    <row r="15" spans="2:94" x14ac:dyDescent="0.2">
      <c r="C15" s="1"/>
    </row>
    <row r="17" spans="3:94" x14ac:dyDescent="0.2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</row>
    <row r="18" spans="3:94" x14ac:dyDescent="0.2">
      <c r="C18" s="15"/>
      <c r="D18" s="2"/>
      <c r="E18" s="2"/>
      <c r="F18" s="2"/>
      <c r="G18" s="2"/>
      <c r="H18" s="2"/>
      <c r="I18" s="2"/>
      <c r="J18" s="2"/>
      <c r="K18" s="2"/>
      <c r="L18" s="7"/>
    </row>
    <row r="19" spans="3:94" x14ac:dyDescent="0.2">
      <c r="C19" s="1"/>
      <c r="D19" s="15"/>
      <c r="E19" s="15"/>
      <c r="F19" s="15"/>
      <c r="G19" s="15"/>
      <c r="H19" s="15"/>
      <c r="I19" s="15"/>
      <c r="J19" s="15"/>
      <c r="K19" s="15"/>
      <c r="L19" s="15"/>
    </row>
    <row r="20" spans="3:94" x14ac:dyDescent="0.2">
      <c r="D20" s="1"/>
      <c r="E20" s="2"/>
      <c r="F20" s="2"/>
    </row>
    <row r="21" spans="3:94" x14ac:dyDescent="0.2">
      <c r="D21" s="1"/>
      <c r="E21" s="2"/>
      <c r="F21" s="2"/>
    </row>
    <row r="22" spans="3:94" x14ac:dyDescent="0.2">
      <c r="E22" s="2"/>
      <c r="F22" s="2"/>
    </row>
    <row r="23" spans="3:94" x14ac:dyDescent="0.2">
      <c r="C23" s="15"/>
      <c r="D23" s="2"/>
      <c r="E23" s="2"/>
      <c r="F23" s="2"/>
      <c r="G23" s="2"/>
      <c r="H23" s="2"/>
      <c r="I23" s="2"/>
      <c r="J23" s="2"/>
      <c r="K23" s="2"/>
      <c r="L23" s="15"/>
    </row>
    <row r="25" spans="3:94" x14ac:dyDescent="0.2">
      <c r="F25" s="7"/>
    </row>
    <row r="26" spans="3:94" x14ac:dyDescent="0.2">
      <c r="C26" s="12"/>
      <c r="D26" s="13"/>
      <c r="E26" s="12"/>
      <c r="F26" s="12"/>
    </row>
    <row r="27" spans="3:94" x14ac:dyDescent="0.2">
      <c r="C27" s="12"/>
      <c r="D27" s="12"/>
      <c r="E27" s="12"/>
      <c r="F27" s="12"/>
    </row>
    <row r="28" spans="3:94" x14ac:dyDescent="0.2">
      <c r="C28" s="12"/>
      <c r="D28" s="12"/>
      <c r="E28" s="12"/>
      <c r="F28" s="12"/>
    </row>
    <row r="29" spans="3:94" x14ac:dyDescent="0.2">
      <c r="C29" s="16"/>
      <c r="D29" s="1"/>
      <c r="E29" s="1"/>
    </row>
    <row r="30" spans="3:94" x14ac:dyDescent="0.2">
      <c r="C30" s="16"/>
      <c r="D30" s="1"/>
      <c r="E30" s="1"/>
    </row>
    <row r="31" spans="3:94" x14ac:dyDescent="0.2">
      <c r="C31" s="16"/>
      <c r="D31" s="1"/>
      <c r="E31" s="1"/>
    </row>
    <row r="32" spans="3:94" x14ac:dyDescent="0.2">
      <c r="C32" s="16"/>
      <c r="D32" s="1"/>
      <c r="E32" s="1"/>
    </row>
    <row r="33" spans="3:5" x14ac:dyDescent="0.2">
      <c r="C33" s="16"/>
    </row>
    <row r="34" spans="3:5" x14ac:dyDescent="0.2">
      <c r="C34" s="16"/>
      <c r="D34" s="1"/>
      <c r="E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D59"/>
  <sheetViews>
    <sheetView tabSelected="1" workbookViewId="0">
      <pane xSplit="2" ySplit="2" topLeftCell="G3" activePane="bottomRight" state="frozen"/>
      <selection pane="topRight" activeCell="C1" sqref="C1"/>
      <selection pane="bottomLeft" activeCell="A3" sqref="A3"/>
      <selection pane="bottomRight" activeCell="J11" sqref="J11"/>
    </sheetView>
  </sheetViews>
  <sheetFormatPr defaultRowHeight="12.75" x14ac:dyDescent="0.2"/>
  <cols>
    <col min="1" max="1" width="5" bestFit="1" customWidth="1"/>
    <col min="2" max="2" width="28.5703125" customWidth="1"/>
    <col min="3" max="3" width="10.140625" style="4" bestFit="1" customWidth="1"/>
    <col min="4" max="6" width="9.140625" style="4"/>
    <col min="7" max="7" width="10.140625" style="4" bestFit="1" customWidth="1"/>
    <col min="8" max="16" width="9.140625" style="4"/>
    <col min="20" max="29" width="9" customWidth="1"/>
    <col min="38" max="38" width="9.42578125" customWidth="1"/>
  </cols>
  <sheetData>
    <row r="1" spans="1:140" x14ac:dyDescent="0.2">
      <c r="A1" s="11" t="s">
        <v>7</v>
      </c>
      <c r="C1" s="20">
        <v>41637</v>
      </c>
      <c r="D1" s="20">
        <v>41728</v>
      </c>
      <c r="E1" s="20">
        <v>42184</v>
      </c>
      <c r="F1" s="20">
        <v>41910</v>
      </c>
      <c r="G1" s="20">
        <v>42001</v>
      </c>
      <c r="H1" s="20">
        <v>42092</v>
      </c>
      <c r="I1" s="20">
        <v>42183</v>
      </c>
      <c r="J1" s="20">
        <v>42274</v>
      </c>
      <c r="K1" s="20"/>
      <c r="L1" s="20"/>
      <c r="M1" s="20"/>
      <c r="N1" s="20"/>
      <c r="O1" s="20"/>
    </row>
    <row r="2" spans="1:140" x14ac:dyDescent="0.2">
      <c r="B2" s="5"/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6</v>
      </c>
      <c r="I2" s="4" t="s">
        <v>14</v>
      </c>
      <c r="J2" s="4" t="s">
        <v>15</v>
      </c>
      <c r="K2" s="4" t="s">
        <v>58</v>
      </c>
      <c r="L2" s="4" t="s">
        <v>59</v>
      </c>
      <c r="M2" s="4" t="s">
        <v>60</v>
      </c>
      <c r="N2" s="4" t="s">
        <v>61</v>
      </c>
      <c r="Q2">
        <v>2012</v>
      </c>
      <c r="R2">
        <f>+Q2+1</f>
        <v>2013</v>
      </c>
      <c r="S2">
        <f t="shared" ref="S2:AD2" si="0">+R2+1</f>
        <v>2014</v>
      </c>
      <c r="T2">
        <f t="shared" si="0"/>
        <v>2015</v>
      </c>
      <c r="U2">
        <f t="shared" si="0"/>
        <v>2016</v>
      </c>
      <c r="V2">
        <f t="shared" si="0"/>
        <v>2017</v>
      </c>
      <c r="W2">
        <f t="shared" si="0"/>
        <v>2018</v>
      </c>
      <c r="X2">
        <f t="shared" si="0"/>
        <v>2019</v>
      </c>
      <c r="Y2">
        <f t="shared" si="0"/>
        <v>2020</v>
      </c>
      <c r="Z2">
        <f t="shared" si="0"/>
        <v>2021</v>
      </c>
      <c r="AA2">
        <f t="shared" si="0"/>
        <v>2022</v>
      </c>
      <c r="AB2">
        <f t="shared" si="0"/>
        <v>2023</v>
      </c>
      <c r="AC2">
        <f t="shared" si="0"/>
        <v>2024</v>
      </c>
      <c r="AD2">
        <f t="shared" si="0"/>
        <v>2025</v>
      </c>
      <c r="AE2">
        <f t="shared" ref="AE2:CG2" si="1">+AD2+1</f>
        <v>2026</v>
      </c>
      <c r="AF2">
        <f t="shared" si="1"/>
        <v>2027</v>
      </c>
      <c r="AG2">
        <f t="shared" si="1"/>
        <v>2028</v>
      </c>
      <c r="AH2">
        <f t="shared" si="1"/>
        <v>2029</v>
      </c>
      <c r="AI2">
        <f t="shared" si="1"/>
        <v>2030</v>
      </c>
      <c r="AJ2">
        <f t="shared" si="1"/>
        <v>2031</v>
      </c>
      <c r="AK2">
        <f t="shared" si="1"/>
        <v>2032</v>
      </c>
      <c r="AL2">
        <f t="shared" si="1"/>
        <v>2033</v>
      </c>
      <c r="AM2">
        <f t="shared" si="1"/>
        <v>2034</v>
      </c>
      <c r="AN2">
        <f t="shared" si="1"/>
        <v>2035</v>
      </c>
      <c r="AO2">
        <f t="shared" si="1"/>
        <v>2036</v>
      </c>
      <c r="AP2">
        <f t="shared" si="1"/>
        <v>2037</v>
      </c>
      <c r="AQ2">
        <f t="shared" si="1"/>
        <v>2038</v>
      </c>
      <c r="AR2">
        <f t="shared" si="1"/>
        <v>2039</v>
      </c>
      <c r="AS2">
        <f t="shared" si="1"/>
        <v>2040</v>
      </c>
      <c r="AT2">
        <f t="shared" si="1"/>
        <v>2041</v>
      </c>
      <c r="AU2">
        <f t="shared" si="1"/>
        <v>2042</v>
      </c>
      <c r="AV2">
        <f t="shared" si="1"/>
        <v>2043</v>
      </c>
      <c r="AW2">
        <f t="shared" si="1"/>
        <v>2044</v>
      </c>
      <c r="AX2">
        <f t="shared" si="1"/>
        <v>2045</v>
      </c>
      <c r="AY2">
        <f t="shared" si="1"/>
        <v>2046</v>
      </c>
      <c r="AZ2">
        <f t="shared" si="1"/>
        <v>2047</v>
      </c>
      <c r="BA2">
        <f t="shared" si="1"/>
        <v>2048</v>
      </c>
      <c r="BB2">
        <f t="shared" si="1"/>
        <v>2049</v>
      </c>
      <c r="BC2">
        <f t="shared" si="1"/>
        <v>2050</v>
      </c>
      <c r="BD2">
        <f t="shared" si="1"/>
        <v>2051</v>
      </c>
      <c r="BE2">
        <f t="shared" si="1"/>
        <v>2052</v>
      </c>
      <c r="BF2">
        <f t="shared" si="1"/>
        <v>2053</v>
      </c>
      <c r="BG2">
        <f t="shared" si="1"/>
        <v>2054</v>
      </c>
      <c r="BH2">
        <f t="shared" si="1"/>
        <v>2055</v>
      </c>
      <c r="BI2">
        <f t="shared" si="1"/>
        <v>2056</v>
      </c>
      <c r="BJ2">
        <f t="shared" si="1"/>
        <v>2057</v>
      </c>
      <c r="BK2">
        <f t="shared" si="1"/>
        <v>2058</v>
      </c>
      <c r="BL2">
        <f t="shared" si="1"/>
        <v>2059</v>
      </c>
      <c r="BM2">
        <f t="shared" si="1"/>
        <v>2060</v>
      </c>
      <c r="BN2">
        <f t="shared" si="1"/>
        <v>2061</v>
      </c>
      <c r="BO2">
        <f t="shared" si="1"/>
        <v>2062</v>
      </c>
      <c r="BP2">
        <f t="shared" si="1"/>
        <v>2063</v>
      </c>
      <c r="BQ2">
        <f t="shared" si="1"/>
        <v>2064</v>
      </c>
      <c r="BR2">
        <f t="shared" si="1"/>
        <v>2065</v>
      </c>
      <c r="BS2">
        <f t="shared" si="1"/>
        <v>2066</v>
      </c>
      <c r="BT2">
        <f t="shared" si="1"/>
        <v>2067</v>
      </c>
      <c r="BU2">
        <f t="shared" si="1"/>
        <v>2068</v>
      </c>
      <c r="BV2">
        <f t="shared" si="1"/>
        <v>2069</v>
      </c>
      <c r="BW2">
        <f t="shared" si="1"/>
        <v>2070</v>
      </c>
      <c r="BX2">
        <f t="shared" si="1"/>
        <v>2071</v>
      </c>
      <c r="BY2">
        <f t="shared" si="1"/>
        <v>2072</v>
      </c>
      <c r="BZ2">
        <f t="shared" si="1"/>
        <v>2073</v>
      </c>
      <c r="CA2">
        <f t="shared" si="1"/>
        <v>2074</v>
      </c>
      <c r="CB2">
        <f t="shared" si="1"/>
        <v>2075</v>
      </c>
      <c r="CC2">
        <f t="shared" si="1"/>
        <v>2076</v>
      </c>
      <c r="CD2">
        <f t="shared" si="1"/>
        <v>2077</v>
      </c>
      <c r="CE2">
        <f t="shared" si="1"/>
        <v>2078</v>
      </c>
      <c r="CF2">
        <f t="shared" si="1"/>
        <v>2079</v>
      </c>
      <c r="CG2">
        <f t="shared" si="1"/>
        <v>2080</v>
      </c>
      <c r="CH2">
        <f t="shared" ref="CH2:EJ2" si="2">+CG2+1</f>
        <v>2081</v>
      </c>
      <c r="CI2">
        <f t="shared" si="2"/>
        <v>2082</v>
      </c>
      <c r="CJ2">
        <f t="shared" si="2"/>
        <v>2083</v>
      </c>
      <c r="CK2">
        <f t="shared" si="2"/>
        <v>2084</v>
      </c>
      <c r="CL2">
        <f t="shared" si="2"/>
        <v>2085</v>
      </c>
      <c r="CM2">
        <f t="shared" si="2"/>
        <v>2086</v>
      </c>
      <c r="CN2">
        <f t="shared" si="2"/>
        <v>2087</v>
      </c>
      <c r="CO2">
        <f t="shared" si="2"/>
        <v>2088</v>
      </c>
      <c r="CP2">
        <f t="shared" si="2"/>
        <v>2089</v>
      </c>
      <c r="CQ2">
        <f t="shared" si="2"/>
        <v>2090</v>
      </c>
      <c r="CR2">
        <f t="shared" si="2"/>
        <v>2091</v>
      </c>
      <c r="CS2">
        <f t="shared" si="2"/>
        <v>2092</v>
      </c>
      <c r="CT2">
        <f t="shared" si="2"/>
        <v>2093</v>
      </c>
      <c r="CU2">
        <f t="shared" si="2"/>
        <v>2094</v>
      </c>
      <c r="CV2">
        <f t="shared" si="2"/>
        <v>2095</v>
      </c>
      <c r="CW2">
        <f t="shared" si="2"/>
        <v>2096</v>
      </c>
      <c r="CX2">
        <f t="shared" si="2"/>
        <v>2097</v>
      </c>
      <c r="CY2">
        <f t="shared" si="2"/>
        <v>2098</v>
      </c>
      <c r="CZ2">
        <f t="shared" si="2"/>
        <v>2099</v>
      </c>
      <c r="DA2">
        <f t="shared" si="2"/>
        <v>2100</v>
      </c>
      <c r="DB2">
        <f t="shared" si="2"/>
        <v>2101</v>
      </c>
      <c r="DC2">
        <f t="shared" si="2"/>
        <v>2102</v>
      </c>
      <c r="DD2">
        <f t="shared" si="2"/>
        <v>2103</v>
      </c>
      <c r="DE2">
        <f t="shared" si="2"/>
        <v>2104</v>
      </c>
      <c r="DF2">
        <f t="shared" si="2"/>
        <v>2105</v>
      </c>
      <c r="DG2">
        <f t="shared" si="2"/>
        <v>2106</v>
      </c>
      <c r="DH2">
        <f t="shared" si="2"/>
        <v>2107</v>
      </c>
      <c r="DI2">
        <f t="shared" si="2"/>
        <v>2108</v>
      </c>
      <c r="DJ2">
        <f t="shared" si="2"/>
        <v>2109</v>
      </c>
      <c r="DK2">
        <f t="shared" si="2"/>
        <v>2110</v>
      </c>
      <c r="DL2">
        <f t="shared" si="2"/>
        <v>2111</v>
      </c>
      <c r="DM2">
        <f t="shared" si="2"/>
        <v>2112</v>
      </c>
      <c r="DN2">
        <f t="shared" si="2"/>
        <v>2113</v>
      </c>
      <c r="DO2">
        <f t="shared" si="2"/>
        <v>2114</v>
      </c>
      <c r="DP2">
        <f t="shared" si="2"/>
        <v>2115</v>
      </c>
      <c r="DQ2">
        <f t="shared" si="2"/>
        <v>2116</v>
      </c>
      <c r="DR2">
        <f t="shared" si="2"/>
        <v>2117</v>
      </c>
      <c r="DS2">
        <f t="shared" si="2"/>
        <v>2118</v>
      </c>
      <c r="DT2">
        <f t="shared" si="2"/>
        <v>2119</v>
      </c>
      <c r="DU2">
        <f t="shared" si="2"/>
        <v>2120</v>
      </c>
      <c r="DV2">
        <f t="shared" si="2"/>
        <v>2121</v>
      </c>
      <c r="DW2">
        <f t="shared" si="2"/>
        <v>2122</v>
      </c>
      <c r="DX2">
        <f t="shared" si="2"/>
        <v>2123</v>
      </c>
      <c r="DY2">
        <f t="shared" si="2"/>
        <v>2124</v>
      </c>
      <c r="DZ2">
        <f t="shared" si="2"/>
        <v>2125</v>
      </c>
      <c r="EA2">
        <f t="shared" si="2"/>
        <v>2126</v>
      </c>
      <c r="EB2">
        <f t="shared" si="2"/>
        <v>2127</v>
      </c>
      <c r="EC2">
        <f t="shared" si="2"/>
        <v>2128</v>
      </c>
      <c r="ED2">
        <f t="shared" si="2"/>
        <v>2129</v>
      </c>
      <c r="EE2">
        <f t="shared" si="2"/>
        <v>2130</v>
      </c>
      <c r="EF2">
        <f t="shared" si="2"/>
        <v>2131</v>
      </c>
      <c r="EG2">
        <f t="shared" si="2"/>
        <v>2132</v>
      </c>
      <c r="EH2">
        <f t="shared" si="2"/>
        <v>2133</v>
      </c>
      <c r="EI2">
        <f t="shared" si="2"/>
        <v>2134</v>
      </c>
      <c r="EJ2">
        <f t="shared" si="2"/>
        <v>2135</v>
      </c>
    </row>
    <row r="3" spans="1:140" s="2" customFormat="1" x14ac:dyDescent="0.2">
      <c r="B3" s="2" t="s">
        <v>16</v>
      </c>
      <c r="C3" s="6">
        <v>3343.8</v>
      </c>
      <c r="D3" s="6">
        <v>3068</v>
      </c>
      <c r="E3" s="6">
        <v>3290.5</v>
      </c>
      <c r="F3" s="6">
        <v>3275.7</v>
      </c>
      <c r="G3" s="6">
        <v>3772.8</v>
      </c>
      <c r="H3" s="6">
        <v>3622.9</v>
      </c>
      <c r="I3" s="6">
        <v>3915</v>
      </c>
      <c r="J3" s="6">
        <v>3886.6</v>
      </c>
      <c r="K3" s="6"/>
      <c r="L3" s="6"/>
      <c r="M3" s="6"/>
      <c r="N3" s="6"/>
      <c r="O3" s="6"/>
      <c r="P3" s="6"/>
      <c r="Q3" s="2">
        <v>10534.5</v>
      </c>
      <c r="R3" s="2">
        <v>11793.2</v>
      </c>
      <c r="S3" s="2">
        <f>SUM(C3:F3)</f>
        <v>12978</v>
      </c>
      <c r="T3" s="2">
        <f>SUM(G3:J3)</f>
        <v>15197.300000000001</v>
      </c>
    </row>
    <row r="4" spans="1:140" s="2" customFormat="1" x14ac:dyDescent="0.2">
      <c r="B4" s="2" t="s">
        <v>17</v>
      </c>
      <c r="C4" s="6">
        <v>401.8</v>
      </c>
      <c r="D4" s="6">
        <v>356.2</v>
      </c>
      <c r="E4" s="6">
        <v>408.1</v>
      </c>
      <c r="F4" s="6">
        <v>422.6</v>
      </c>
      <c r="G4" s="6">
        <v>483.9</v>
      </c>
      <c r="H4" s="6">
        <v>421.3</v>
      </c>
      <c r="I4" s="6">
        <v>475.2</v>
      </c>
      <c r="J4" s="6">
        <v>481.4</v>
      </c>
      <c r="K4" s="6"/>
      <c r="L4" s="6"/>
      <c r="M4" s="6"/>
      <c r="N4" s="6"/>
      <c r="O4" s="6"/>
      <c r="P4" s="6"/>
      <c r="Q4" s="2">
        <v>1210.3</v>
      </c>
      <c r="R4" s="2">
        <v>1360.5</v>
      </c>
      <c r="S4" s="2">
        <f>SUM(C4:F4)</f>
        <v>1588.6999999999998</v>
      </c>
      <c r="T4" s="2">
        <f t="shared" ref="T4:T11" si="3">SUM(G4:J4)</f>
        <v>1861.8000000000002</v>
      </c>
    </row>
    <row r="5" spans="1:140" s="2" customFormat="1" x14ac:dyDescent="0.2">
      <c r="B5" s="2" t="s">
        <v>18</v>
      </c>
      <c r="C5" s="6">
        <v>494</v>
      </c>
      <c r="D5" s="6">
        <v>449.6</v>
      </c>
      <c r="E5" s="6">
        <v>455.1</v>
      </c>
      <c r="F5" s="6">
        <v>482.5</v>
      </c>
      <c r="G5" s="6">
        <v>546.5</v>
      </c>
      <c r="H5" s="6">
        <v>519.29999999999995</v>
      </c>
      <c r="I5" s="6">
        <v>491</v>
      </c>
      <c r="J5" s="6">
        <v>546.79999999999995</v>
      </c>
      <c r="K5" s="6"/>
      <c r="L5" s="6"/>
      <c r="M5" s="6"/>
      <c r="N5" s="6"/>
      <c r="O5" s="6"/>
      <c r="P5" s="6"/>
      <c r="Q5" s="2">
        <v>1532</v>
      </c>
      <c r="R5" s="2">
        <v>1713.1</v>
      </c>
      <c r="S5" s="2">
        <f>SUM(C5:F5)</f>
        <v>1881.2</v>
      </c>
      <c r="T5" s="2">
        <f t="shared" si="3"/>
        <v>2103.6</v>
      </c>
    </row>
    <row r="6" spans="1:140" s="7" customFormat="1" x14ac:dyDescent="0.2">
      <c r="B6" s="7" t="s">
        <v>8</v>
      </c>
      <c r="C6" s="8">
        <f t="shared" ref="C6:J6" si="4">SUM(C3:C5)</f>
        <v>4239.6000000000004</v>
      </c>
      <c r="D6" s="8">
        <f t="shared" si="4"/>
        <v>3873.7999999999997</v>
      </c>
      <c r="E6" s="8">
        <f t="shared" si="4"/>
        <v>4153.7</v>
      </c>
      <c r="F6" s="8">
        <f t="shared" si="4"/>
        <v>4180.7999999999993</v>
      </c>
      <c r="G6" s="8">
        <f t="shared" si="4"/>
        <v>4803.2</v>
      </c>
      <c r="H6" s="8">
        <f t="shared" si="4"/>
        <v>4563.5</v>
      </c>
      <c r="I6" s="8">
        <f t="shared" si="4"/>
        <v>4881.2</v>
      </c>
      <c r="J6" s="8">
        <f t="shared" si="4"/>
        <v>4914.8</v>
      </c>
      <c r="K6" s="8"/>
      <c r="L6" s="8"/>
      <c r="M6" s="8"/>
      <c r="N6" s="8"/>
      <c r="O6" s="8"/>
      <c r="P6" s="8"/>
      <c r="Q6" s="8">
        <f t="shared" ref="Q6:R6" si="5">SUM(Q3:Q5)</f>
        <v>13276.8</v>
      </c>
      <c r="R6" s="8">
        <f t="shared" si="5"/>
        <v>14866.800000000001</v>
      </c>
      <c r="S6" s="8">
        <f>SUM(S3:S5)</f>
        <v>16447.900000000001</v>
      </c>
      <c r="T6" s="8">
        <f>SUM(T3:T5)</f>
        <v>19162.7</v>
      </c>
      <c r="U6" s="7">
        <f>+T6*1.1</f>
        <v>21078.97</v>
      </c>
      <c r="V6" s="7">
        <f t="shared" ref="V6:X6" si="6">+U6*1.1</f>
        <v>23186.867000000002</v>
      </c>
      <c r="W6" s="7">
        <f t="shared" si="6"/>
        <v>25505.553700000004</v>
      </c>
      <c r="X6" s="7">
        <f t="shared" si="6"/>
        <v>28056.109070000006</v>
      </c>
      <c r="Y6" s="7">
        <f>+X6*1.05</f>
        <v>29458.914523500007</v>
      </c>
      <c r="Z6" s="7">
        <f t="shared" ref="Z6:AB6" si="7">+Y6*1.05</f>
        <v>30931.86024967501</v>
      </c>
      <c r="AA6" s="7">
        <f t="shared" si="7"/>
        <v>32478.45326215876</v>
      </c>
      <c r="AB6" s="7">
        <f t="shared" si="7"/>
        <v>34102.375925266701</v>
      </c>
      <c r="AC6" s="7">
        <f>+AB6*1.03</f>
        <v>35125.447203024705</v>
      </c>
      <c r="AD6" s="7">
        <f t="shared" ref="AD6:AI6" si="8">+AC6*1.03</f>
        <v>36179.210619115445</v>
      </c>
      <c r="AE6" s="7">
        <f t="shared" si="8"/>
        <v>37264.58693768891</v>
      </c>
      <c r="AF6" s="7">
        <f t="shared" si="8"/>
        <v>38382.524545819579</v>
      </c>
      <c r="AG6" s="7">
        <f t="shared" si="8"/>
        <v>39534.000282194167</v>
      </c>
      <c r="AH6" s="7">
        <f t="shared" si="8"/>
        <v>40720.020290659995</v>
      </c>
      <c r="AI6" s="7">
        <f t="shared" si="8"/>
        <v>41941.620899379799</v>
      </c>
    </row>
    <row r="7" spans="1:140" x14ac:dyDescent="0.2">
      <c r="B7" s="2" t="s">
        <v>49</v>
      </c>
      <c r="C7" s="6">
        <v>1795.1</v>
      </c>
      <c r="D7" s="6">
        <v>1629.2</v>
      </c>
      <c r="E7" s="6">
        <v>1711.5</v>
      </c>
      <c r="F7" s="6">
        <v>1723.2</v>
      </c>
      <c r="G7" s="6">
        <v>1991.2</v>
      </c>
      <c r="H7" s="6">
        <v>1859.8</v>
      </c>
      <c r="I7" s="6">
        <v>1953.9</v>
      </c>
      <c r="J7" s="6">
        <v>1982.6</v>
      </c>
      <c r="K7" s="6"/>
      <c r="L7" s="6"/>
      <c r="M7" s="6"/>
      <c r="N7" s="6"/>
      <c r="O7" s="6"/>
      <c r="Q7" s="2">
        <v>5813.3</v>
      </c>
      <c r="R7" s="2">
        <v>6382.3</v>
      </c>
      <c r="S7" s="2">
        <f>SUM(C7:F7)</f>
        <v>6859</v>
      </c>
      <c r="T7" s="2">
        <f t="shared" si="3"/>
        <v>7787.5</v>
      </c>
    </row>
    <row r="8" spans="1:140" x14ac:dyDescent="0.2">
      <c r="B8" s="2" t="s">
        <v>19</v>
      </c>
      <c r="C8" s="6">
        <f t="shared" ref="C8:J8" si="9">+C6-C7</f>
        <v>2444.5000000000005</v>
      </c>
      <c r="D8" s="6">
        <f t="shared" si="9"/>
        <v>2244.5999999999995</v>
      </c>
      <c r="E8" s="6">
        <f t="shared" si="9"/>
        <v>2442.1999999999998</v>
      </c>
      <c r="F8" s="6">
        <f t="shared" si="9"/>
        <v>2457.5999999999995</v>
      </c>
      <c r="G8" s="6">
        <f t="shared" si="9"/>
        <v>2812</v>
      </c>
      <c r="H8" s="6">
        <f t="shared" si="9"/>
        <v>2703.7</v>
      </c>
      <c r="I8" s="6">
        <f t="shared" si="9"/>
        <v>2927.2999999999997</v>
      </c>
      <c r="J8" s="6">
        <f t="shared" si="9"/>
        <v>2932.2000000000003</v>
      </c>
      <c r="K8" s="6"/>
      <c r="L8" s="6"/>
      <c r="M8" s="6"/>
      <c r="N8" s="6"/>
      <c r="O8" s="6"/>
      <c r="Q8" s="6">
        <f t="shared" ref="Q8:R8" si="10">+Q6-Q7</f>
        <v>7463.4999999999991</v>
      </c>
      <c r="R8" s="6">
        <f t="shared" si="10"/>
        <v>8484.5</v>
      </c>
      <c r="S8" s="6">
        <f>+S6-S7</f>
        <v>9588.9000000000015</v>
      </c>
      <c r="T8" s="6">
        <f>+T6-T7</f>
        <v>11375.2</v>
      </c>
    </row>
    <row r="9" spans="1:140" x14ac:dyDescent="0.2">
      <c r="B9" s="2" t="s">
        <v>50</v>
      </c>
      <c r="C9" s="6">
        <v>1175.0999999999999</v>
      </c>
      <c r="D9" s="6">
        <v>1134.5</v>
      </c>
      <c r="E9" s="6">
        <v>1176.5</v>
      </c>
      <c r="F9" s="6">
        <v>1152.0999999999999</v>
      </c>
      <c r="G9" s="6">
        <v>1315.5</v>
      </c>
      <c r="H9" s="6">
        <v>1324.6</v>
      </c>
      <c r="I9" s="6">
        <v>1392.4</v>
      </c>
      <c r="J9" s="6">
        <v>1378.6</v>
      </c>
      <c r="K9" s="6"/>
      <c r="L9" s="6"/>
      <c r="M9" s="6"/>
      <c r="N9" s="6"/>
      <c r="O9" s="6"/>
      <c r="Q9" s="2">
        <v>3918.1</v>
      </c>
      <c r="R9" s="2">
        <v>4286.1000000000004</v>
      </c>
      <c r="S9" s="2">
        <f t="shared" ref="S9:S11" si="11">SUM(C9:F9)</f>
        <v>4638.2</v>
      </c>
      <c r="T9" s="2">
        <f t="shared" si="3"/>
        <v>5411.1</v>
      </c>
    </row>
    <row r="10" spans="1:140" x14ac:dyDescent="0.2">
      <c r="B10" s="2" t="s">
        <v>20</v>
      </c>
      <c r="C10" s="6">
        <v>114.9</v>
      </c>
      <c r="D10" s="6">
        <v>110.9</v>
      </c>
      <c r="E10" s="6">
        <v>120.6</v>
      </c>
      <c r="F10" s="6">
        <v>111</v>
      </c>
      <c r="G10" s="6">
        <v>129.4</v>
      </c>
      <c r="H10" s="6">
        <v>133.5</v>
      </c>
      <c r="I10" s="6">
        <v>131.6</v>
      </c>
      <c r="J10" s="6">
        <v>127.9</v>
      </c>
      <c r="K10" s="6"/>
      <c r="L10" s="6"/>
      <c r="M10" s="6"/>
      <c r="N10" s="6"/>
      <c r="O10" s="6"/>
      <c r="Q10" s="2">
        <v>407.2</v>
      </c>
      <c r="R10" s="2">
        <v>431.8</v>
      </c>
      <c r="S10" s="2">
        <f t="shared" si="11"/>
        <v>457.4</v>
      </c>
      <c r="T10" s="2">
        <f t="shared" si="3"/>
        <v>522.4</v>
      </c>
    </row>
    <row r="11" spans="1:140" x14ac:dyDescent="0.2">
      <c r="B11" s="2" t="s">
        <v>51</v>
      </c>
      <c r="C11" s="6">
        <v>242.6</v>
      </c>
      <c r="D11" s="6">
        <v>240.6</v>
      </c>
      <c r="E11" s="6">
        <v>269.39999999999998</v>
      </c>
      <c r="F11" s="6">
        <v>238.6</v>
      </c>
      <c r="G11" s="6">
        <v>298.39999999999998</v>
      </c>
      <c r="H11" s="6">
        <v>305.89999999999998</v>
      </c>
      <c r="I11" s="6">
        <v>288.5</v>
      </c>
      <c r="J11" s="6">
        <v>303.89999999999998</v>
      </c>
      <c r="K11" s="6"/>
      <c r="L11" s="6"/>
      <c r="M11" s="6"/>
      <c r="N11" s="6"/>
      <c r="O11" s="6"/>
      <c r="Q11" s="2">
        <v>801.2</v>
      </c>
      <c r="R11" s="2">
        <v>937.9</v>
      </c>
      <c r="S11" s="2">
        <f t="shared" si="11"/>
        <v>991.19999999999993</v>
      </c>
      <c r="T11" s="2">
        <f t="shared" si="3"/>
        <v>1196.6999999999998</v>
      </c>
    </row>
    <row r="12" spans="1:140" x14ac:dyDescent="0.2">
      <c r="B12" s="2" t="s">
        <v>21</v>
      </c>
      <c r="C12" s="6">
        <f t="shared" ref="C12:J12" si="12">C11+C10+C9</f>
        <v>1532.6</v>
      </c>
      <c r="D12" s="6">
        <f t="shared" si="12"/>
        <v>1486</v>
      </c>
      <c r="E12" s="6">
        <f t="shared" si="12"/>
        <v>1566.5</v>
      </c>
      <c r="F12" s="6">
        <f t="shared" si="12"/>
        <v>1501.6999999999998</v>
      </c>
      <c r="G12" s="6">
        <f t="shared" si="12"/>
        <v>1743.3</v>
      </c>
      <c r="H12" s="6">
        <f t="shared" si="12"/>
        <v>1764</v>
      </c>
      <c r="I12" s="6">
        <f t="shared" si="12"/>
        <v>1812.5</v>
      </c>
      <c r="J12" s="6">
        <f t="shared" si="12"/>
        <v>1810.3999999999999</v>
      </c>
      <c r="K12" s="6"/>
      <c r="L12" s="6"/>
      <c r="M12" s="6"/>
      <c r="N12" s="6"/>
      <c r="O12" s="6"/>
      <c r="Q12" s="6">
        <f t="shared" ref="Q12:R12" si="13">Q11+Q10+Q9</f>
        <v>5126.5</v>
      </c>
      <c r="R12" s="6">
        <f t="shared" si="13"/>
        <v>5655.8</v>
      </c>
      <c r="S12" s="6">
        <f>S11+S10+S9</f>
        <v>6086.7999999999993</v>
      </c>
      <c r="T12" s="6">
        <f>T11+T10+T9</f>
        <v>7130.2000000000007</v>
      </c>
    </row>
    <row r="13" spans="1:140" s="2" customFormat="1" x14ac:dyDescent="0.2">
      <c r="B13" s="2" t="s">
        <v>22</v>
      </c>
      <c r="C13" s="6">
        <f t="shared" ref="C13:J13" si="14">C8-C12</f>
        <v>911.90000000000055</v>
      </c>
      <c r="D13" s="6">
        <f t="shared" si="14"/>
        <v>758.59999999999945</v>
      </c>
      <c r="E13" s="6">
        <f t="shared" si="14"/>
        <v>875.69999999999982</v>
      </c>
      <c r="F13" s="6">
        <f t="shared" si="14"/>
        <v>955.89999999999964</v>
      </c>
      <c r="G13" s="6">
        <f t="shared" si="14"/>
        <v>1068.7</v>
      </c>
      <c r="H13" s="6">
        <f t="shared" si="14"/>
        <v>939.69999999999982</v>
      </c>
      <c r="I13" s="6">
        <f t="shared" si="14"/>
        <v>1114.7999999999997</v>
      </c>
      <c r="J13" s="6">
        <f t="shared" si="14"/>
        <v>1121.8000000000004</v>
      </c>
      <c r="K13" s="6"/>
      <c r="L13" s="6"/>
      <c r="M13" s="6"/>
      <c r="N13" s="6"/>
      <c r="O13" s="6"/>
      <c r="P13" s="6"/>
      <c r="Q13" s="6">
        <f t="shared" ref="Q13:R13" si="15">Q8-Q12</f>
        <v>2336.9999999999991</v>
      </c>
      <c r="R13" s="6">
        <f t="shared" si="15"/>
        <v>2828.7</v>
      </c>
      <c r="S13" s="6">
        <f>S8-S12</f>
        <v>3502.1000000000022</v>
      </c>
      <c r="T13" s="6">
        <f>T8-T12</f>
        <v>4245</v>
      </c>
      <c r="U13" s="2">
        <f>+U6*0.23</f>
        <v>4848.1631000000007</v>
      </c>
      <c r="V13" s="2">
        <f t="shared" ref="V13:Y13" si="16">+V6*0.23</f>
        <v>5332.9794100000008</v>
      </c>
      <c r="W13" s="2">
        <f t="shared" si="16"/>
        <v>5866.2773510000015</v>
      </c>
      <c r="X13" s="2">
        <f t="shared" si="16"/>
        <v>6452.9050861000014</v>
      </c>
      <c r="Y13" s="2">
        <f t="shared" si="16"/>
        <v>6775.5503404050023</v>
      </c>
      <c r="Z13" s="2">
        <f>+Z6*0.24</f>
        <v>7423.6464599220017</v>
      </c>
      <c r="AA13" s="2">
        <f t="shared" ref="AA13:AG13" si="17">+AA6*0.24</f>
        <v>7794.8287829181027</v>
      </c>
      <c r="AB13" s="2">
        <f t="shared" si="17"/>
        <v>8184.5702220640078</v>
      </c>
      <c r="AC13" s="2">
        <f t="shared" si="17"/>
        <v>8430.1073287259296</v>
      </c>
      <c r="AD13" s="2">
        <f t="shared" si="17"/>
        <v>8683.0105485877066</v>
      </c>
      <c r="AE13" s="2">
        <f t="shared" si="17"/>
        <v>8943.5008650453383</v>
      </c>
      <c r="AF13" s="2">
        <f t="shared" si="17"/>
        <v>9211.8058909966985</v>
      </c>
      <c r="AG13" s="2">
        <f t="shared" si="17"/>
        <v>9488.1600677265997</v>
      </c>
      <c r="AH13" s="2">
        <f>+AH6*0.25</f>
        <v>10180.005072664999</v>
      </c>
      <c r="AI13" s="2">
        <f t="shared" ref="AI13" si="18">+AI6*0.25</f>
        <v>10485.40522484495</v>
      </c>
    </row>
    <row r="14" spans="1:140" s="2" customFormat="1" x14ac:dyDescent="0.2">
      <c r="B14" s="2" t="s">
        <v>26</v>
      </c>
      <c r="C14" s="6">
        <f>51.1+19.8-14.5</f>
        <v>56.400000000000006</v>
      </c>
      <c r="D14" s="6">
        <f>59.9+17.8-16.7</f>
        <v>61</v>
      </c>
      <c r="E14" s="6">
        <f>72.9+19.4-16.4</f>
        <v>75.900000000000006</v>
      </c>
      <c r="F14" s="6">
        <f>84.4+85.7-16.4</f>
        <v>153.70000000000002</v>
      </c>
      <c r="G14" s="6">
        <f>52.8+9.7-16.3</f>
        <v>46.2</v>
      </c>
      <c r="H14" s="6">
        <f>54.9+1.3-16.9</f>
        <v>39.299999999999997</v>
      </c>
      <c r="I14" s="6">
        <f>25.5-19.1+60.3</f>
        <v>66.699999999999989</v>
      </c>
      <c r="J14" s="6">
        <f>81.9-18.2+6.4</f>
        <v>70.100000000000009</v>
      </c>
      <c r="K14" s="6"/>
      <c r="L14" s="6"/>
      <c r="M14" s="6"/>
      <c r="N14" s="6"/>
      <c r="O14" s="6"/>
      <c r="P14" s="6"/>
      <c r="Q14" s="2">
        <f>210.7+94.4-32.7</f>
        <v>272.40000000000003</v>
      </c>
      <c r="R14" s="2">
        <f>251.4+123.6-28.1</f>
        <v>346.9</v>
      </c>
      <c r="S14" s="2">
        <f t="shared" ref="S14:S16" si="19">SUM(C14:F14)</f>
        <v>347</v>
      </c>
      <c r="T14" s="2">
        <f t="shared" ref="T14:T16" si="20">SUM(G14:J14)</f>
        <v>222.3</v>
      </c>
      <c r="U14" s="15">
        <f>+T14*1.01</f>
        <v>224.52300000000002</v>
      </c>
      <c r="V14" s="15">
        <f t="shared" ref="V14:AI14" si="21">+U14*1.01</f>
        <v>226.76823000000002</v>
      </c>
      <c r="W14" s="15">
        <f t="shared" si="21"/>
        <v>229.03591230000001</v>
      </c>
      <c r="X14" s="15">
        <f t="shared" si="21"/>
        <v>231.32627142300001</v>
      </c>
      <c r="Y14" s="15">
        <f t="shared" si="21"/>
        <v>233.63953413723002</v>
      </c>
      <c r="Z14" s="15">
        <f t="shared" si="21"/>
        <v>235.97592947860232</v>
      </c>
      <c r="AA14" s="15">
        <f t="shared" si="21"/>
        <v>238.33568877338834</v>
      </c>
      <c r="AB14" s="15">
        <f t="shared" si="21"/>
        <v>240.71904566112224</v>
      </c>
      <c r="AC14" s="15">
        <f t="shared" si="21"/>
        <v>243.12623611773347</v>
      </c>
      <c r="AD14" s="15">
        <f t="shared" si="21"/>
        <v>245.55749847891082</v>
      </c>
      <c r="AE14" s="15">
        <f t="shared" si="21"/>
        <v>248.01307346369993</v>
      </c>
      <c r="AF14" s="15">
        <f t="shared" si="21"/>
        <v>250.49320419833694</v>
      </c>
      <c r="AG14" s="15">
        <f t="shared" si="21"/>
        <v>252.99813624032032</v>
      </c>
      <c r="AH14" s="15">
        <f t="shared" si="21"/>
        <v>255.52811760272351</v>
      </c>
      <c r="AI14" s="15">
        <f t="shared" si="21"/>
        <v>258.08339877875073</v>
      </c>
    </row>
    <row r="15" spans="1:140" s="2" customFormat="1" x14ac:dyDescent="0.2">
      <c r="B15" s="2" t="s">
        <v>25</v>
      </c>
      <c r="C15" s="6">
        <f t="shared" ref="C15:J15" si="22">+C13+C14</f>
        <v>968.30000000000052</v>
      </c>
      <c r="D15" s="6">
        <f t="shared" si="22"/>
        <v>819.59999999999945</v>
      </c>
      <c r="E15" s="6">
        <f t="shared" si="22"/>
        <v>951.5999999999998</v>
      </c>
      <c r="F15" s="6">
        <f t="shared" si="22"/>
        <v>1109.5999999999997</v>
      </c>
      <c r="G15" s="6">
        <f t="shared" si="22"/>
        <v>1114.9000000000001</v>
      </c>
      <c r="H15" s="6">
        <f t="shared" si="22"/>
        <v>978.99999999999977</v>
      </c>
      <c r="I15" s="6">
        <f t="shared" si="22"/>
        <v>1181.4999999999998</v>
      </c>
      <c r="J15" s="6">
        <f t="shared" si="22"/>
        <v>1191.9000000000003</v>
      </c>
      <c r="K15" s="6"/>
      <c r="L15" s="6"/>
      <c r="M15" s="6"/>
      <c r="N15" s="6"/>
      <c r="O15" s="6"/>
      <c r="P15" s="6"/>
      <c r="Q15" s="6">
        <f t="shared" ref="Q15:R15" si="23">+Q13+Q14</f>
        <v>2609.3999999999992</v>
      </c>
      <c r="R15" s="6">
        <f t="shared" si="23"/>
        <v>3175.6</v>
      </c>
      <c r="S15" s="6">
        <f>+S13+S14</f>
        <v>3849.1000000000022</v>
      </c>
      <c r="T15" s="6">
        <f>+T13+T14</f>
        <v>4467.3</v>
      </c>
      <c r="U15" s="6">
        <f t="shared" ref="U15:AI15" si="24">+U13+U14</f>
        <v>5072.6861000000008</v>
      </c>
      <c r="V15" s="6">
        <f t="shared" si="24"/>
        <v>5559.7476400000005</v>
      </c>
      <c r="W15" s="6">
        <f t="shared" si="24"/>
        <v>6095.3132633000014</v>
      </c>
      <c r="X15" s="6">
        <f t="shared" si="24"/>
        <v>6684.2313575230019</v>
      </c>
      <c r="Y15" s="6">
        <f t="shared" si="24"/>
        <v>7009.1898745422322</v>
      </c>
      <c r="Z15" s="6">
        <f t="shared" si="24"/>
        <v>7659.6223894006043</v>
      </c>
      <c r="AA15" s="6">
        <f t="shared" si="24"/>
        <v>8033.1644716914907</v>
      </c>
      <c r="AB15" s="6">
        <f t="shared" si="24"/>
        <v>8425.2892677251293</v>
      </c>
      <c r="AC15" s="6">
        <f t="shared" si="24"/>
        <v>8673.2335648436638</v>
      </c>
      <c r="AD15" s="6">
        <f t="shared" si="24"/>
        <v>8928.5680470666175</v>
      </c>
      <c r="AE15" s="6">
        <f t="shared" si="24"/>
        <v>9191.5139385090388</v>
      </c>
      <c r="AF15" s="6">
        <f t="shared" si="24"/>
        <v>9462.299095195036</v>
      </c>
      <c r="AG15" s="6">
        <f t="shared" si="24"/>
        <v>9741.1582039669192</v>
      </c>
      <c r="AH15" s="6">
        <f t="shared" si="24"/>
        <v>10435.533190267723</v>
      </c>
      <c r="AI15" s="6">
        <f t="shared" si="24"/>
        <v>10743.4886236237</v>
      </c>
    </row>
    <row r="16" spans="1:140" s="2" customFormat="1" x14ac:dyDescent="0.2">
      <c r="B16" s="2" t="s">
        <v>24</v>
      </c>
      <c r="C16" s="6">
        <v>278.10000000000002</v>
      </c>
      <c r="D16" s="6">
        <v>218.3</v>
      </c>
      <c r="E16" s="6">
        <v>259</v>
      </c>
      <c r="F16" s="6">
        <v>336.6</v>
      </c>
      <c r="G16" s="6">
        <v>315</v>
      </c>
      <c r="H16" s="6">
        <v>266.3</v>
      </c>
      <c r="I16" s="6">
        <v>318.5</v>
      </c>
      <c r="J16" s="6">
        <v>244</v>
      </c>
      <c r="K16" s="6"/>
      <c r="L16" s="6"/>
      <c r="M16" s="6"/>
      <c r="N16" s="6"/>
      <c r="O16" s="6"/>
      <c r="P16" s="6"/>
      <c r="Q16" s="2">
        <v>674.4</v>
      </c>
      <c r="R16" s="2">
        <v>0</v>
      </c>
      <c r="S16" s="2">
        <f t="shared" si="19"/>
        <v>1092</v>
      </c>
      <c r="T16" s="2">
        <f t="shared" si="20"/>
        <v>1143.8</v>
      </c>
      <c r="U16" s="2">
        <f>+U15*0.28</f>
        <v>1420.3521080000003</v>
      </c>
      <c r="V16" s="2">
        <f t="shared" ref="V16:AI16" si="25">+V15*0.28</f>
        <v>1556.7293392000004</v>
      </c>
      <c r="W16" s="2">
        <f t="shared" si="25"/>
        <v>1706.6877137240006</v>
      </c>
      <c r="X16" s="2">
        <f t="shared" si="25"/>
        <v>1871.5847801064408</v>
      </c>
      <c r="Y16" s="2">
        <f t="shared" si="25"/>
        <v>1962.5731648718252</v>
      </c>
      <c r="Z16" s="2">
        <f t="shared" si="25"/>
        <v>2144.6942690321694</v>
      </c>
      <c r="AA16" s="2">
        <f t="shared" si="25"/>
        <v>2249.2860520736176</v>
      </c>
      <c r="AB16" s="2">
        <f t="shared" si="25"/>
        <v>2359.0809949630366</v>
      </c>
      <c r="AC16" s="2">
        <f t="shared" si="25"/>
        <v>2428.505398156226</v>
      </c>
      <c r="AD16" s="2">
        <f t="shared" si="25"/>
        <v>2499.999053178653</v>
      </c>
      <c r="AE16" s="2">
        <f t="shared" si="25"/>
        <v>2573.6239027825309</v>
      </c>
      <c r="AF16" s="2">
        <f t="shared" si="25"/>
        <v>2649.4437466546105</v>
      </c>
      <c r="AG16" s="2">
        <f t="shared" si="25"/>
        <v>2727.5242971107377</v>
      </c>
      <c r="AH16" s="2">
        <f t="shared" si="25"/>
        <v>2921.9492932749627</v>
      </c>
      <c r="AI16" s="2">
        <f t="shared" si="25"/>
        <v>3008.1768146146364</v>
      </c>
    </row>
    <row r="17" spans="2:238" s="2" customFormat="1" x14ac:dyDescent="0.2">
      <c r="B17" s="2" t="s">
        <v>23</v>
      </c>
      <c r="C17" s="9">
        <f t="shared" ref="C17:J17" si="26">+C15-C16</f>
        <v>690.2000000000005</v>
      </c>
      <c r="D17" s="9">
        <f t="shared" si="26"/>
        <v>601.2999999999995</v>
      </c>
      <c r="E17" s="9">
        <f t="shared" si="26"/>
        <v>692.5999999999998</v>
      </c>
      <c r="F17" s="9">
        <f t="shared" si="26"/>
        <v>772.99999999999966</v>
      </c>
      <c r="G17" s="9">
        <f t="shared" si="26"/>
        <v>799.90000000000009</v>
      </c>
      <c r="H17" s="9">
        <f t="shared" si="26"/>
        <v>712.69999999999982</v>
      </c>
      <c r="I17" s="9">
        <f t="shared" si="26"/>
        <v>862.99999999999977</v>
      </c>
      <c r="J17" s="9">
        <f t="shared" si="26"/>
        <v>947.90000000000032</v>
      </c>
      <c r="K17" s="9"/>
      <c r="L17" s="9"/>
      <c r="M17" s="9"/>
      <c r="N17" s="9"/>
      <c r="O17" s="9"/>
      <c r="P17" s="6"/>
      <c r="Q17" s="9">
        <f t="shared" ref="Q17:R17" si="27">+Q15-Q16</f>
        <v>1934.9999999999991</v>
      </c>
      <c r="R17" s="9">
        <f t="shared" si="27"/>
        <v>3175.6</v>
      </c>
      <c r="S17" s="9">
        <f>+S15-S16</f>
        <v>2757.1000000000022</v>
      </c>
      <c r="T17" s="9">
        <f>+T15-T16</f>
        <v>3323.5</v>
      </c>
      <c r="U17" s="9">
        <f>+U15-U16</f>
        <v>3652.3339920000008</v>
      </c>
      <c r="V17" s="9">
        <f t="shared" ref="V17:AI17" si="28">+V15-V16</f>
        <v>4003.0183008000004</v>
      </c>
      <c r="W17" s="9">
        <f t="shared" si="28"/>
        <v>4388.6255495760006</v>
      </c>
      <c r="X17" s="9">
        <f t="shared" si="28"/>
        <v>4812.6465774165608</v>
      </c>
      <c r="Y17" s="9">
        <f t="shared" si="28"/>
        <v>5046.6167096704066</v>
      </c>
      <c r="Z17" s="9">
        <f t="shared" si="28"/>
        <v>5514.928120368435</v>
      </c>
      <c r="AA17" s="9">
        <f t="shared" si="28"/>
        <v>5783.8784196178731</v>
      </c>
      <c r="AB17" s="9">
        <f t="shared" si="28"/>
        <v>6066.2082727620927</v>
      </c>
      <c r="AC17" s="9">
        <f t="shared" si="28"/>
        <v>6244.7281666874378</v>
      </c>
      <c r="AD17" s="9">
        <f t="shared" si="28"/>
        <v>6428.5689938879641</v>
      </c>
      <c r="AE17" s="9">
        <f t="shared" si="28"/>
        <v>6617.8900357265084</v>
      </c>
      <c r="AF17" s="9">
        <f t="shared" si="28"/>
        <v>6812.8553485404254</v>
      </c>
      <c r="AG17" s="9">
        <f t="shared" si="28"/>
        <v>7013.6339068561811</v>
      </c>
      <c r="AH17" s="9">
        <f t="shared" si="28"/>
        <v>7513.5838969927599</v>
      </c>
      <c r="AI17" s="9">
        <f t="shared" si="28"/>
        <v>7735.3118090090629</v>
      </c>
      <c r="AJ17" s="2">
        <f>AI17*(1+$AL$20)</f>
        <v>7812.6649270991538</v>
      </c>
      <c r="AK17" s="2">
        <f t="shared" ref="AK17:CV17" si="29">AJ17*(1+$AL$20)</f>
        <v>7890.7915763701458</v>
      </c>
      <c r="AL17" s="2">
        <f t="shared" si="29"/>
        <v>7969.6994921338473</v>
      </c>
      <c r="AM17" s="2">
        <f t="shared" si="29"/>
        <v>8049.3964870551863</v>
      </c>
      <c r="AN17" s="2">
        <f t="shared" si="29"/>
        <v>8129.8904519257385</v>
      </c>
      <c r="AO17" s="2">
        <f t="shared" si="29"/>
        <v>8211.1893564449965</v>
      </c>
      <c r="AP17" s="2">
        <f t="shared" si="29"/>
        <v>8293.3012500094464</v>
      </c>
      <c r="AQ17" s="2">
        <f t="shared" si="29"/>
        <v>8376.2342625095407</v>
      </c>
      <c r="AR17" s="2">
        <f t="shared" si="29"/>
        <v>8459.9966051346364</v>
      </c>
      <c r="AS17" s="2">
        <f t="shared" si="29"/>
        <v>8544.5965711859826</v>
      </c>
      <c r="AT17" s="2">
        <f t="shared" si="29"/>
        <v>8630.0425368978431</v>
      </c>
      <c r="AU17" s="2">
        <f t="shared" si="29"/>
        <v>8716.3429622668209</v>
      </c>
      <c r="AV17" s="2">
        <f t="shared" si="29"/>
        <v>8803.5063918894884</v>
      </c>
      <c r="AW17" s="2">
        <f t="shared" si="29"/>
        <v>8891.541455808383</v>
      </c>
      <c r="AX17" s="2">
        <f t="shared" si="29"/>
        <v>8980.4568703664663</v>
      </c>
      <c r="AY17" s="2">
        <f t="shared" si="29"/>
        <v>9070.261439070131</v>
      </c>
      <c r="AZ17" s="2">
        <f t="shared" si="29"/>
        <v>9160.9640534608316</v>
      </c>
      <c r="BA17" s="2">
        <f t="shared" si="29"/>
        <v>9252.5736939954404</v>
      </c>
      <c r="BB17" s="2">
        <f t="shared" si="29"/>
        <v>9345.0994309353955</v>
      </c>
      <c r="BC17" s="2">
        <f t="shared" si="29"/>
        <v>9438.5504252447499</v>
      </c>
      <c r="BD17" s="2">
        <f t="shared" si="29"/>
        <v>9532.9359294971982</v>
      </c>
      <c r="BE17" s="2">
        <f t="shared" si="29"/>
        <v>9628.2652887921704</v>
      </c>
      <c r="BF17" s="2">
        <f t="shared" si="29"/>
        <v>9724.5479416800918</v>
      </c>
      <c r="BG17" s="2">
        <f t="shared" si="29"/>
        <v>9821.7934210968924</v>
      </c>
      <c r="BH17" s="2">
        <f t="shared" si="29"/>
        <v>9920.0113553078609</v>
      </c>
      <c r="BI17" s="2">
        <f t="shared" si="29"/>
        <v>10019.21146886094</v>
      </c>
      <c r="BJ17" s="2">
        <f t="shared" si="29"/>
        <v>10119.403583549549</v>
      </c>
      <c r="BK17" s="2">
        <f t="shared" si="29"/>
        <v>10220.597619385044</v>
      </c>
      <c r="BL17" s="2">
        <f t="shared" si="29"/>
        <v>10322.803595578895</v>
      </c>
      <c r="BM17" s="2">
        <f t="shared" si="29"/>
        <v>10426.031631534684</v>
      </c>
      <c r="BN17" s="2">
        <f t="shared" si="29"/>
        <v>10530.291947850032</v>
      </c>
      <c r="BO17" s="2">
        <f t="shared" si="29"/>
        <v>10635.594867328533</v>
      </c>
      <c r="BP17" s="2">
        <f t="shared" si="29"/>
        <v>10741.950816001818</v>
      </c>
      <c r="BQ17" s="2">
        <f t="shared" si="29"/>
        <v>10849.370324161837</v>
      </c>
      <c r="BR17" s="2">
        <f t="shared" si="29"/>
        <v>10957.864027403455</v>
      </c>
      <c r="BS17" s="2">
        <f t="shared" si="29"/>
        <v>11067.442667677489</v>
      </c>
      <c r="BT17" s="2">
        <f t="shared" si="29"/>
        <v>11178.117094354264</v>
      </c>
      <c r="BU17" s="2">
        <f t="shared" si="29"/>
        <v>11289.898265297807</v>
      </c>
      <c r="BV17" s="2">
        <f t="shared" si="29"/>
        <v>11402.797247950784</v>
      </c>
      <c r="BW17" s="2">
        <f t="shared" si="29"/>
        <v>11516.825220430292</v>
      </c>
      <c r="BX17" s="2">
        <f t="shared" si="29"/>
        <v>11631.993472634595</v>
      </c>
      <c r="BY17" s="2">
        <f t="shared" si="29"/>
        <v>11748.31340736094</v>
      </c>
      <c r="BZ17" s="2">
        <f t="shared" si="29"/>
        <v>11865.796541434549</v>
      </c>
      <c r="CA17" s="2">
        <f t="shared" si="29"/>
        <v>11984.454506848895</v>
      </c>
      <c r="CB17" s="2">
        <f t="shared" si="29"/>
        <v>12104.299051917384</v>
      </c>
      <c r="CC17" s="2">
        <f t="shared" si="29"/>
        <v>12225.342042436558</v>
      </c>
      <c r="CD17" s="2">
        <f t="shared" si="29"/>
        <v>12347.595462860923</v>
      </c>
      <c r="CE17" s="2">
        <f t="shared" si="29"/>
        <v>12471.071417489533</v>
      </c>
      <c r="CF17" s="2">
        <f t="shared" si="29"/>
        <v>12595.782131664428</v>
      </c>
      <c r="CG17" s="2">
        <f t="shared" si="29"/>
        <v>12721.739952981072</v>
      </c>
      <c r="CH17" s="2">
        <f t="shared" si="29"/>
        <v>12848.957352510883</v>
      </c>
      <c r="CI17" s="2">
        <f t="shared" si="29"/>
        <v>12977.446926035991</v>
      </c>
      <c r="CJ17" s="2">
        <f t="shared" si="29"/>
        <v>13107.22139529635</v>
      </c>
      <c r="CK17" s="2">
        <f t="shared" si="29"/>
        <v>13238.293609249315</v>
      </c>
      <c r="CL17" s="2">
        <f t="shared" si="29"/>
        <v>13370.676545341808</v>
      </c>
      <c r="CM17" s="2">
        <f t="shared" si="29"/>
        <v>13504.383310795227</v>
      </c>
      <c r="CN17" s="2">
        <f t="shared" si="29"/>
        <v>13639.42714390318</v>
      </c>
      <c r="CO17" s="2">
        <f t="shared" si="29"/>
        <v>13775.821415342212</v>
      </c>
      <c r="CP17" s="2">
        <f t="shared" si="29"/>
        <v>13913.579629495634</v>
      </c>
      <c r="CQ17" s="2">
        <f t="shared" si="29"/>
        <v>14052.715425790591</v>
      </c>
      <c r="CR17" s="2">
        <f t="shared" si="29"/>
        <v>14193.242580048498</v>
      </c>
      <c r="CS17" s="2">
        <f t="shared" si="29"/>
        <v>14335.175005848983</v>
      </c>
      <c r="CT17" s="2">
        <f t="shared" si="29"/>
        <v>14478.526755907473</v>
      </c>
      <c r="CU17" s="2">
        <f t="shared" si="29"/>
        <v>14623.312023466548</v>
      </c>
      <c r="CV17" s="2">
        <f t="shared" si="29"/>
        <v>14769.545143701213</v>
      </c>
      <c r="CW17" s="2">
        <f t="shared" ref="CW17:FH17" si="30">CV17*(1+$AL$20)</f>
        <v>14917.240595138224</v>
      </c>
      <c r="CX17" s="2">
        <f t="shared" si="30"/>
        <v>15066.413001089606</v>
      </c>
      <c r="CY17" s="2">
        <f t="shared" si="30"/>
        <v>15217.077131100503</v>
      </c>
      <c r="CZ17" s="2">
        <f t="shared" si="30"/>
        <v>15369.247902411507</v>
      </c>
      <c r="DA17" s="2">
        <f t="shared" si="30"/>
        <v>15522.940381435623</v>
      </c>
      <c r="DB17" s="2">
        <f t="shared" si="30"/>
        <v>15678.169785249978</v>
      </c>
      <c r="DC17" s="2">
        <f t="shared" si="30"/>
        <v>15834.951483102479</v>
      </c>
      <c r="DD17" s="2">
        <f t="shared" si="30"/>
        <v>15993.300997933504</v>
      </c>
      <c r="DE17" s="2">
        <f t="shared" si="30"/>
        <v>16153.234007912839</v>
      </c>
      <c r="DF17" s="2">
        <f t="shared" si="30"/>
        <v>16314.766347991968</v>
      </c>
      <c r="DG17" s="2">
        <f t="shared" si="30"/>
        <v>16477.914011471887</v>
      </c>
      <c r="DH17" s="2">
        <f t="shared" si="30"/>
        <v>16642.693151586605</v>
      </c>
      <c r="DI17" s="2">
        <f t="shared" si="30"/>
        <v>16809.120083102473</v>
      </c>
      <c r="DJ17" s="2">
        <f t="shared" si="30"/>
        <v>16977.211283933499</v>
      </c>
      <c r="DK17" s="2">
        <f t="shared" si="30"/>
        <v>17146.983396772834</v>
      </c>
      <c r="DL17" s="2">
        <f t="shared" si="30"/>
        <v>17318.453230740561</v>
      </c>
      <c r="DM17" s="2">
        <f t="shared" si="30"/>
        <v>17491.637763047966</v>
      </c>
      <c r="DN17" s="2">
        <f t="shared" si="30"/>
        <v>17666.554140678447</v>
      </c>
      <c r="DO17" s="2">
        <f t="shared" si="30"/>
        <v>17843.219682085233</v>
      </c>
      <c r="DP17" s="2">
        <f t="shared" si="30"/>
        <v>18021.651878906086</v>
      </c>
      <c r="DQ17" s="2">
        <f t="shared" si="30"/>
        <v>18201.868397695147</v>
      </c>
      <c r="DR17" s="2">
        <f t="shared" si="30"/>
        <v>18383.887081672099</v>
      </c>
      <c r="DS17" s="2">
        <f t="shared" si="30"/>
        <v>18567.725952488821</v>
      </c>
      <c r="DT17" s="2">
        <f t="shared" si="30"/>
        <v>18753.403212013709</v>
      </c>
      <c r="DU17" s="2">
        <f t="shared" si="30"/>
        <v>18940.937244133846</v>
      </c>
      <c r="DV17" s="2">
        <f t="shared" si="30"/>
        <v>19130.346616575185</v>
      </c>
      <c r="DW17" s="2">
        <f t="shared" si="30"/>
        <v>19321.650082740936</v>
      </c>
      <c r="DX17" s="2">
        <f t="shared" si="30"/>
        <v>19514.866583568346</v>
      </c>
      <c r="DY17" s="2">
        <f t="shared" si="30"/>
        <v>19710.01524940403</v>
      </c>
      <c r="DZ17" s="2">
        <f t="shared" si="30"/>
        <v>19907.115401898071</v>
      </c>
      <c r="EA17" s="2">
        <f t="shared" si="30"/>
        <v>20106.186555917051</v>
      </c>
      <c r="EB17" s="2">
        <f t="shared" si="30"/>
        <v>20307.248421476223</v>
      </c>
      <c r="EC17" s="2">
        <f t="shared" si="30"/>
        <v>20510.320905690984</v>
      </c>
      <c r="ED17" s="2">
        <f t="shared" si="30"/>
        <v>20715.424114747893</v>
      </c>
      <c r="EE17" s="2">
        <f t="shared" si="30"/>
        <v>20922.578355895374</v>
      </c>
      <c r="EF17" s="2">
        <f t="shared" si="30"/>
        <v>21131.804139454329</v>
      </c>
      <c r="EG17" s="2">
        <f t="shared" si="30"/>
        <v>21343.122180848874</v>
      </c>
      <c r="EH17" s="2">
        <f t="shared" si="30"/>
        <v>21556.553402657362</v>
      </c>
      <c r="EI17" s="2">
        <f t="shared" si="30"/>
        <v>21772.118936683935</v>
      </c>
      <c r="EJ17" s="2">
        <f t="shared" si="30"/>
        <v>21989.840126050774</v>
      </c>
      <c r="EK17" s="2">
        <f t="shared" si="30"/>
        <v>22209.738527311281</v>
      </c>
      <c r="EL17" s="2">
        <f t="shared" si="30"/>
        <v>22431.835912584393</v>
      </c>
      <c r="EM17" s="2">
        <f t="shared" si="30"/>
        <v>22656.154271710238</v>
      </c>
      <c r="EN17" s="2">
        <f t="shared" si="30"/>
        <v>22882.715814427342</v>
      </c>
      <c r="EO17" s="2">
        <f t="shared" si="30"/>
        <v>23111.542972571617</v>
      </c>
      <c r="EP17" s="2">
        <f t="shared" si="30"/>
        <v>23342.658402297333</v>
      </c>
      <c r="EQ17" s="2">
        <f t="shared" si="30"/>
        <v>23576.084986320308</v>
      </c>
      <c r="ER17" s="2">
        <f t="shared" si="30"/>
        <v>23811.845836183511</v>
      </c>
      <c r="ES17" s="2">
        <f t="shared" si="30"/>
        <v>24049.964294545345</v>
      </c>
      <c r="ET17" s="2">
        <f t="shared" si="30"/>
        <v>24290.4639374908</v>
      </c>
      <c r="EU17" s="2">
        <f t="shared" si="30"/>
        <v>24533.368576865709</v>
      </c>
      <c r="EV17" s="2">
        <f t="shared" si="30"/>
        <v>24778.702262634368</v>
      </c>
      <c r="EW17" s="2">
        <f t="shared" si="30"/>
        <v>25026.489285260712</v>
      </c>
      <c r="EX17" s="2">
        <f t="shared" si="30"/>
        <v>25276.754178113319</v>
      </c>
      <c r="EY17" s="2">
        <f t="shared" si="30"/>
        <v>25529.521719894452</v>
      </c>
      <c r="EZ17" s="2">
        <f t="shared" si="30"/>
        <v>25784.816937093397</v>
      </c>
      <c r="FA17" s="2">
        <f t="shared" si="30"/>
        <v>26042.66510646433</v>
      </c>
      <c r="FB17" s="2">
        <f t="shared" si="30"/>
        <v>26303.091757528975</v>
      </c>
      <c r="FC17" s="2">
        <f t="shared" si="30"/>
        <v>26566.122675104263</v>
      </c>
      <c r="FD17" s="2">
        <f t="shared" si="30"/>
        <v>26831.783901855306</v>
      </c>
      <c r="FE17" s="2">
        <f t="shared" si="30"/>
        <v>27100.101740873859</v>
      </c>
      <c r="FF17" s="2">
        <f t="shared" si="30"/>
        <v>27371.102758282599</v>
      </c>
      <c r="FG17" s="2">
        <f t="shared" si="30"/>
        <v>27644.813785865426</v>
      </c>
      <c r="FH17" s="2">
        <f t="shared" si="30"/>
        <v>27921.26192372408</v>
      </c>
      <c r="FI17" s="2">
        <f t="shared" ref="FI17:HT17" si="31">FH17*(1+$AL$20)</f>
        <v>28200.474542961321</v>
      </c>
      <c r="FJ17" s="2">
        <f t="shared" si="31"/>
        <v>28482.479288390936</v>
      </c>
      <c r="FK17" s="2">
        <f t="shared" si="31"/>
        <v>28767.304081274844</v>
      </c>
      <c r="FL17" s="2">
        <f t="shared" si="31"/>
        <v>29054.977122087592</v>
      </c>
      <c r="FM17" s="2">
        <f t="shared" si="31"/>
        <v>29345.526893308466</v>
      </c>
      <c r="FN17" s="2">
        <f t="shared" si="31"/>
        <v>29638.982162241551</v>
      </c>
      <c r="FO17" s="2">
        <f t="shared" si="31"/>
        <v>29935.371983863966</v>
      </c>
      <c r="FP17" s="2">
        <f t="shared" si="31"/>
        <v>30234.725703702607</v>
      </c>
      <c r="FQ17" s="2">
        <f t="shared" si="31"/>
        <v>30537.072960739632</v>
      </c>
      <c r="FR17" s="2">
        <f t="shared" si="31"/>
        <v>30842.443690347027</v>
      </c>
      <c r="FS17" s="2">
        <f t="shared" si="31"/>
        <v>31150.868127250498</v>
      </c>
      <c r="FT17" s="2">
        <f t="shared" si="31"/>
        <v>31462.376808523004</v>
      </c>
      <c r="FU17" s="2">
        <f t="shared" si="31"/>
        <v>31777.000576608236</v>
      </c>
      <c r="FV17" s="2">
        <f t="shared" si="31"/>
        <v>32094.77058237432</v>
      </c>
      <c r="FW17" s="2">
        <f t="shared" si="31"/>
        <v>32415.718288198063</v>
      </c>
      <c r="FX17" s="2">
        <f t="shared" si="31"/>
        <v>32739.875471080042</v>
      </c>
      <c r="FY17" s="2">
        <f t="shared" si="31"/>
        <v>33067.274225790839</v>
      </c>
      <c r="FZ17" s="2">
        <f t="shared" si="31"/>
        <v>33397.946968048745</v>
      </c>
      <c r="GA17" s="2">
        <f t="shared" si="31"/>
        <v>33731.926437729235</v>
      </c>
      <c r="GB17" s="2">
        <f t="shared" si="31"/>
        <v>34069.245702106527</v>
      </c>
      <c r="GC17" s="2">
        <f t="shared" si="31"/>
        <v>34409.938159127596</v>
      </c>
      <c r="GD17" s="2">
        <f t="shared" si="31"/>
        <v>34754.037540718869</v>
      </c>
      <c r="GE17" s="2">
        <f t="shared" si="31"/>
        <v>35101.577916126058</v>
      </c>
      <c r="GF17" s="2">
        <f t="shared" si="31"/>
        <v>35452.593695287316</v>
      </c>
      <c r="GG17" s="2">
        <f t="shared" si="31"/>
        <v>35807.119632240188</v>
      </c>
      <c r="GH17" s="2">
        <f t="shared" si="31"/>
        <v>36165.19082856259</v>
      </c>
      <c r="GI17" s="2">
        <f t="shared" si="31"/>
        <v>36526.842736848215</v>
      </c>
      <c r="GJ17" s="2">
        <f t="shared" si="31"/>
        <v>36892.111164216694</v>
      </c>
      <c r="GK17" s="2">
        <f t="shared" si="31"/>
        <v>37261.032275858859</v>
      </c>
      <c r="GL17" s="2">
        <f t="shared" si="31"/>
        <v>37633.642598617451</v>
      </c>
      <c r="GM17" s="2">
        <f t="shared" si="31"/>
        <v>38009.979024603628</v>
      </c>
      <c r="GN17" s="2">
        <f t="shared" si="31"/>
        <v>38390.078814849665</v>
      </c>
      <c r="GO17" s="2">
        <f t="shared" si="31"/>
        <v>38773.979602998159</v>
      </c>
      <c r="GP17" s="2">
        <f t="shared" si="31"/>
        <v>39161.719399028138</v>
      </c>
      <c r="GQ17" s="2">
        <f t="shared" si="31"/>
        <v>39553.336593018423</v>
      </c>
      <c r="GR17" s="2">
        <f t="shared" si="31"/>
        <v>39948.869958948606</v>
      </c>
      <c r="GS17" s="2">
        <f t="shared" si="31"/>
        <v>40348.358658538091</v>
      </c>
      <c r="GT17" s="2">
        <f t="shared" si="31"/>
        <v>40751.842245123473</v>
      </c>
      <c r="GU17" s="2">
        <f t="shared" si="31"/>
        <v>41159.360667574707</v>
      </c>
      <c r="GV17" s="2">
        <f t="shared" si="31"/>
        <v>41570.954274250456</v>
      </c>
      <c r="GW17" s="2">
        <f t="shared" si="31"/>
        <v>41986.663816992965</v>
      </c>
      <c r="GX17" s="2">
        <f t="shared" si="31"/>
        <v>42406.530455162894</v>
      </c>
      <c r="GY17" s="2">
        <f t="shared" si="31"/>
        <v>42830.595759714524</v>
      </c>
      <c r="GZ17" s="2">
        <f t="shared" si="31"/>
        <v>43258.901717311674</v>
      </c>
      <c r="HA17" s="2">
        <f t="shared" si="31"/>
        <v>43691.490734484789</v>
      </c>
      <c r="HB17" s="2">
        <f t="shared" si="31"/>
        <v>44128.405641829639</v>
      </c>
      <c r="HC17" s="2">
        <f t="shared" si="31"/>
        <v>44569.689698247937</v>
      </c>
      <c r="HD17" s="2">
        <f t="shared" si="31"/>
        <v>45015.386595230419</v>
      </c>
      <c r="HE17" s="2">
        <f t="shared" si="31"/>
        <v>45465.540461182725</v>
      </c>
      <c r="HF17" s="2">
        <f t="shared" si="31"/>
        <v>45920.195865794551</v>
      </c>
      <c r="HG17" s="2">
        <f t="shared" si="31"/>
        <v>46379.397824452499</v>
      </c>
      <c r="HH17" s="2">
        <f t="shared" si="31"/>
        <v>46843.191802697023</v>
      </c>
      <c r="HI17" s="2">
        <f t="shared" si="31"/>
        <v>47311.623720723997</v>
      </c>
      <c r="HJ17" s="2">
        <f t="shared" si="31"/>
        <v>47784.73995793124</v>
      </c>
      <c r="HK17" s="2">
        <f t="shared" si="31"/>
        <v>48262.587357510551</v>
      </c>
      <c r="HL17" s="2">
        <f t="shared" si="31"/>
        <v>48745.213231085654</v>
      </c>
      <c r="HM17" s="2">
        <f t="shared" si="31"/>
        <v>49232.665363396511</v>
      </c>
      <c r="HN17" s="2">
        <f t="shared" si="31"/>
        <v>49724.992017030476</v>
      </c>
      <c r="HO17" s="2">
        <f t="shared" si="31"/>
        <v>50222.241937200779</v>
      </c>
      <c r="HP17" s="2">
        <f t="shared" si="31"/>
        <v>50724.464356572789</v>
      </c>
      <c r="HQ17" s="2">
        <f t="shared" si="31"/>
        <v>51231.709000138515</v>
      </c>
      <c r="HR17" s="2">
        <f t="shared" si="31"/>
        <v>51744.026090139901</v>
      </c>
      <c r="HS17" s="2">
        <f t="shared" si="31"/>
        <v>52261.466351041301</v>
      </c>
      <c r="HT17" s="2">
        <f t="shared" si="31"/>
        <v>52784.081014551717</v>
      </c>
      <c r="HU17" s="2">
        <f t="shared" ref="HU17:ID17" si="32">HT17*(1+$AL$20)</f>
        <v>53311.921824697238</v>
      </c>
      <c r="HV17" s="2">
        <f t="shared" si="32"/>
        <v>53845.041042944213</v>
      </c>
      <c r="HW17" s="2">
        <f t="shared" si="32"/>
        <v>54383.491453373652</v>
      </c>
      <c r="HX17" s="2">
        <f t="shared" si="32"/>
        <v>54927.326367907386</v>
      </c>
      <c r="HY17" s="2">
        <f t="shared" si="32"/>
        <v>55476.599631586461</v>
      </c>
      <c r="HZ17" s="2">
        <f t="shared" si="32"/>
        <v>56031.365627902327</v>
      </c>
      <c r="IA17" s="2">
        <f t="shared" si="32"/>
        <v>56591.679284181351</v>
      </c>
      <c r="IB17" s="2">
        <f t="shared" si="32"/>
        <v>57157.596077023169</v>
      </c>
      <c r="IC17" s="2">
        <f t="shared" si="32"/>
        <v>57729.172037793403</v>
      </c>
      <c r="ID17" s="2">
        <f t="shared" si="32"/>
        <v>58306.46375817134</v>
      </c>
    </row>
    <row r="18" spans="2:238" s="2" customFormat="1" x14ac:dyDescent="0.2">
      <c r="B18" s="2" t="s">
        <v>52</v>
      </c>
      <c r="C18" s="19">
        <f t="shared" ref="C18:J18" si="33">C17/C19</f>
        <v>0.45040459410075728</v>
      </c>
      <c r="D18" s="19">
        <f t="shared" si="33"/>
        <v>0.39323785233143649</v>
      </c>
      <c r="E18" s="19">
        <f t="shared" si="33"/>
        <v>0.45505913272010501</v>
      </c>
      <c r="F18" s="19">
        <f t="shared" si="33"/>
        <v>0.50801787592008396</v>
      </c>
      <c r="G18" s="19">
        <f t="shared" si="33"/>
        <v>0.52736023206751059</v>
      </c>
      <c r="H18" s="19">
        <f t="shared" si="33"/>
        <v>0.46996373227827221</v>
      </c>
      <c r="I18" s="19">
        <f t="shared" si="33"/>
        <v>0.56937388665303146</v>
      </c>
      <c r="J18" s="19">
        <f t="shared" si="33"/>
        <v>0.63004320372216704</v>
      </c>
      <c r="K18" s="19"/>
      <c r="L18" s="19"/>
      <c r="M18" s="19"/>
      <c r="N18" s="19"/>
      <c r="O18" s="19"/>
      <c r="P18" s="6"/>
      <c r="Q18" s="1">
        <f t="shared" ref="Q18:R18" si="34">Q17/Q19</f>
        <v>1.2516170763260019</v>
      </c>
      <c r="R18" s="1">
        <f t="shared" si="34"/>
        <v>2.0829069919979011</v>
      </c>
      <c r="S18" s="1">
        <f>S17/S19</f>
        <v>1.8064241371967713</v>
      </c>
      <c r="T18" s="1">
        <f>T17/T19</f>
        <v>2.196084909556455</v>
      </c>
      <c r="U18" s="1">
        <f>U17/U19</f>
        <v>2.4133701111753538</v>
      </c>
      <c r="V18" s="1">
        <f t="shared" ref="V18:AI18" si="35">V17/V19</f>
        <v>2.6450934505988273</v>
      </c>
      <c r="W18" s="1">
        <f t="shared" si="35"/>
        <v>2.8998929872477084</v>
      </c>
      <c r="X18" s="1">
        <f t="shared" si="35"/>
        <v>3.1800753794773673</v>
      </c>
      <c r="Y18" s="1">
        <f t="shared" si="35"/>
        <v>3.3346769370912077</v>
      </c>
      <c r="Z18" s="1">
        <f t="shared" si="35"/>
        <v>3.644125296353141</v>
      </c>
      <c r="AA18" s="1">
        <f t="shared" si="35"/>
        <v>3.8218408653624336</v>
      </c>
      <c r="AB18" s="1">
        <f t="shared" si="35"/>
        <v>4.0083973058641069</v>
      </c>
      <c r="AC18" s="1">
        <f t="shared" si="35"/>
        <v>4.1263587456429756</v>
      </c>
      <c r="AD18" s="1">
        <f t="shared" si="35"/>
        <v>4.2478361238212363</v>
      </c>
      <c r="AE18" s="1">
        <f t="shared" si="35"/>
        <v>4.3729346895029373</v>
      </c>
      <c r="AF18" s="1">
        <f t="shared" si="35"/>
        <v>4.501762846974759</v>
      </c>
      <c r="AG18" s="1">
        <f t="shared" si="35"/>
        <v>4.6344322503386017</v>
      </c>
      <c r="AH18" s="1">
        <f t="shared" si="35"/>
        <v>4.9647865842852958</v>
      </c>
      <c r="AI18" s="1">
        <f t="shared" si="35"/>
        <v>5.1112987917793431</v>
      </c>
    </row>
    <row r="19" spans="2:238" s="2" customFormat="1" x14ac:dyDescent="0.2">
      <c r="B19" s="2" t="s">
        <v>1</v>
      </c>
      <c r="C19" s="9">
        <f>766.2*2</f>
        <v>1532.4</v>
      </c>
      <c r="D19" s="9">
        <v>1529.1</v>
      </c>
      <c r="E19" s="9">
        <v>1522</v>
      </c>
      <c r="F19" s="9">
        <v>1521.6</v>
      </c>
      <c r="G19" s="9">
        <f>758.4*2</f>
        <v>1516.8</v>
      </c>
      <c r="H19" s="9">
        <v>1516.5</v>
      </c>
      <c r="I19" s="9">
        <v>1515.7</v>
      </c>
      <c r="J19" s="9">
        <v>1504.5</v>
      </c>
      <c r="K19" s="9"/>
      <c r="L19" s="9"/>
      <c r="M19" s="9"/>
      <c r="N19" s="9"/>
      <c r="O19" s="9"/>
      <c r="P19" s="6"/>
      <c r="Q19" s="2">
        <f>773*2</f>
        <v>1546</v>
      </c>
      <c r="R19" s="2">
        <f>762.3*2</f>
        <v>1524.6</v>
      </c>
      <c r="S19" s="2">
        <f>AVERAGE(C19:F19)</f>
        <v>1526.2750000000001</v>
      </c>
      <c r="T19" s="2">
        <f>AVERAGE(G19:J19)</f>
        <v>1513.375</v>
      </c>
      <c r="U19" s="2">
        <f>+T19</f>
        <v>1513.375</v>
      </c>
      <c r="V19" s="2">
        <f t="shared" ref="V19:AI19" si="36">+U19</f>
        <v>1513.375</v>
      </c>
      <c r="W19" s="2">
        <f t="shared" si="36"/>
        <v>1513.375</v>
      </c>
      <c r="X19" s="2">
        <f t="shared" si="36"/>
        <v>1513.375</v>
      </c>
      <c r="Y19" s="2">
        <f t="shared" si="36"/>
        <v>1513.375</v>
      </c>
      <c r="Z19" s="2">
        <f t="shared" si="36"/>
        <v>1513.375</v>
      </c>
      <c r="AA19" s="2">
        <f t="shared" si="36"/>
        <v>1513.375</v>
      </c>
      <c r="AB19" s="2">
        <f t="shared" si="36"/>
        <v>1513.375</v>
      </c>
      <c r="AC19" s="2">
        <f t="shared" si="36"/>
        <v>1513.375</v>
      </c>
      <c r="AD19" s="2">
        <f t="shared" si="36"/>
        <v>1513.375</v>
      </c>
      <c r="AE19" s="2">
        <f t="shared" si="36"/>
        <v>1513.375</v>
      </c>
      <c r="AF19" s="2">
        <f t="shared" si="36"/>
        <v>1513.375</v>
      </c>
      <c r="AG19" s="2">
        <f t="shared" si="36"/>
        <v>1513.375</v>
      </c>
      <c r="AH19" s="2">
        <f t="shared" si="36"/>
        <v>1513.375</v>
      </c>
      <c r="AI19" s="2">
        <f t="shared" si="36"/>
        <v>1513.375</v>
      </c>
    </row>
    <row r="20" spans="2:238" x14ac:dyDescent="0.2">
      <c r="I20" s="10"/>
      <c r="J20" s="10"/>
      <c r="K20" s="10"/>
      <c r="L20" s="10"/>
      <c r="M20" s="10"/>
      <c r="N20" s="10"/>
      <c r="O20" s="10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t="s">
        <v>56</v>
      </c>
      <c r="AL20" s="21">
        <v>0.01</v>
      </c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</row>
    <row r="21" spans="2:238" x14ac:dyDescent="0.2">
      <c r="B21" s="2" t="s">
        <v>47</v>
      </c>
      <c r="G21" s="18">
        <f>G6/C6-1</f>
        <v>0.13293706953486173</v>
      </c>
      <c r="H21" s="18">
        <f>H6/D6-1</f>
        <v>0.17804223243326978</v>
      </c>
      <c r="I21" s="18">
        <f>I6/E6-1</f>
        <v>0.17514505139995662</v>
      </c>
      <c r="J21" s="18">
        <f>J6/F6-1</f>
        <v>0.17556448526597812</v>
      </c>
      <c r="K21" s="18"/>
      <c r="L21" s="18"/>
      <c r="M21" s="18"/>
      <c r="N21" s="18"/>
      <c r="O21" s="18"/>
      <c r="R21" s="21">
        <f>R6/Q6-1</f>
        <v>0.11975777295733936</v>
      </c>
      <c r="S21" s="21">
        <f>S6/R6-1</f>
        <v>0.1063510641160168</v>
      </c>
      <c r="T21" s="21">
        <f>T6/S6-1</f>
        <v>0.16505450543838407</v>
      </c>
      <c r="U21" s="21">
        <f t="shared" ref="U21:AI21" si="37">U6/T6-1</f>
        <v>0.10000000000000009</v>
      </c>
      <c r="V21" s="21">
        <f t="shared" si="37"/>
        <v>0.10000000000000009</v>
      </c>
      <c r="W21" s="21">
        <f t="shared" si="37"/>
        <v>0.10000000000000009</v>
      </c>
      <c r="X21" s="21">
        <f t="shared" si="37"/>
        <v>0.10000000000000009</v>
      </c>
      <c r="Y21" s="21">
        <f t="shared" si="37"/>
        <v>5.0000000000000044E-2</v>
      </c>
      <c r="Z21" s="21">
        <f t="shared" si="37"/>
        <v>5.0000000000000044E-2</v>
      </c>
      <c r="AA21" s="21">
        <f t="shared" si="37"/>
        <v>5.0000000000000044E-2</v>
      </c>
      <c r="AB21" s="21">
        <f t="shared" si="37"/>
        <v>5.0000000000000044E-2</v>
      </c>
      <c r="AC21" s="21">
        <f t="shared" si="37"/>
        <v>3.0000000000000027E-2</v>
      </c>
      <c r="AD21" s="21">
        <f t="shared" si="37"/>
        <v>3.0000000000000027E-2</v>
      </c>
      <c r="AE21" s="21">
        <f t="shared" si="37"/>
        <v>3.0000000000000027E-2</v>
      </c>
      <c r="AF21" s="21">
        <f t="shared" si="37"/>
        <v>3.0000000000000027E-2</v>
      </c>
      <c r="AG21" s="21">
        <f t="shared" si="37"/>
        <v>3.0000000000000027E-2</v>
      </c>
      <c r="AH21" s="21">
        <f t="shared" si="37"/>
        <v>3.0000000000000027E-2</v>
      </c>
      <c r="AI21" s="21">
        <f t="shared" si="37"/>
        <v>3.0000000000000027E-2</v>
      </c>
      <c r="AJ21" s="2"/>
      <c r="AK21" s="2" t="s">
        <v>55</v>
      </c>
      <c r="AL21" s="21">
        <v>7.0000000000000007E-2</v>
      </c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</row>
    <row r="22" spans="2:238" x14ac:dyDescent="0.2">
      <c r="B22" s="2" t="s">
        <v>62</v>
      </c>
      <c r="G22" s="18"/>
      <c r="H22" s="18"/>
      <c r="I22" s="18"/>
      <c r="J22" s="18">
        <v>0.08</v>
      </c>
      <c r="K22" s="18"/>
      <c r="L22" s="18"/>
      <c r="M22" s="18"/>
      <c r="N22" s="18"/>
      <c r="O22" s="18"/>
      <c r="R22" s="21"/>
      <c r="S22" s="21"/>
      <c r="T22" s="21">
        <v>7.0000000000000007E-2</v>
      </c>
      <c r="U22" s="21">
        <v>7.0000000000000007E-2</v>
      </c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"/>
      <c r="AK22" s="2"/>
      <c r="AL22" s="21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</row>
    <row r="23" spans="2:238" x14ac:dyDescent="0.2">
      <c r="B23" s="2" t="s">
        <v>63</v>
      </c>
      <c r="G23" s="18"/>
      <c r="H23" s="18"/>
      <c r="I23" s="18"/>
      <c r="J23" s="18">
        <v>0.09</v>
      </c>
      <c r="K23" s="18"/>
      <c r="L23" s="18"/>
      <c r="M23" s="18"/>
      <c r="N23" s="18"/>
      <c r="O23" s="18"/>
      <c r="R23" s="21"/>
      <c r="S23" s="21"/>
      <c r="T23" s="21">
        <v>7.0000000000000007E-2</v>
      </c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"/>
      <c r="AK23" s="2"/>
      <c r="AL23" s="21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</row>
    <row r="24" spans="2:238" x14ac:dyDescent="0.2">
      <c r="B24" s="2" t="s">
        <v>53</v>
      </c>
      <c r="C24" s="10">
        <f>C13/C6</f>
        <v>0.21509104632512513</v>
      </c>
      <c r="D24" s="10">
        <f t="shared" ref="D24:AI24" si="38">D13/D6</f>
        <v>0.19582838556456181</v>
      </c>
      <c r="E24" s="10">
        <f t="shared" si="38"/>
        <v>0.21082408455112306</v>
      </c>
      <c r="F24" s="10">
        <f t="shared" si="38"/>
        <v>0.22864045158821272</v>
      </c>
      <c r="G24" s="10">
        <f t="shared" si="38"/>
        <v>0.22249750166555632</v>
      </c>
      <c r="H24" s="10">
        <f t="shared" si="38"/>
        <v>0.20591651144954526</v>
      </c>
      <c r="I24" s="10">
        <f t="shared" si="38"/>
        <v>0.22838646234532486</v>
      </c>
      <c r="J24" s="10">
        <f t="shared" si="38"/>
        <v>0.22824936925205508</v>
      </c>
      <c r="K24" s="10"/>
      <c r="L24" s="10"/>
      <c r="M24" s="10"/>
      <c r="N24" s="10"/>
      <c r="O24" s="10"/>
      <c r="Q24" s="10">
        <f t="shared" si="38"/>
        <v>0.17602133044107007</v>
      </c>
      <c r="R24" s="10">
        <f t="shared" si="38"/>
        <v>0.19026959399467266</v>
      </c>
      <c r="S24" s="10">
        <f t="shared" si="38"/>
        <v>0.21292079839979583</v>
      </c>
      <c r="T24" s="10">
        <f t="shared" si="38"/>
        <v>0.22152410672817505</v>
      </c>
      <c r="U24" s="10">
        <f t="shared" si="38"/>
        <v>0.23</v>
      </c>
      <c r="V24" s="10">
        <f t="shared" si="38"/>
        <v>0.23</v>
      </c>
      <c r="W24" s="10">
        <f t="shared" si="38"/>
        <v>0.23000000000000004</v>
      </c>
      <c r="X24" s="10">
        <f t="shared" si="38"/>
        <v>0.23</v>
      </c>
      <c r="Y24" s="10">
        <f t="shared" si="38"/>
        <v>0.23000000000000004</v>
      </c>
      <c r="Z24" s="10">
        <f t="shared" si="38"/>
        <v>0.23999999999999996</v>
      </c>
      <c r="AA24" s="10">
        <f t="shared" si="38"/>
        <v>0.24</v>
      </c>
      <c r="AB24" s="10">
        <f t="shared" si="38"/>
        <v>0.24</v>
      </c>
      <c r="AC24" s="10">
        <f t="shared" si="38"/>
        <v>0.24000000000000002</v>
      </c>
      <c r="AD24" s="10">
        <f t="shared" si="38"/>
        <v>0.24</v>
      </c>
      <c r="AE24" s="10">
        <f t="shared" si="38"/>
        <v>0.24</v>
      </c>
      <c r="AF24" s="10">
        <f t="shared" si="38"/>
        <v>0.24</v>
      </c>
      <c r="AG24" s="10">
        <f t="shared" si="38"/>
        <v>0.24</v>
      </c>
      <c r="AH24" s="10">
        <f t="shared" si="38"/>
        <v>0.25</v>
      </c>
      <c r="AI24" s="10">
        <f t="shared" si="38"/>
        <v>0.25</v>
      </c>
      <c r="AJ24" s="2"/>
      <c r="AK24" s="2" t="s">
        <v>46</v>
      </c>
      <c r="AL24" s="2">
        <f>NPV(AL21,U17:ID17)+Main!H5-Main!H6</f>
        <v>97252.572711299974</v>
      </c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</row>
    <row r="25" spans="2:238" x14ac:dyDescent="0.2">
      <c r="B25" s="2" t="s">
        <v>54</v>
      </c>
      <c r="C25" s="10">
        <f>C16/C15</f>
        <v>0.28720437880822047</v>
      </c>
      <c r="D25" s="10">
        <f t="shared" ref="D25:AI25" si="39">D16/D15</f>
        <v>0.26634943875061023</v>
      </c>
      <c r="E25" s="10">
        <f t="shared" si="39"/>
        <v>0.27217318200924762</v>
      </c>
      <c r="F25" s="10">
        <f t="shared" si="39"/>
        <v>0.30335255948089412</v>
      </c>
      <c r="G25" s="10">
        <f t="shared" si="39"/>
        <v>0.28253655036326125</v>
      </c>
      <c r="H25" s="10">
        <f t="shared" si="39"/>
        <v>0.27201225740551593</v>
      </c>
      <c r="I25" s="10">
        <f t="shared" si="39"/>
        <v>0.26957257723233186</v>
      </c>
      <c r="J25" s="10">
        <f t="shared" si="39"/>
        <v>0.20471516066784121</v>
      </c>
      <c r="K25" s="10"/>
      <c r="L25" s="10"/>
      <c r="M25" s="10"/>
      <c r="N25" s="10"/>
      <c r="O25" s="10"/>
      <c r="Q25" s="10">
        <f t="shared" si="39"/>
        <v>0.25845021844102101</v>
      </c>
      <c r="R25" s="10">
        <f t="shared" si="39"/>
        <v>0</v>
      </c>
      <c r="S25" s="10">
        <f t="shared" si="39"/>
        <v>0.28370268374425173</v>
      </c>
      <c r="T25" s="10">
        <f t="shared" si="39"/>
        <v>0.25603832292436146</v>
      </c>
      <c r="U25" s="10">
        <f t="shared" si="39"/>
        <v>0.28000000000000003</v>
      </c>
      <c r="V25" s="10">
        <f t="shared" si="39"/>
        <v>0.28000000000000003</v>
      </c>
      <c r="W25" s="10">
        <f t="shared" si="39"/>
        <v>0.28000000000000003</v>
      </c>
      <c r="X25" s="10">
        <f t="shared" si="39"/>
        <v>0.28000000000000003</v>
      </c>
      <c r="Y25" s="10">
        <f t="shared" si="39"/>
        <v>0.28000000000000003</v>
      </c>
      <c r="Z25" s="10">
        <f t="shared" si="39"/>
        <v>0.28000000000000003</v>
      </c>
      <c r="AA25" s="10">
        <f t="shared" si="39"/>
        <v>0.28000000000000003</v>
      </c>
      <c r="AB25" s="10">
        <f t="shared" si="39"/>
        <v>0.28000000000000003</v>
      </c>
      <c r="AC25" s="10">
        <f t="shared" si="39"/>
        <v>0.28000000000000003</v>
      </c>
      <c r="AD25" s="10">
        <f t="shared" si="39"/>
        <v>0.28000000000000003</v>
      </c>
      <c r="AE25" s="10">
        <f t="shared" si="39"/>
        <v>0.28000000000000003</v>
      </c>
      <c r="AF25" s="10">
        <f t="shared" si="39"/>
        <v>0.28000000000000003</v>
      </c>
      <c r="AG25" s="10">
        <f t="shared" si="39"/>
        <v>0.28000000000000003</v>
      </c>
      <c r="AH25" s="10">
        <f t="shared" si="39"/>
        <v>0.28000000000000003</v>
      </c>
      <c r="AI25" s="10">
        <f t="shared" si="39"/>
        <v>0.28000000000000003</v>
      </c>
      <c r="AJ25" s="2"/>
      <c r="AK25" s="2" t="s">
        <v>57</v>
      </c>
      <c r="AL25" s="1">
        <f>AL24/Main!H3</f>
        <v>65.525247750505301</v>
      </c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</row>
    <row r="26" spans="2:238" x14ac:dyDescent="0.2">
      <c r="I26" s="18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</row>
    <row r="27" spans="2:238" x14ac:dyDescent="0.2">
      <c r="B27" s="3" t="s">
        <v>43</v>
      </c>
      <c r="I27" s="6">
        <f>+I29-I43</f>
        <v>27.5</v>
      </c>
    </row>
    <row r="28" spans="2:238" x14ac:dyDescent="0.2">
      <c r="B28" s="3"/>
      <c r="U28" s="16"/>
    </row>
    <row r="29" spans="2:238" s="2" customFormat="1" x14ac:dyDescent="0.2">
      <c r="B29" s="2" t="s">
        <v>3</v>
      </c>
      <c r="C29" s="6"/>
      <c r="D29" s="6"/>
      <c r="E29" s="6"/>
      <c r="F29" s="6"/>
      <c r="G29" s="6"/>
      <c r="H29" s="6"/>
      <c r="I29" s="6">
        <f>2080.5+94.7+390.1+359.4</f>
        <v>2924.7</v>
      </c>
      <c r="J29" s="6"/>
      <c r="K29" s="6"/>
      <c r="L29" s="6"/>
      <c r="M29" s="6"/>
      <c r="N29" s="6"/>
      <c r="O29" s="6"/>
      <c r="P29" s="6"/>
      <c r="T29"/>
      <c r="U29" s="15"/>
    </row>
    <row r="30" spans="2:238" s="2" customFormat="1" x14ac:dyDescent="0.2">
      <c r="B30" s="2" t="s">
        <v>27</v>
      </c>
      <c r="C30" s="6"/>
      <c r="D30" s="6"/>
      <c r="E30" s="6"/>
      <c r="F30" s="6"/>
      <c r="G30" s="6"/>
      <c r="H30" s="6"/>
      <c r="I30" s="6">
        <v>672.7</v>
      </c>
      <c r="J30" s="6"/>
      <c r="K30" s="6"/>
      <c r="L30" s="6"/>
      <c r="M30" s="6"/>
      <c r="N30" s="6"/>
      <c r="O30" s="6"/>
      <c r="P30" s="6"/>
    </row>
    <row r="31" spans="2:238" s="2" customFormat="1" x14ac:dyDescent="0.2">
      <c r="B31" s="2" t="s">
        <v>28</v>
      </c>
      <c r="C31" s="6"/>
      <c r="D31" s="6"/>
      <c r="E31" s="6"/>
      <c r="F31" s="6"/>
      <c r="G31" s="6"/>
      <c r="H31" s="6"/>
      <c r="I31" s="6">
        <v>1166</v>
      </c>
      <c r="J31" s="6"/>
      <c r="K31" s="6"/>
      <c r="L31" s="6"/>
      <c r="M31" s="6"/>
      <c r="N31" s="6"/>
      <c r="O31" s="6"/>
      <c r="P31" s="6"/>
      <c r="T31"/>
      <c r="U31" s="16"/>
    </row>
    <row r="32" spans="2:238" s="2" customFormat="1" x14ac:dyDescent="0.2">
      <c r="B32" s="2" t="s">
        <v>29</v>
      </c>
      <c r="C32" s="6"/>
      <c r="D32" s="6"/>
      <c r="E32" s="6"/>
      <c r="F32" s="6"/>
      <c r="G32" s="6"/>
      <c r="H32" s="6"/>
      <c r="I32" s="6">
        <v>413.8</v>
      </c>
      <c r="J32" s="6"/>
      <c r="K32" s="6"/>
      <c r="L32" s="6"/>
      <c r="M32" s="6"/>
      <c r="N32" s="6"/>
      <c r="O32" s="6"/>
      <c r="P32" s="6"/>
      <c r="T32"/>
      <c r="U32" s="15"/>
    </row>
    <row r="33" spans="2:21" s="2" customFormat="1" x14ac:dyDescent="0.2">
      <c r="B33" s="2" t="s">
        <v>30</v>
      </c>
      <c r="C33" s="6"/>
      <c r="D33" s="6"/>
      <c r="E33" s="6"/>
      <c r="F33" s="6"/>
      <c r="G33" s="6"/>
      <c r="H33" s="6"/>
      <c r="I33" s="6">
        <f>333+851.2</f>
        <v>1184.2</v>
      </c>
      <c r="J33" s="6"/>
      <c r="K33" s="6"/>
      <c r="L33" s="6"/>
      <c r="M33" s="6"/>
      <c r="N33" s="6"/>
      <c r="O33" s="6"/>
      <c r="P33" s="6"/>
    </row>
    <row r="34" spans="2:21" s="2" customFormat="1" x14ac:dyDescent="0.2">
      <c r="B34" s="2" t="s">
        <v>31</v>
      </c>
      <c r="C34" s="6"/>
      <c r="D34" s="6"/>
      <c r="E34" s="6"/>
      <c r="F34" s="6"/>
      <c r="G34" s="6"/>
      <c r="H34" s="6"/>
      <c r="I34" s="6">
        <v>3977.7</v>
      </c>
      <c r="J34" s="6"/>
      <c r="K34" s="6"/>
      <c r="L34" s="6"/>
      <c r="M34" s="6"/>
      <c r="N34" s="6"/>
      <c r="O34" s="6"/>
      <c r="P34" s="6"/>
      <c r="T34" s="3"/>
      <c r="U34" s="17"/>
    </row>
    <row r="35" spans="2:21" s="2" customFormat="1" x14ac:dyDescent="0.2">
      <c r="B35" s="2" t="s">
        <v>32</v>
      </c>
      <c r="C35" s="6"/>
      <c r="D35" s="6"/>
      <c r="E35" s="6"/>
      <c r="F35" s="6"/>
      <c r="G35" s="6"/>
      <c r="H35" s="6"/>
      <c r="I35" s="6">
        <v>443.3</v>
      </c>
      <c r="J35" s="6"/>
      <c r="K35" s="6"/>
      <c r="L35" s="6"/>
      <c r="M35" s="6"/>
      <c r="N35" s="6"/>
      <c r="O35" s="6"/>
      <c r="P35" s="6"/>
      <c r="T35" s="3"/>
      <c r="U35" s="15"/>
    </row>
    <row r="36" spans="2:21" s="2" customFormat="1" x14ac:dyDescent="0.2">
      <c r="B36" s="2" t="s">
        <v>33</v>
      </c>
      <c r="C36" s="6"/>
      <c r="D36" s="6"/>
      <c r="E36" s="6"/>
      <c r="F36" s="6"/>
      <c r="G36" s="6"/>
      <c r="H36" s="6"/>
      <c r="I36" s="6">
        <f>525.8+1560.6</f>
        <v>2086.3999999999996</v>
      </c>
      <c r="J36" s="6"/>
      <c r="K36" s="6"/>
      <c r="L36" s="6"/>
      <c r="M36" s="6"/>
      <c r="N36" s="6"/>
      <c r="O36" s="6"/>
      <c r="P36" s="6"/>
    </row>
    <row r="37" spans="2:21" s="7" customFormat="1" x14ac:dyDescent="0.2">
      <c r="B37" s="7" t="s">
        <v>34</v>
      </c>
      <c r="C37" s="8"/>
      <c r="D37" s="8"/>
      <c r="E37" s="8"/>
      <c r="F37" s="8"/>
      <c r="G37" s="8"/>
      <c r="H37" s="8"/>
      <c r="I37" s="8">
        <f>SUM(I29:I36)</f>
        <v>12868.799999999997</v>
      </c>
      <c r="J37" s="8"/>
      <c r="K37" s="8"/>
      <c r="L37" s="8"/>
      <c r="M37" s="8"/>
      <c r="N37" s="8"/>
      <c r="O37" s="8"/>
      <c r="P37" s="8"/>
    </row>
    <row r="38" spans="2:21" s="2" customFormat="1" x14ac:dyDescent="0.2"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2:21" s="2" customFormat="1" x14ac:dyDescent="0.2">
      <c r="B39" s="2" t="s">
        <v>35</v>
      </c>
      <c r="C39" s="6"/>
      <c r="D39" s="6"/>
      <c r="E39" s="6"/>
      <c r="F39" s="6"/>
      <c r="G39" s="6"/>
      <c r="H39" s="6"/>
      <c r="I39" s="6">
        <v>603.20000000000005</v>
      </c>
      <c r="J39" s="6"/>
      <c r="K39" s="6"/>
      <c r="L39" s="6"/>
      <c r="M39" s="6"/>
      <c r="N39" s="6"/>
      <c r="O39" s="6"/>
      <c r="P39" s="6"/>
    </row>
    <row r="40" spans="2:21" s="2" customFormat="1" x14ac:dyDescent="0.2">
      <c r="B40" s="2" t="s">
        <v>36</v>
      </c>
      <c r="C40" s="6"/>
      <c r="D40" s="6"/>
      <c r="E40" s="6"/>
      <c r="F40" s="6"/>
      <c r="G40" s="6"/>
      <c r="H40" s="6"/>
      <c r="I40" s="6">
        <v>1656.9</v>
      </c>
      <c r="J40" s="6"/>
      <c r="K40" s="6"/>
      <c r="L40" s="6"/>
      <c r="M40" s="6"/>
      <c r="N40" s="6"/>
      <c r="O40" s="6"/>
      <c r="P40" s="6"/>
    </row>
    <row r="41" spans="2:21" s="2" customFormat="1" x14ac:dyDescent="0.2">
      <c r="B41" s="2" t="s">
        <v>37</v>
      </c>
      <c r="C41" s="6"/>
      <c r="D41" s="6"/>
      <c r="E41" s="6"/>
      <c r="F41" s="6"/>
      <c r="G41" s="6"/>
      <c r="H41" s="6"/>
      <c r="I41" s="6">
        <v>214.7</v>
      </c>
      <c r="J41" s="6"/>
      <c r="K41" s="6"/>
      <c r="L41" s="6"/>
      <c r="M41" s="6"/>
      <c r="N41" s="6"/>
      <c r="O41" s="6"/>
      <c r="P41" s="6"/>
    </row>
    <row r="42" spans="2:21" s="2" customFormat="1" x14ac:dyDescent="0.2">
      <c r="B42" s="2" t="s">
        <v>38</v>
      </c>
      <c r="C42" s="6"/>
      <c r="D42" s="6"/>
      <c r="E42" s="6"/>
      <c r="F42" s="6"/>
      <c r="G42" s="6"/>
      <c r="H42" s="6"/>
      <c r="I42" s="6">
        <v>1024.5999999999999</v>
      </c>
      <c r="J42" s="6"/>
      <c r="K42" s="6"/>
      <c r="L42" s="6"/>
      <c r="M42" s="6"/>
      <c r="N42" s="6"/>
      <c r="O42" s="6"/>
      <c r="P42" s="6"/>
    </row>
    <row r="43" spans="2:21" s="2" customFormat="1" x14ac:dyDescent="0.2">
      <c r="B43" s="2" t="s">
        <v>4</v>
      </c>
      <c r="C43" s="6"/>
      <c r="D43" s="6"/>
      <c r="E43" s="6"/>
      <c r="F43" s="6"/>
      <c r="G43" s="6"/>
      <c r="H43" s="6"/>
      <c r="I43" s="6">
        <f>549.8+2347.4</f>
        <v>2897.2</v>
      </c>
      <c r="J43" s="6"/>
      <c r="K43" s="6"/>
      <c r="L43" s="6"/>
      <c r="M43" s="6"/>
      <c r="N43" s="6"/>
      <c r="O43" s="6"/>
      <c r="P43" s="6"/>
    </row>
    <row r="44" spans="2:21" s="2" customFormat="1" x14ac:dyDescent="0.2">
      <c r="B44" s="2" t="s">
        <v>39</v>
      </c>
      <c r="C44" s="6"/>
      <c r="D44" s="6"/>
      <c r="E44" s="6"/>
      <c r="F44" s="6"/>
      <c r="G44" s="6"/>
      <c r="H44" s="6"/>
      <c r="I44" s="6">
        <v>613.9</v>
      </c>
      <c r="J44" s="6"/>
      <c r="K44" s="6"/>
      <c r="L44" s="6"/>
      <c r="M44" s="6"/>
      <c r="N44" s="6"/>
      <c r="O44" s="6"/>
      <c r="P44" s="6"/>
    </row>
    <row r="45" spans="2:21" x14ac:dyDescent="0.2">
      <c r="B45" s="7" t="s">
        <v>40</v>
      </c>
      <c r="I45" s="8">
        <f>SUM(I39:I44)</f>
        <v>7010.5</v>
      </c>
    </row>
    <row r="46" spans="2:21" x14ac:dyDescent="0.2">
      <c r="B46" s="7" t="s">
        <v>41</v>
      </c>
      <c r="I46" s="8">
        <v>5858.3</v>
      </c>
    </row>
    <row r="47" spans="2:21" x14ac:dyDescent="0.2">
      <c r="B47" s="7" t="s">
        <v>42</v>
      </c>
      <c r="I47" s="8">
        <f>I46+I45</f>
        <v>12868.8</v>
      </c>
    </row>
    <row r="48" spans="2:21" x14ac:dyDescent="0.2">
      <c r="B48" s="2"/>
      <c r="I48" s="8"/>
    </row>
    <row r="49" spans="2:21" x14ac:dyDescent="0.2">
      <c r="B49" s="2" t="s">
        <v>44</v>
      </c>
      <c r="I49" s="8">
        <f>+I37-I45</f>
        <v>5858.2999999999975</v>
      </c>
    </row>
    <row r="50" spans="2:21" x14ac:dyDescent="0.2">
      <c r="B50" s="7" t="s">
        <v>45</v>
      </c>
      <c r="I50" s="8">
        <f>+I49-I36</f>
        <v>3771.8999999999978</v>
      </c>
    </row>
    <row r="54" spans="2:21" s="2" customFormat="1" x14ac:dyDescent="0.2">
      <c r="B54" s="2" t="s">
        <v>65</v>
      </c>
      <c r="C54" s="6"/>
      <c r="D54" s="6"/>
      <c r="E54" s="6"/>
      <c r="F54" s="6"/>
      <c r="G54" s="6"/>
      <c r="H54" s="6"/>
      <c r="I54" s="6"/>
      <c r="J54" s="6">
        <v>524</v>
      </c>
      <c r="K54" s="6"/>
      <c r="L54" s="6"/>
      <c r="M54" s="6"/>
      <c r="N54" s="6"/>
      <c r="O54" s="6"/>
      <c r="P54" s="6"/>
      <c r="U54" s="2">
        <v>1800</v>
      </c>
    </row>
    <row r="55" spans="2:21" s="2" customFormat="1" x14ac:dyDescent="0.2">
      <c r="B55" s="2" t="s">
        <v>64</v>
      </c>
      <c r="C55" s="6"/>
      <c r="D55" s="6"/>
      <c r="E55" s="6"/>
      <c r="F55" s="6"/>
      <c r="G55" s="6"/>
      <c r="H55" s="6"/>
      <c r="I55" s="6">
        <f>+J55-J54</f>
        <v>22519</v>
      </c>
      <c r="J55" s="6">
        <v>23043</v>
      </c>
      <c r="K55" s="6"/>
      <c r="L55" s="6"/>
      <c r="M55" s="6"/>
      <c r="N55" s="6"/>
      <c r="O55" s="6"/>
      <c r="P55" s="6"/>
      <c r="T55" s="2">
        <v>23043</v>
      </c>
      <c r="U55" s="2">
        <f>+T55+U54</f>
        <v>24843</v>
      </c>
    </row>
    <row r="56" spans="2:21" x14ac:dyDescent="0.2">
      <c r="B56" t="s">
        <v>66</v>
      </c>
      <c r="I56" s="6">
        <f>+I6*1000000/I55</f>
        <v>216759.18113592966</v>
      </c>
      <c r="J56" s="6">
        <f>+J6*1000000/J55</f>
        <v>213288.20032113875</v>
      </c>
      <c r="T56" s="6">
        <f t="shared" ref="T56:U56" si="40">+T6*1000000/T55</f>
        <v>831606.12767434795</v>
      </c>
      <c r="U56" s="6">
        <f>+U6*1000000/U55</f>
        <v>848487.30024554196</v>
      </c>
    </row>
    <row r="57" spans="2:21" x14ac:dyDescent="0.2">
      <c r="B57" t="s">
        <v>67</v>
      </c>
      <c r="U57" s="21">
        <f>+U55/T55-1</f>
        <v>7.8114828798333535E-2</v>
      </c>
    </row>
    <row r="59" spans="2:21" x14ac:dyDescent="0.2">
      <c r="B59" s="5"/>
    </row>
  </sheetData>
  <hyperlinks>
    <hyperlink ref="A1" location="Main!A1" display="Main"/>
  </hyperlink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2015-11-08T00:02:13Z</dcterms:created>
  <dcterms:modified xsi:type="dcterms:W3CDTF">2015-11-20T05:01:18Z</dcterms:modified>
</cp:coreProperties>
</file>