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tin\Desktop\Investing Class\"/>
    </mc:Choice>
  </mc:AlternateContent>
  <bookViews>
    <workbookView xWindow="0" yWindow="0" windowWidth="21150" windowHeight="7590"/>
  </bookViews>
  <sheets>
    <sheet name="Main" sheetId="1" r:id="rId1"/>
    <sheet name="Model" sheetId="2" r:id="rId2"/>
    <sheet name="Adcetri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" i="2" l="1"/>
  <c r="X3" i="2"/>
  <c r="N3" i="2"/>
  <c r="M3" i="2"/>
  <c r="M20" i="2" s="1"/>
  <c r="K20" i="2"/>
  <c r="J20" i="2"/>
  <c r="I20" i="2"/>
  <c r="L20" i="2"/>
  <c r="L22" i="2"/>
  <c r="L32" i="2"/>
  <c r="L35" i="2"/>
  <c r="L29" i="2"/>
  <c r="L23" i="2"/>
  <c r="N10" i="2"/>
  <c r="N11" i="2" s="1"/>
  <c r="M10" i="2"/>
  <c r="M11" i="2" s="1"/>
  <c r="M7" i="2"/>
  <c r="N7" i="2" s="1"/>
  <c r="M5" i="2"/>
  <c r="M18" i="2"/>
  <c r="N18" i="2" s="1"/>
  <c r="W15" i="2"/>
  <c r="W13" i="2"/>
  <c r="W9" i="2"/>
  <c r="W4" i="2"/>
  <c r="V18" i="2"/>
  <c r="V15" i="2"/>
  <c r="V13" i="2"/>
  <c r="V10" i="2"/>
  <c r="V11" i="2" s="1"/>
  <c r="V9" i="2"/>
  <c r="V5" i="2"/>
  <c r="V4" i="2"/>
  <c r="V3" i="2"/>
  <c r="V6" i="2" s="1"/>
  <c r="V8" i="2" s="1"/>
  <c r="V12" i="2" s="1"/>
  <c r="V14" i="2" s="1"/>
  <c r="V16" i="2" s="1"/>
  <c r="V17" i="2" s="1"/>
  <c r="E7" i="2"/>
  <c r="E11" i="2"/>
  <c r="E6" i="2"/>
  <c r="I7" i="2"/>
  <c r="I11" i="2"/>
  <c r="I6" i="2"/>
  <c r="I8" i="2" s="1"/>
  <c r="F7" i="2"/>
  <c r="F11" i="2"/>
  <c r="F6" i="2"/>
  <c r="J7" i="2"/>
  <c r="J11" i="2"/>
  <c r="J6" i="2"/>
  <c r="G7" i="2"/>
  <c r="V7" i="2" s="1"/>
  <c r="G11" i="2"/>
  <c r="G6" i="2"/>
  <c r="K11" i="2"/>
  <c r="K7" i="2"/>
  <c r="K6" i="2"/>
  <c r="K8" i="2" s="1"/>
  <c r="R2" i="2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H7" i="2"/>
  <c r="H11" i="2"/>
  <c r="H6" i="2"/>
  <c r="H8" i="2" s="1"/>
  <c r="L8" i="2"/>
  <c r="L11" i="2"/>
  <c r="L12" i="2" s="1"/>
  <c r="L14" i="2" s="1"/>
  <c r="L16" i="2" s="1"/>
  <c r="L17" i="2" s="1"/>
  <c r="L7" i="2"/>
  <c r="L6" i="2"/>
  <c r="M7" i="1"/>
  <c r="M5" i="1"/>
  <c r="M4" i="1"/>
  <c r="N5" i="2" l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W18" i="2"/>
  <c r="W7" i="2"/>
  <c r="M6" i="2"/>
  <c r="M8" i="2" s="1"/>
  <c r="W10" i="2"/>
  <c r="W3" i="2"/>
  <c r="M12" i="2"/>
  <c r="M14" i="2" s="1"/>
  <c r="M16" i="2" s="1"/>
  <c r="E8" i="2"/>
  <c r="E12" i="2" s="1"/>
  <c r="E14" i="2" s="1"/>
  <c r="E16" i="2" s="1"/>
  <c r="E17" i="2" s="1"/>
  <c r="I12" i="2"/>
  <c r="I14" i="2" s="1"/>
  <c r="I16" i="2" s="1"/>
  <c r="I17" i="2" s="1"/>
  <c r="F8" i="2"/>
  <c r="F12" i="2" s="1"/>
  <c r="F14" i="2" s="1"/>
  <c r="F16" i="2" s="1"/>
  <c r="F17" i="2" s="1"/>
  <c r="J8" i="2"/>
  <c r="J12" i="2" s="1"/>
  <c r="J14" i="2" s="1"/>
  <c r="J16" i="2" s="1"/>
  <c r="J17" i="2" s="1"/>
  <c r="G8" i="2"/>
  <c r="G12" i="2" s="1"/>
  <c r="G14" i="2" s="1"/>
  <c r="G16" i="2" s="1"/>
  <c r="G17" i="2" s="1"/>
  <c r="K12" i="2"/>
  <c r="K14" i="2" s="1"/>
  <c r="K16" i="2" s="1"/>
  <c r="K17" i="2" s="1"/>
  <c r="H12" i="2"/>
  <c r="H14" i="2" s="1"/>
  <c r="H16" i="2" s="1"/>
  <c r="H17" i="2" s="1"/>
  <c r="N6" i="2" l="1"/>
  <c r="N8" i="2" s="1"/>
  <c r="N12" i="2" s="1"/>
  <c r="N14" i="2" s="1"/>
  <c r="N16" i="2" s="1"/>
  <c r="N17" i="2" s="1"/>
  <c r="N20" i="2"/>
  <c r="M17" i="2"/>
  <c r="M22" i="2"/>
  <c r="W11" i="2"/>
  <c r="X10" i="2"/>
  <c r="W6" i="2"/>
  <c r="W8" i="2" s="1"/>
  <c r="W12" i="2" s="1"/>
  <c r="W14" i="2" s="1"/>
  <c r="W16" i="2" s="1"/>
  <c r="W17" i="2" s="1"/>
  <c r="N22" i="2" l="1"/>
  <c r="W22" i="2" s="1"/>
  <c r="X13" i="2" s="1"/>
  <c r="X6" i="2"/>
  <c r="Y10" i="2"/>
  <c r="X11" i="2"/>
  <c r="Z10" i="2" l="1"/>
  <c r="Y11" i="2"/>
  <c r="X7" i="2"/>
  <c r="X8" i="2" s="1"/>
  <c r="X12" i="2" s="1"/>
  <c r="X14" i="2" s="1"/>
  <c r="Z3" i="2"/>
  <c r="Y6" i="2"/>
  <c r="X15" i="2" l="1"/>
  <c r="X16" i="2" s="1"/>
  <c r="X22" i="2" s="1"/>
  <c r="AA3" i="2"/>
  <c r="Z6" i="2"/>
  <c r="Y7" i="2"/>
  <c r="Y8" i="2" s="1"/>
  <c r="Y12" i="2" s="1"/>
  <c r="AA10" i="2"/>
  <c r="Z11" i="2"/>
  <c r="Y13" i="2" l="1"/>
  <c r="Y14" i="2" s="1"/>
  <c r="Y15" i="2" s="1"/>
  <c r="Y16" i="2" s="1"/>
  <c r="Y22" i="2" s="1"/>
  <c r="AB10" i="2"/>
  <c r="AA11" i="2"/>
  <c r="Z7" i="2"/>
  <c r="Z8" i="2" s="1"/>
  <c r="Z12" i="2" s="1"/>
  <c r="AB3" i="2"/>
  <c r="AA6" i="2"/>
  <c r="Z13" i="2" l="1"/>
  <c r="Z14" i="2" s="1"/>
  <c r="Z15" i="2" s="1"/>
  <c r="Z16" i="2" s="1"/>
  <c r="Z22" i="2" s="1"/>
  <c r="AA7" i="2"/>
  <c r="AA8" i="2"/>
  <c r="AA12" i="2" s="1"/>
  <c r="AC3" i="2"/>
  <c r="AB6" i="2"/>
  <c r="AC10" i="2"/>
  <c r="AB11" i="2"/>
  <c r="AA13" i="2" l="1"/>
  <c r="AA14" i="2" s="1"/>
  <c r="AA15" i="2" s="1"/>
  <c r="AA16" i="2" s="1"/>
  <c r="AA22" i="2" s="1"/>
  <c r="AD10" i="2"/>
  <c r="AC11" i="2"/>
  <c r="AD3" i="2"/>
  <c r="AC6" i="2"/>
  <c r="AB7" i="2"/>
  <c r="AB8" i="2" s="1"/>
  <c r="AB12" i="2" s="1"/>
  <c r="AB13" i="2" l="1"/>
  <c r="AB14" i="2" s="1"/>
  <c r="AB15" i="2" s="1"/>
  <c r="AB16" i="2" s="1"/>
  <c r="AB22" i="2" s="1"/>
  <c r="AC7" i="2"/>
  <c r="AC8" i="2" s="1"/>
  <c r="AC12" i="2" s="1"/>
  <c r="AE3" i="2"/>
  <c r="AD6" i="2"/>
  <c r="AE10" i="2"/>
  <c r="AD11" i="2"/>
  <c r="AC13" i="2" l="1"/>
  <c r="AC14" i="2" s="1"/>
  <c r="AC15" i="2" s="1"/>
  <c r="AC16" i="2" s="1"/>
  <c r="AC22" i="2" s="1"/>
  <c r="AE11" i="2"/>
  <c r="AF10" i="2"/>
  <c r="AF3" i="2"/>
  <c r="AE6" i="2"/>
  <c r="AD7" i="2"/>
  <c r="AD8" i="2"/>
  <c r="AD12" i="2" s="1"/>
  <c r="AD13" i="2" l="1"/>
  <c r="AD14" i="2" s="1"/>
  <c r="AF6" i="2"/>
  <c r="AG3" i="2"/>
  <c r="AE7" i="2"/>
  <c r="AE8" i="2" s="1"/>
  <c r="AE12" i="2" s="1"/>
  <c r="AF11" i="2"/>
  <c r="AG10" i="2"/>
  <c r="AD15" i="2" l="1"/>
  <c r="AD16" i="2" s="1"/>
  <c r="AD22" i="2" s="1"/>
  <c r="AE13" i="2" s="1"/>
  <c r="AE14" i="2" s="1"/>
  <c r="AF7" i="2"/>
  <c r="AF8" i="2" s="1"/>
  <c r="AF12" i="2" s="1"/>
  <c r="AG11" i="2"/>
  <c r="AH10" i="2"/>
  <c r="AG6" i="2"/>
  <c r="AG7" i="2" s="1"/>
  <c r="AG8" i="2" s="1"/>
  <c r="AH3" i="2"/>
  <c r="AE15" i="2" l="1"/>
  <c r="AE16" i="2" s="1"/>
  <c r="AE22" i="2" s="1"/>
  <c r="AF13" i="2" s="1"/>
  <c r="AF14" i="2" s="1"/>
  <c r="AI3" i="2"/>
  <c r="AH6" i="2"/>
  <c r="AG12" i="2"/>
  <c r="AH11" i="2"/>
  <c r="AI10" i="2"/>
  <c r="AF15" i="2" l="1"/>
  <c r="AF16" i="2" s="1"/>
  <c r="AF22" i="2" s="1"/>
  <c r="AG13" i="2" s="1"/>
  <c r="AG14" i="2" s="1"/>
  <c r="AG15" i="2" s="1"/>
  <c r="AG16" i="2" s="1"/>
  <c r="AG22" i="2" s="1"/>
  <c r="AJ10" i="2"/>
  <c r="AI11" i="2"/>
  <c r="AH7" i="2"/>
  <c r="AH8" i="2" s="1"/>
  <c r="AH12" i="2" s="1"/>
  <c r="AJ3" i="2"/>
  <c r="AI6" i="2"/>
  <c r="AI7" i="2" s="1"/>
  <c r="AI8" i="2" s="1"/>
  <c r="AH13" i="2" l="1"/>
  <c r="AH14" i="2" s="1"/>
  <c r="AH15" i="2" s="1"/>
  <c r="AH16" i="2" s="1"/>
  <c r="AH22" i="2" s="1"/>
  <c r="AI12" i="2"/>
  <c r="AK3" i="2"/>
  <c r="AK6" i="2" s="1"/>
  <c r="AK7" i="2" s="1"/>
  <c r="AK8" i="2" s="1"/>
  <c r="AJ6" i="2"/>
  <c r="AJ7" i="2" s="1"/>
  <c r="AJ8" i="2" s="1"/>
  <c r="AJ11" i="2"/>
  <c r="AK10" i="2"/>
  <c r="AK11" i="2" s="1"/>
  <c r="AK12" i="2" s="1"/>
  <c r="AI13" i="2" l="1"/>
  <c r="AI14" i="2" s="1"/>
  <c r="AI15" i="2" s="1"/>
  <c r="AI16" i="2" s="1"/>
  <c r="AI22" i="2" s="1"/>
  <c r="AJ12" i="2"/>
  <c r="AJ13" i="2" l="1"/>
  <c r="AJ14" i="2" s="1"/>
  <c r="AJ15" i="2" s="1"/>
  <c r="AJ16" i="2" s="1"/>
  <c r="AJ22" i="2" s="1"/>
  <c r="AK13" i="2" l="1"/>
  <c r="AK14" i="2" s="1"/>
  <c r="AK15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AN21" i="2" l="1"/>
  <c r="AN22" i="2" s="1"/>
  <c r="AK22" i="2"/>
</calcChain>
</file>

<file path=xl/sharedStrings.xml><?xml version="1.0" encoding="utf-8"?>
<sst xmlns="http://schemas.openxmlformats.org/spreadsheetml/2006/main" count="111" uniqueCount="96">
  <si>
    <t>Price</t>
  </si>
  <si>
    <t>Shares</t>
  </si>
  <si>
    <t>MC</t>
  </si>
  <si>
    <t>Cash</t>
  </si>
  <si>
    <t>Debt</t>
  </si>
  <si>
    <t>EV</t>
  </si>
  <si>
    <t>Q216</t>
  </si>
  <si>
    <t>Main</t>
  </si>
  <si>
    <t>Revenue</t>
  </si>
  <si>
    <t>Q114</t>
  </si>
  <si>
    <t>Q214</t>
  </si>
  <si>
    <t>Q314</t>
  </si>
  <si>
    <t>Q414</t>
  </si>
  <si>
    <t>Q215</t>
  </si>
  <si>
    <t>Q115</t>
  </si>
  <si>
    <t>Q315</t>
  </si>
  <si>
    <t>Q415</t>
  </si>
  <si>
    <t>Q116</t>
  </si>
  <si>
    <t>Q316</t>
  </si>
  <si>
    <t>Q416</t>
  </si>
  <si>
    <t>Collaboration</t>
  </si>
  <si>
    <t>Royalty</t>
  </si>
  <si>
    <t>Product</t>
  </si>
  <si>
    <t>COGS</t>
  </si>
  <si>
    <t>Gross Profit</t>
  </si>
  <si>
    <t>R&amp;D</t>
  </si>
  <si>
    <t>SG&amp;A</t>
  </si>
  <si>
    <t>Operating Expenses</t>
  </si>
  <si>
    <t>Operating Income</t>
  </si>
  <si>
    <t>EPS</t>
  </si>
  <si>
    <t>Net Income</t>
  </si>
  <si>
    <t>Taxes</t>
  </si>
  <si>
    <t>Pretax Income</t>
  </si>
  <si>
    <t>Interest Income</t>
  </si>
  <si>
    <t>Adcetris</t>
  </si>
  <si>
    <t>Brand</t>
  </si>
  <si>
    <t>Generic</t>
  </si>
  <si>
    <t>Economics</t>
  </si>
  <si>
    <t>brentuximab vedotin</t>
  </si>
  <si>
    <t>Indication</t>
  </si>
  <si>
    <t>HL, ALCL</t>
  </si>
  <si>
    <t>Approved</t>
  </si>
  <si>
    <t>SGEN US/Canada, Takeda ROW</t>
  </si>
  <si>
    <t>MOA</t>
  </si>
  <si>
    <t>CD30</t>
  </si>
  <si>
    <t>Phase</t>
  </si>
  <si>
    <t>SGN-CD19A</t>
  </si>
  <si>
    <t>SGN-CD33A</t>
  </si>
  <si>
    <t>vadastuximab talirine</t>
  </si>
  <si>
    <t>AML</t>
  </si>
  <si>
    <t>III</t>
  </si>
  <si>
    <t>SGN-LIV1A</t>
  </si>
  <si>
    <t>ASG-22ME</t>
  </si>
  <si>
    <t>ASG-15ME</t>
  </si>
  <si>
    <t>SGN-CD70A</t>
  </si>
  <si>
    <t>SGN-CD352A</t>
  </si>
  <si>
    <t>denintuzumab mafodotin</t>
  </si>
  <si>
    <t>DLBCL</t>
  </si>
  <si>
    <t>II</t>
  </si>
  <si>
    <t>LIV1</t>
  </si>
  <si>
    <t>I</t>
  </si>
  <si>
    <t>SLITRK6</t>
  </si>
  <si>
    <t>Nectin-4</t>
  </si>
  <si>
    <t>Brand Name</t>
  </si>
  <si>
    <t>Generic Name</t>
  </si>
  <si>
    <t>Clinical Trials</t>
  </si>
  <si>
    <t>Hodgkin lymphoma, anaplastic large cell lymphoma</t>
  </si>
  <si>
    <t>CD30-ADC mab. MMAE linked.</t>
  </si>
  <si>
    <t>73% ORR</t>
  </si>
  <si>
    <t>n-102 HL "Study 1"</t>
  </si>
  <si>
    <t>n=329 HL "Study 3"</t>
  </si>
  <si>
    <t>43 months vs. 24 months PFS, p=0.001.</t>
  </si>
  <si>
    <t>n=59 ALCL "Study 2"</t>
  </si>
  <si>
    <t>ALCANZA</t>
  </si>
  <si>
    <t>56.3% ORR4 CD30-ADC vs. 12.5% control.</t>
  </si>
  <si>
    <t>Maturity</t>
  </si>
  <si>
    <t>Discount</t>
  </si>
  <si>
    <t>NPV</t>
  </si>
  <si>
    <t>Net Cash</t>
  </si>
  <si>
    <t>L+SE</t>
  </si>
  <si>
    <t>SE</t>
  </si>
  <si>
    <t>Rent</t>
  </si>
  <si>
    <t>DR</t>
  </si>
  <si>
    <t>AP</t>
  </si>
  <si>
    <t>Assets</t>
  </si>
  <si>
    <t>ONCA</t>
  </si>
  <si>
    <t>PP&amp;E</t>
  </si>
  <si>
    <t>Prepaids</t>
  </si>
  <si>
    <t>Inventory</t>
  </si>
  <si>
    <t>AR</t>
  </si>
  <si>
    <t>ROIC</t>
  </si>
  <si>
    <t>Share</t>
  </si>
  <si>
    <t>n=125 DLBCL RCHOP+-BV</t>
  </si>
  <si>
    <t>SEA-CD40</t>
  </si>
  <si>
    <t>SGN-CD123A</t>
  </si>
  <si>
    <t>CD123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</si>
</sst>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2" fillId="0" borderId="0" xfId="1"/>
    <xf numFmtId="0" fontId="3" fillId="0" borderId="0" xfId="0" applyFont="1"/>
    <xf numFmtId="10" fontId="0" fillId="0" borderId="0" xfId="0" applyNumberFormat="1"/>
    <xf numFmtId="9" fontId="0" fillId="0" borderId="0" xfId="0" applyNumberFormat="1"/>
    <xf numFmtId="9" fontId="0" fillId="0" borderId="0" xfId="0" applyNumberFormat="1" applyAlignment="1">
      <alignment horizontal="right"/>
    </xf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0</xdr:row>
      <xdr:rowOff>38100</xdr:rowOff>
    </xdr:from>
    <xdr:to>
      <xdr:col>12</xdr:col>
      <xdr:colOff>28575</xdr:colOff>
      <xdr:row>50</xdr:row>
      <xdr:rowOff>123825</xdr:rowOff>
    </xdr:to>
    <xdr:cxnSp macro="">
      <xdr:nvCxnSpPr>
        <xdr:cNvPr id="3" name="Straight Connector 2"/>
        <xdr:cNvCxnSpPr/>
      </xdr:nvCxnSpPr>
      <xdr:spPr>
        <a:xfrm>
          <a:off x="7667625" y="38100"/>
          <a:ext cx="0" cy="818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28575</xdr:colOff>
      <xdr:row>0</xdr:row>
      <xdr:rowOff>0</xdr:rowOff>
    </xdr:from>
    <xdr:to>
      <xdr:col>22</xdr:col>
      <xdr:colOff>28575</xdr:colOff>
      <xdr:row>50</xdr:row>
      <xdr:rowOff>85725</xdr:rowOff>
    </xdr:to>
    <xdr:cxnSp macro="">
      <xdr:nvCxnSpPr>
        <xdr:cNvPr id="4" name="Straight Connector 3"/>
        <xdr:cNvCxnSpPr/>
      </xdr:nvCxnSpPr>
      <xdr:spPr>
        <a:xfrm>
          <a:off x="13763625" y="0"/>
          <a:ext cx="0" cy="818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3"/>
  <sheetViews>
    <sheetView tabSelected="1" workbookViewId="0">
      <selection activeCell="H11" sqref="H11"/>
    </sheetView>
  </sheetViews>
  <sheetFormatPr defaultRowHeight="12.75" x14ac:dyDescent="0.2"/>
  <cols>
    <col min="1" max="1" width="4.28515625" customWidth="1"/>
    <col min="2" max="2" width="13" customWidth="1"/>
    <col min="3" max="3" width="21.5703125" bestFit="1" customWidth="1"/>
    <col min="4" max="4" width="9" bestFit="1" customWidth="1"/>
    <col min="5" max="5" width="11.140625" customWidth="1"/>
    <col min="6" max="6" width="10.85546875" customWidth="1"/>
  </cols>
  <sheetData>
    <row r="2" spans="2:14" x14ac:dyDescent="0.2">
      <c r="B2" s="13" t="s">
        <v>35</v>
      </c>
      <c r="C2" s="14" t="s">
        <v>36</v>
      </c>
      <c r="D2" s="15" t="s">
        <v>39</v>
      </c>
      <c r="E2" s="15" t="s">
        <v>41</v>
      </c>
      <c r="F2" s="15" t="s">
        <v>37</v>
      </c>
      <c r="G2" s="15" t="s">
        <v>43</v>
      </c>
      <c r="H2" s="15"/>
      <c r="I2" s="16"/>
      <c r="L2" t="s">
        <v>0</v>
      </c>
      <c r="M2" s="1">
        <v>44</v>
      </c>
    </row>
    <row r="3" spans="2:14" x14ac:dyDescent="0.2">
      <c r="B3" s="28" t="s">
        <v>34</v>
      </c>
      <c r="C3" s="10" t="s">
        <v>38</v>
      </c>
      <c r="D3" s="17" t="s">
        <v>40</v>
      </c>
      <c r="E3" s="22">
        <v>40774</v>
      </c>
      <c r="F3" s="17" t="s">
        <v>42</v>
      </c>
      <c r="G3" s="18" t="s">
        <v>44</v>
      </c>
      <c r="H3" s="17"/>
      <c r="I3" s="19"/>
      <c r="L3" t="s">
        <v>1</v>
      </c>
      <c r="M3" s="2">
        <v>140.51599999999999</v>
      </c>
      <c r="N3" s="3" t="s">
        <v>6</v>
      </c>
    </row>
    <row r="4" spans="2:14" x14ac:dyDescent="0.2">
      <c r="B4" s="13"/>
      <c r="C4" s="14"/>
      <c r="D4" s="15"/>
      <c r="E4" s="15" t="s">
        <v>45</v>
      </c>
      <c r="F4" s="15"/>
      <c r="G4" s="15"/>
      <c r="H4" s="15"/>
      <c r="I4" s="16"/>
      <c r="L4" t="s">
        <v>2</v>
      </c>
      <c r="M4" s="2">
        <f>+M3*M2</f>
        <v>6182.7039999999997</v>
      </c>
    </row>
    <row r="5" spans="2:14" x14ac:dyDescent="0.2">
      <c r="B5" s="9" t="s">
        <v>46</v>
      </c>
      <c r="C5" s="10" t="s">
        <v>56</v>
      </c>
      <c r="D5" s="17" t="s">
        <v>57</v>
      </c>
      <c r="E5" s="18" t="s">
        <v>58</v>
      </c>
      <c r="F5" s="17"/>
      <c r="G5" s="17"/>
      <c r="H5" s="17"/>
      <c r="I5" s="19"/>
      <c r="L5" t="s">
        <v>3</v>
      </c>
      <c r="M5" s="2">
        <f>192.088+416.857+50.541</f>
        <v>659.4860000000001</v>
      </c>
      <c r="N5" s="3" t="s">
        <v>6</v>
      </c>
    </row>
    <row r="6" spans="2:14" x14ac:dyDescent="0.2">
      <c r="B6" s="9" t="s">
        <v>47</v>
      </c>
      <c r="C6" s="10" t="s">
        <v>48</v>
      </c>
      <c r="D6" s="17" t="s">
        <v>49</v>
      </c>
      <c r="E6" s="18" t="s">
        <v>50</v>
      </c>
      <c r="F6" s="17"/>
      <c r="G6" s="17"/>
      <c r="H6" s="17"/>
      <c r="I6" s="19"/>
      <c r="L6" t="s">
        <v>4</v>
      </c>
      <c r="M6" s="2">
        <v>0</v>
      </c>
      <c r="N6" s="3" t="s">
        <v>6</v>
      </c>
    </row>
    <row r="7" spans="2:14" x14ac:dyDescent="0.2">
      <c r="B7" s="9" t="s">
        <v>51</v>
      </c>
      <c r="C7" s="10"/>
      <c r="D7" s="17"/>
      <c r="E7" s="17" t="s">
        <v>60</v>
      </c>
      <c r="F7" s="17"/>
      <c r="G7" s="17" t="s">
        <v>59</v>
      </c>
      <c r="H7" s="17"/>
      <c r="I7" s="19"/>
      <c r="L7" t="s">
        <v>5</v>
      </c>
      <c r="M7" s="2">
        <f>+M4-M5+M6</f>
        <v>5523.2179999999998</v>
      </c>
    </row>
    <row r="8" spans="2:14" x14ac:dyDescent="0.2">
      <c r="B8" s="9" t="s">
        <v>52</v>
      </c>
      <c r="C8" s="10"/>
      <c r="D8" s="17"/>
      <c r="E8" s="17"/>
      <c r="F8" s="17"/>
      <c r="G8" s="17" t="s">
        <v>62</v>
      </c>
      <c r="H8" s="17"/>
      <c r="I8" s="19"/>
    </row>
    <row r="9" spans="2:14" x14ac:dyDescent="0.2">
      <c r="B9" s="9" t="s">
        <v>53</v>
      </c>
      <c r="C9" s="10"/>
      <c r="D9" s="17"/>
      <c r="E9" s="17"/>
      <c r="F9" s="17"/>
      <c r="G9" s="17" t="s">
        <v>61</v>
      </c>
      <c r="H9" s="17"/>
      <c r="I9" s="19"/>
    </row>
    <row r="10" spans="2:14" x14ac:dyDescent="0.2">
      <c r="B10" s="9" t="s">
        <v>55</v>
      </c>
      <c r="C10" s="10"/>
      <c r="D10" s="17"/>
      <c r="E10" s="17"/>
      <c r="F10" s="17"/>
      <c r="G10" s="17"/>
      <c r="H10" s="17"/>
      <c r="I10" s="19"/>
    </row>
    <row r="11" spans="2:14" x14ac:dyDescent="0.2">
      <c r="B11" s="9" t="s">
        <v>94</v>
      </c>
      <c r="C11" s="10"/>
      <c r="D11" s="17" t="s">
        <v>49</v>
      </c>
      <c r="E11" s="17" t="s">
        <v>60</v>
      </c>
      <c r="F11" s="17"/>
      <c r="G11" s="17" t="s">
        <v>95</v>
      </c>
      <c r="H11" s="17"/>
      <c r="I11" s="19"/>
    </row>
    <row r="12" spans="2:14" x14ac:dyDescent="0.2">
      <c r="B12" s="9" t="s">
        <v>93</v>
      </c>
      <c r="C12" s="10"/>
      <c r="D12" s="17"/>
      <c r="E12" s="17" t="s">
        <v>60</v>
      </c>
      <c r="F12" s="17"/>
      <c r="G12" s="17"/>
      <c r="H12" s="17"/>
      <c r="I12" s="19"/>
    </row>
    <row r="13" spans="2:14" x14ac:dyDescent="0.2">
      <c r="B13" s="11" t="s">
        <v>54</v>
      </c>
      <c r="C13" s="12"/>
      <c r="D13" s="20"/>
      <c r="E13" s="20" t="s">
        <v>60</v>
      </c>
      <c r="F13" s="20"/>
      <c r="G13" s="20"/>
      <c r="H13" s="20"/>
      <c r="I13" s="21"/>
    </row>
  </sheetData>
  <hyperlinks>
    <hyperlink ref="B3" location="Adcetris!A1" display="Adcetri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35"/>
  <sheetViews>
    <sheetView workbookViewId="0">
      <pane xSplit="2" ySplit="2" topLeftCell="Z3" activePane="bottomRight" state="frozen"/>
      <selection pane="topRight" activeCell="C1" sqref="C1"/>
      <selection pane="bottomLeft" activeCell="A3" sqref="A3"/>
      <selection pane="bottomRight" activeCell="AN18" sqref="AN18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  <col min="40" max="40" width="10" customWidth="1"/>
  </cols>
  <sheetData>
    <row r="1" spans="1:144" x14ac:dyDescent="0.2">
      <c r="A1" s="23" t="s">
        <v>7</v>
      </c>
    </row>
    <row r="2" spans="1:144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14</v>
      </c>
      <c r="H2" s="3" t="s">
        <v>13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2010</v>
      </c>
      <c r="R2">
        <f>+Q2+1</f>
        <v>2011</v>
      </c>
      <c r="S2">
        <f t="shared" ref="S2:AK2" si="0">+R2+1</f>
        <v>2012</v>
      </c>
      <c r="T2">
        <f t="shared" si="0"/>
        <v>2013</v>
      </c>
      <c r="U2">
        <f t="shared" si="0"/>
        <v>2014</v>
      </c>
      <c r="V2">
        <f t="shared" si="0"/>
        <v>2015</v>
      </c>
      <c r="W2">
        <f t="shared" si="0"/>
        <v>2016</v>
      </c>
      <c r="X2">
        <f t="shared" si="0"/>
        <v>2017</v>
      </c>
      <c r="Y2">
        <f t="shared" si="0"/>
        <v>2018</v>
      </c>
      <c r="Z2">
        <f t="shared" si="0"/>
        <v>2019</v>
      </c>
      <c r="AA2">
        <f t="shared" si="0"/>
        <v>2020</v>
      </c>
      <c r="AB2">
        <f t="shared" si="0"/>
        <v>2021</v>
      </c>
      <c r="AC2">
        <f t="shared" si="0"/>
        <v>2022</v>
      </c>
      <c r="AD2">
        <f t="shared" si="0"/>
        <v>2023</v>
      </c>
      <c r="AE2">
        <f t="shared" si="0"/>
        <v>2024</v>
      </c>
      <c r="AF2">
        <f t="shared" si="0"/>
        <v>2025</v>
      </c>
      <c r="AG2">
        <f t="shared" si="0"/>
        <v>2026</v>
      </c>
      <c r="AH2">
        <f t="shared" si="0"/>
        <v>2027</v>
      </c>
      <c r="AI2">
        <f t="shared" si="0"/>
        <v>2028</v>
      </c>
      <c r="AJ2">
        <f t="shared" si="0"/>
        <v>2029</v>
      </c>
      <c r="AK2">
        <f t="shared" si="0"/>
        <v>2030</v>
      </c>
    </row>
    <row r="3" spans="1:144" s="4" customFormat="1" x14ac:dyDescent="0.2">
      <c r="B3" s="4" t="s">
        <v>22</v>
      </c>
      <c r="C3" s="5"/>
      <c r="D3" s="5"/>
      <c r="E3" s="5">
        <v>48.209000000000003</v>
      </c>
      <c r="F3" s="5">
        <v>46.491</v>
      </c>
      <c r="G3" s="5">
        <v>48.886000000000003</v>
      </c>
      <c r="H3" s="5">
        <v>55.094999999999999</v>
      </c>
      <c r="I3" s="5">
        <v>59.058999999999997</v>
      </c>
      <c r="J3" s="5">
        <v>63.012</v>
      </c>
      <c r="K3" s="5">
        <v>58.648000000000003</v>
      </c>
      <c r="L3" s="5">
        <v>66.215999999999994</v>
      </c>
      <c r="M3" s="5">
        <f>+I3*1.15</f>
        <v>67.917849999999987</v>
      </c>
      <c r="N3" s="5">
        <f t="shared" ref="N3" si="1">+J3*1.15</f>
        <v>72.463799999999992</v>
      </c>
      <c r="V3" s="4">
        <f>SUM(G3:J3)</f>
        <v>226.05199999999999</v>
      </c>
      <c r="W3" s="4">
        <f>SUM(K3:N3)</f>
        <v>265.24564999999996</v>
      </c>
      <c r="X3" s="4">
        <f>+W3*1.12</f>
        <v>297.07512799999995</v>
      </c>
      <c r="Y3" s="4">
        <f>+X3*1.1</f>
        <v>326.78264079999997</v>
      </c>
      <c r="Z3" s="4">
        <f t="shared" ref="Y3:AF5" si="2">+Y3*1.08</f>
        <v>352.92525206400001</v>
      </c>
      <c r="AA3" s="4">
        <f t="shared" si="2"/>
        <v>381.15927222912001</v>
      </c>
      <c r="AB3" s="4">
        <f t="shared" si="2"/>
        <v>411.65201400744962</v>
      </c>
      <c r="AC3" s="4">
        <f t="shared" si="2"/>
        <v>444.58417512804562</v>
      </c>
      <c r="AD3" s="4">
        <f t="shared" si="2"/>
        <v>480.15090913828931</v>
      </c>
      <c r="AE3" s="4">
        <f t="shared" si="2"/>
        <v>518.56298186935248</v>
      </c>
      <c r="AF3" s="4">
        <f t="shared" si="2"/>
        <v>560.04802041890071</v>
      </c>
      <c r="AG3" s="4">
        <f>+AF3*0.95</f>
        <v>532.04561939795565</v>
      </c>
      <c r="AH3" s="4">
        <f t="shared" ref="AH3:AK3" si="3">+AG3*0.95</f>
        <v>505.44333842805781</v>
      </c>
      <c r="AI3" s="4">
        <f t="shared" si="3"/>
        <v>480.1711715066549</v>
      </c>
      <c r="AJ3" s="4">
        <f t="shared" si="3"/>
        <v>456.16261293132214</v>
      </c>
      <c r="AK3" s="4">
        <f t="shared" si="3"/>
        <v>433.35448228475599</v>
      </c>
    </row>
    <row r="4" spans="1:144" s="4" customFormat="1" x14ac:dyDescent="0.2">
      <c r="B4" s="4" t="s">
        <v>20</v>
      </c>
      <c r="C4" s="5"/>
      <c r="D4" s="5"/>
      <c r="E4" s="5">
        <v>19.501000000000001</v>
      </c>
      <c r="F4" s="5">
        <v>15.981</v>
      </c>
      <c r="G4" s="5">
        <v>22.221</v>
      </c>
      <c r="H4" s="5">
        <v>14.385999999999999</v>
      </c>
      <c r="I4" s="5">
        <v>15.311</v>
      </c>
      <c r="J4" s="5">
        <v>17.852</v>
      </c>
      <c r="K4" s="5">
        <v>20.175999999999998</v>
      </c>
      <c r="L4" s="5">
        <v>19.998000000000001</v>
      </c>
      <c r="M4" s="5"/>
      <c r="N4" s="5"/>
      <c r="V4" s="4">
        <f t="shared" ref="V4:V10" si="4">SUM(G4:J4)</f>
        <v>69.77</v>
      </c>
      <c r="W4" s="4">
        <f t="shared" ref="W4:W10" si="5">SUM(K4:N4)</f>
        <v>40.173999999999999</v>
      </c>
    </row>
    <row r="5" spans="1:144" s="4" customFormat="1" x14ac:dyDescent="0.2">
      <c r="B5" s="4" t="s">
        <v>21</v>
      </c>
      <c r="C5" s="5"/>
      <c r="D5" s="5"/>
      <c r="E5" s="5">
        <v>8.1430000000000007</v>
      </c>
      <c r="F5" s="5">
        <v>11.853999999999999</v>
      </c>
      <c r="G5" s="5">
        <v>11.05</v>
      </c>
      <c r="H5" s="5">
        <v>7.6150000000000002</v>
      </c>
      <c r="I5" s="5">
        <v>9.702</v>
      </c>
      <c r="J5" s="5">
        <v>12.613</v>
      </c>
      <c r="K5" s="5">
        <v>32.331000000000003</v>
      </c>
      <c r="L5" s="5">
        <v>9.1880000000000006</v>
      </c>
      <c r="M5" s="5">
        <f>+L5</f>
        <v>9.1880000000000006</v>
      </c>
      <c r="N5" s="5">
        <f>+M5</f>
        <v>9.1880000000000006</v>
      </c>
      <c r="V5" s="4">
        <f t="shared" si="4"/>
        <v>40.98</v>
      </c>
      <c r="W5" s="4">
        <f t="shared" si="5"/>
        <v>59.89500000000001</v>
      </c>
      <c r="X5" s="4">
        <f>+W5*1.08</f>
        <v>64.686600000000013</v>
      </c>
      <c r="Y5" s="4">
        <f t="shared" si="2"/>
        <v>69.861528000000021</v>
      </c>
      <c r="Z5" s="4">
        <f t="shared" si="2"/>
        <v>75.450450240000023</v>
      </c>
      <c r="AA5" s="4">
        <f t="shared" si="2"/>
        <v>81.486486259200035</v>
      </c>
      <c r="AB5" s="4">
        <f t="shared" si="2"/>
        <v>88.005405159936046</v>
      </c>
      <c r="AC5" s="4">
        <f t="shared" si="2"/>
        <v>95.045837572730932</v>
      </c>
      <c r="AD5" s="4">
        <f t="shared" si="2"/>
        <v>102.64950457854941</v>
      </c>
      <c r="AE5" s="4">
        <f t="shared" si="2"/>
        <v>110.86146494483337</v>
      </c>
      <c r="AF5" s="4">
        <f t="shared" si="2"/>
        <v>119.73038214042005</v>
      </c>
      <c r="AG5" s="4">
        <f>+AF5*1.01</f>
        <v>120.92768596182425</v>
      </c>
      <c r="AH5" s="4">
        <f t="shared" ref="AH5:AK5" si="6">+AG5*1.01</f>
        <v>122.13696282144249</v>
      </c>
      <c r="AI5" s="4">
        <f t="shared" si="6"/>
        <v>123.35833244965693</v>
      </c>
      <c r="AJ5" s="4">
        <f t="shared" si="6"/>
        <v>124.59191577415349</v>
      </c>
      <c r="AK5" s="4">
        <f t="shared" si="6"/>
        <v>125.83783493189503</v>
      </c>
    </row>
    <row r="6" spans="1:144" s="6" customFormat="1" x14ac:dyDescent="0.2">
      <c r="B6" s="6" t="s">
        <v>8</v>
      </c>
      <c r="C6" s="7"/>
      <c r="D6" s="7"/>
      <c r="E6" s="7">
        <f>SUM(E3:E5)</f>
        <v>75.853000000000009</v>
      </c>
      <c r="F6" s="7">
        <f>SUM(F3:F5)</f>
        <v>74.325999999999993</v>
      </c>
      <c r="G6" s="7">
        <f>SUM(G3:G5)</f>
        <v>82.156999999999996</v>
      </c>
      <c r="H6" s="7">
        <f>SUM(H3:H5)</f>
        <v>77.095999999999989</v>
      </c>
      <c r="I6" s="7">
        <f>SUM(I3:I5)</f>
        <v>84.072000000000003</v>
      </c>
      <c r="J6" s="7">
        <f>SUM(J3:J5)</f>
        <v>93.477000000000004</v>
      </c>
      <c r="K6" s="7">
        <f>SUM(K3:K5)</f>
        <v>111.155</v>
      </c>
      <c r="L6" s="7">
        <f>SUM(L3:L5)</f>
        <v>95.402000000000001</v>
      </c>
      <c r="M6" s="7">
        <f t="shared" ref="M6:N6" si="7">SUM(M3:M5)</f>
        <v>77.10584999999999</v>
      </c>
      <c r="N6" s="7">
        <f t="shared" si="7"/>
        <v>81.651799999999994</v>
      </c>
      <c r="V6" s="6">
        <f>SUM(V3:V5)</f>
        <v>336.80200000000002</v>
      </c>
      <c r="W6" s="6">
        <f t="shared" ref="W6" si="8">SUM(W3:W5)</f>
        <v>365.31464999999992</v>
      </c>
      <c r="X6" s="6">
        <f t="shared" ref="X6" si="9">SUM(X3:X5)</f>
        <v>361.76172799999995</v>
      </c>
      <c r="Y6" s="6">
        <f t="shared" ref="Y6" si="10">SUM(Y3:Y5)</f>
        <v>396.64416879999999</v>
      </c>
      <c r="Z6" s="6">
        <f t="shared" ref="Z6" si="11">SUM(Z3:Z5)</f>
        <v>428.37570230400001</v>
      </c>
      <c r="AA6" s="6">
        <f t="shared" ref="AA6" si="12">SUM(AA3:AA5)</f>
        <v>462.64575848832004</v>
      </c>
      <c r="AB6" s="6">
        <f t="shared" ref="AB6" si="13">SUM(AB3:AB5)</f>
        <v>499.65741916738568</v>
      </c>
      <c r="AC6" s="6">
        <f t="shared" ref="AC6" si="14">SUM(AC3:AC5)</f>
        <v>539.63001270077655</v>
      </c>
      <c r="AD6" s="6">
        <f t="shared" ref="AD6" si="15">SUM(AD3:AD5)</f>
        <v>582.80041371683876</v>
      </c>
      <c r="AE6" s="6">
        <f t="shared" ref="AE6" si="16">SUM(AE3:AE5)</f>
        <v>629.4244468141859</v>
      </c>
      <c r="AF6" s="6">
        <f t="shared" ref="AF6" si="17">SUM(AF3:AF5)</f>
        <v>679.77840255932074</v>
      </c>
      <c r="AG6" s="6">
        <f t="shared" ref="AG6" si="18">SUM(AG3:AG5)</f>
        <v>652.97330535977994</v>
      </c>
      <c r="AH6" s="6">
        <f t="shared" ref="AH6" si="19">SUM(AH3:AH5)</f>
        <v>627.58030124950028</v>
      </c>
      <c r="AI6" s="6">
        <f t="shared" ref="AI6" si="20">SUM(AI3:AI5)</f>
        <v>603.52950395631183</v>
      </c>
      <c r="AJ6" s="6">
        <f t="shared" ref="AJ6" si="21">SUM(AJ3:AJ5)</f>
        <v>580.75452870547565</v>
      </c>
      <c r="AK6" s="6">
        <f t="shared" ref="AK6" si="22">SUM(AK3:AK5)</f>
        <v>559.19231721665096</v>
      </c>
    </row>
    <row r="7" spans="1:144" s="4" customFormat="1" x14ac:dyDescent="0.2">
      <c r="B7" s="4" t="s">
        <v>23</v>
      </c>
      <c r="C7" s="5"/>
      <c r="D7" s="5"/>
      <c r="E7" s="5">
        <f>4.725+2.901</f>
        <v>7.6259999999999994</v>
      </c>
      <c r="F7" s="5">
        <f>5.036+3.536</f>
        <v>8.5719999999999992</v>
      </c>
      <c r="G7" s="5">
        <f>5.21+3.174</f>
        <v>8.3840000000000003</v>
      </c>
      <c r="H7" s="5">
        <f>5.94+2.639</f>
        <v>8.5790000000000006</v>
      </c>
      <c r="I7" s="5">
        <f>6.625+3.473</f>
        <v>10.097999999999999</v>
      </c>
      <c r="J7" s="5">
        <f>6.701+3.678</f>
        <v>10.379</v>
      </c>
      <c r="K7" s="5">
        <f>5.944+3.615</f>
        <v>9.5590000000000011</v>
      </c>
      <c r="L7" s="5">
        <f>6.901+3.107</f>
        <v>10.007999999999999</v>
      </c>
      <c r="M7" s="5">
        <f>+L7</f>
        <v>10.007999999999999</v>
      </c>
      <c r="N7" s="5">
        <f>+M7</f>
        <v>10.007999999999999</v>
      </c>
      <c r="V7" s="4">
        <f t="shared" si="4"/>
        <v>37.44</v>
      </c>
      <c r="W7" s="4">
        <f t="shared" si="5"/>
        <v>39.582999999999998</v>
      </c>
      <c r="X7" s="4">
        <f>+X6*0.1</f>
        <v>36.176172799999996</v>
      </c>
      <c r="Y7" s="4">
        <f t="shared" ref="Y7:AK7" si="23">+Y6*0.1</f>
        <v>39.664416880000005</v>
      </c>
      <c r="Z7" s="4">
        <f t="shared" si="23"/>
        <v>42.837570230400004</v>
      </c>
      <c r="AA7" s="4">
        <f t="shared" si="23"/>
        <v>46.26457584883201</v>
      </c>
      <c r="AB7" s="4">
        <f t="shared" si="23"/>
        <v>49.965741916738573</v>
      </c>
      <c r="AC7" s="4">
        <f t="shared" si="23"/>
        <v>53.963001270077655</v>
      </c>
      <c r="AD7" s="4">
        <f t="shared" si="23"/>
        <v>58.280041371683879</v>
      </c>
      <c r="AE7" s="4">
        <f t="shared" si="23"/>
        <v>62.942444681418593</v>
      </c>
      <c r="AF7" s="4">
        <f t="shared" si="23"/>
        <v>67.97784025593208</v>
      </c>
      <c r="AG7" s="4">
        <f t="shared" si="23"/>
        <v>65.297330535977991</v>
      </c>
      <c r="AH7" s="4">
        <f t="shared" si="23"/>
        <v>62.758030124950032</v>
      </c>
      <c r="AI7" s="4">
        <f t="shared" si="23"/>
        <v>60.352950395631183</v>
      </c>
      <c r="AJ7" s="4">
        <f t="shared" si="23"/>
        <v>58.075452870547565</v>
      </c>
      <c r="AK7" s="4">
        <f t="shared" si="23"/>
        <v>55.919231721665099</v>
      </c>
    </row>
    <row r="8" spans="1:144" s="4" customFormat="1" x14ac:dyDescent="0.2">
      <c r="B8" s="4" t="s">
        <v>24</v>
      </c>
      <c r="C8" s="5"/>
      <c r="D8" s="5"/>
      <c r="E8" s="5">
        <f>E6-E7</f>
        <v>68.227000000000004</v>
      </c>
      <c r="F8" s="5">
        <f>F6-F7</f>
        <v>65.753999999999991</v>
      </c>
      <c r="G8" s="5">
        <f>G6-G7</f>
        <v>73.772999999999996</v>
      </c>
      <c r="H8" s="5">
        <f>H6-H7</f>
        <v>68.516999999999996</v>
      </c>
      <c r="I8" s="5">
        <f>I6-I7</f>
        <v>73.974000000000004</v>
      </c>
      <c r="J8" s="5">
        <f>J6-J7</f>
        <v>83.097999999999999</v>
      </c>
      <c r="K8" s="5">
        <f>K6-K7</f>
        <v>101.596</v>
      </c>
      <c r="L8" s="5">
        <f>L6-L7</f>
        <v>85.394000000000005</v>
      </c>
      <c r="M8" s="5">
        <f t="shared" ref="M8:N8" si="24">M6-M7</f>
        <v>67.097849999999994</v>
      </c>
      <c r="N8" s="5">
        <f t="shared" si="24"/>
        <v>71.643799999999999</v>
      </c>
      <c r="V8" s="4">
        <f>V6-V7</f>
        <v>299.36200000000002</v>
      </c>
      <c r="W8" s="4">
        <f>W6-W7</f>
        <v>325.73164999999995</v>
      </c>
      <c r="X8" s="4">
        <f>+X6-X7</f>
        <v>325.58555519999993</v>
      </c>
      <c r="Y8" s="4">
        <f t="shared" ref="Y8:AK8" si="25">+Y6-Y7</f>
        <v>356.97975192000001</v>
      </c>
      <c r="Z8" s="4">
        <f t="shared" si="25"/>
        <v>385.53813207360002</v>
      </c>
      <c r="AA8" s="4">
        <f t="shared" si="25"/>
        <v>416.38118263948803</v>
      </c>
      <c r="AB8" s="4">
        <f t="shared" si="25"/>
        <v>449.6916772506471</v>
      </c>
      <c r="AC8" s="4">
        <f t="shared" si="25"/>
        <v>485.66701143069889</v>
      </c>
      <c r="AD8" s="4">
        <f t="shared" si="25"/>
        <v>524.5203723451549</v>
      </c>
      <c r="AE8" s="4">
        <f t="shared" si="25"/>
        <v>566.48200213276732</v>
      </c>
      <c r="AF8" s="4">
        <f t="shared" si="25"/>
        <v>611.80056230338869</v>
      </c>
      <c r="AG8" s="4">
        <f t="shared" si="25"/>
        <v>587.67597482380199</v>
      </c>
      <c r="AH8" s="4">
        <f t="shared" si="25"/>
        <v>564.8222711245503</v>
      </c>
      <c r="AI8" s="4">
        <f t="shared" si="25"/>
        <v>543.17655356068065</v>
      </c>
      <c r="AJ8" s="4">
        <f t="shared" si="25"/>
        <v>522.67907583492808</v>
      </c>
      <c r="AK8" s="4">
        <f t="shared" si="25"/>
        <v>503.27308549498588</v>
      </c>
    </row>
    <row r="9" spans="1:144" s="4" customFormat="1" x14ac:dyDescent="0.2">
      <c r="B9" s="4" t="s">
        <v>25</v>
      </c>
      <c r="C9" s="5"/>
      <c r="D9" s="5"/>
      <c r="E9" s="5">
        <v>58.51</v>
      </c>
      <c r="F9" s="5">
        <v>64.043000000000006</v>
      </c>
      <c r="G9" s="5">
        <v>63.395000000000003</v>
      </c>
      <c r="H9" s="5">
        <v>85.736999999999995</v>
      </c>
      <c r="I9" s="5">
        <v>70.790000000000006</v>
      </c>
      <c r="J9" s="5">
        <v>74.606999999999999</v>
      </c>
      <c r="K9" s="5">
        <v>92.870999999999995</v>
      </c>
      <c r="L9" s="5">
        <v>85.554000000000002</v>
      </c>
      <c r="M9" s="5"/>
      <c r="N9" s="5"/>
      <c r="V9" s="4">
        <f t="shared" si="4"/>
        <v>294.529</v>
      </c>
      <c r="W9" s="4">
        <f t="shared" si="5"/>
        <v>178.42500000000001</v>
      </c>
    </row>
    <row r="10" spans="1:144" s="4" customFormat="1" x14ac:dyDescent="0.2">
      <c r="B10" s="4" t="s">
        <v>26</v>
      </c>
      <c r="C10" s="5"/>
      <c r="D10" s="5"/>
      <c r="E10" s="5">
        <v>25.341999999999999</v>
      </c>
      <c r="F10" s="5">
        <v>29.434999999999999</v>
      </c>
      <c r="G10" s="5">
        <v>32.121000000000002</v>
      </c>
      <c r="H10" s="5">
        <v>30.343</v>
      </c>
      <c r="I10" s="5">
        <v>29.684000000000001</v>
      </c>
      <c r="J10" s="5">
        <v>33.634999999999998</v>
      </c>
      <c r="K10" s="5">
        <v>29.747</v>
      </c>
      <c r="L10" s="5">
        <v>33.281999999999996</v>
      </c>
      <c r="M10" s="5">
        <f>+L10</f>
        <v>33.281999999999996</v>
      </c>
      <c r="N10" s="5">
        <f>+M10</f>
        <v>33.281999999999996</v>
      </c>
      <c r="V10" s="4">
        <f t="shared" si="4"/>
        <v>125.78299999999999</v>
      </c>
      <c r="W10" s="4">
        <f t="shared" si="5"/>
        <v>129.59299999999999</v>
      </c>
      <c r="X10" s="4">
        <f>+W10</f>
        <v>129.59299999999999</v>
      </c>
      <c r="Y10" s="4">
        <f t="shared" ref="Y10:AK10" si="26">+X10</f>
        <v>129.59299999999999</v>
      </c>
      <c r="Z10" s="4">
        <f t="shared" si="26"/>
        <v>129.59299999999999</v>
      </c>
      <c r="AA10" s="4">
        <f t="shared" si="26"/>
        <v>129.59299999999999</v>
      </c>
      <c r="AB10" s="4">
        <f t="shared" si="26"/>
        <v>129.59299999999999</v>
      </c>
      <c r="AC10" s="4">
        <f t="shared" si="26"/>
        <v>129.59299999999999</v>
      </c>
      <c r="AD10" s="4">
        <f t="shared" si="26"/>
        <v>129.59299999999999</v>
      </c>
      <c r="AE10" s="4">
        <f t="shared" si="26"/>
        <v>129.59299999999999</v>
      </c>
      <c r="AF10" s="4">
        <f t="shared" si="26"/>
        <v>129.59299999999999</v>
      </c>
      <c r="AG10" s="4">
        <f t="shared" si="26"/>
        <v>129.59299999999999</v>
      </c>
      <c r="AH10" s="4">
        <f t="shared" si="26"/>
        <v>129.59299999999999</v>
      </c>
      <c r="AI10" s="4">
        <f t="shared" si="26"/>
        <v>129.59299999999999</v>
      </c>
      <c r="AJ10" s="4">
        <f t="shared" si="26"/>
        <v>129.59299999999999</v>
      </c>
      <c r="AK10" s="4">
        <f t="shared" si="26"/>
        <v>129.59299999999999</v>
      </c>
    </row>
    <row r="11" spans="1:144" s="4" customFormat="1" x14ac:dyDescent="0.2">
      <c r="B11" s="4" t="s">
        <v>27</v>
      </c>
      <c r="C11" s="5"/>
      <c r="D11" s="5"/>
      <c r="E11" s="5">
        <f>E10+E9</f>
        <v>83.852000000000004</v>
      </c>
      <c r="F11" s="5">
        <f>F10+F9</f>
        <v>93.478000000000009</v>
      </c>
      <c r="G11" s="5">
        <f>G10+G9</f>
        <v>95.516000000000005</v>
      </c>
      <c r="H11" s="5">
        <f>H10+H9</f>
        <v>116.08</v>
      </c>
      <c r="I11" s="5">
        <f>I10+I9</f>
        <v>100.474</v>
      </c>
      <c r="J11" s="5">
        <f>J10+J9</f>
        <v>108.24199999999999</v>
      </c>
      <c r="K11" s="5">
        <f>K10+K9</f>
        <v>122.61799999999999</v>
      </c>
      <c r="L11" s="5">
        <f>L10+L9</f>
        <v>118.836</v>
      </c>
      <c r="M11" s="5">
        <f t="shared" ref="M11:N11" si="27">M10+M9</f>
        <v>33.281999999999996</v>
      </c>
      <c r="N11" s="5">
        <f t="shared" si="27"/>
        <v>33.281999999999996</v>
      </c>
      <c r="V11" s="4">
        <f>V10+V9</f>
        <v>420.31200000000001</v>
      </c>
      <c r="W11" s="4">
        <f>W10+W9</f>
        <v>308.01800000000003</v>
      </c>
      <c r="X11" s="4">
        <f t="shared" ref="X11" si="28">X10+X9</f>
        <v>129.59299999999999</v>
      </c>
      <c r="Y11" s="4">
        <f t="shared" ref="Y11" si="29">Y10+Y9</f>
        <v>129.59299999999999</v>
      </c>
      <c r="Z11" s="4">
        <f t="shared" ref="Z11" si="30">Z10+Z9</f>
        <v>129.59299999999999</v>
      </c>
      <c r="AA11" s="4">
        <f t="shared" ref="AA11" si="31">AA10+AA9</f>
        <v>129.59299999999999</v>
      </c>
      <c r="AB11" s="4">
        <f t="shared" ref="AB11" si="32">AB10+AB9</f>
        <v>129.59299999999999</v>
      </c>
      <c r="AC11" s="4">
        <f t="shared" ref="AC11" si="33">AC10+AC9</f>
        <v>129.59299999999999</v>
      </c>
      <c r="AD11" s="4">
        <f t="shared" ref="AD11" si="34">AD10+AD9</f>
        <v>129.59299999999999</v>
      </c>
      <c r="AE11" s="4">
        <f t="shared" ref="AE11" si="35">AE10+AE9</f>
        <v>129.59299999999999</v>
      </c>
      <c r="AF11" s="4">
        <f t="shared" ref="AF11" si="36">AF10+AF9</f>
        <v>129.59299999999999</v>
      </c>
      <c r="AG11" s="4">
        <f t="shared" ref="AG11" si="37">AG10+AG9</f>
        <v>129.59299999999999</v>
      </c>
      <c r="AH11" s="4">
        <f t="shared" ref="AH11" si="38">AH10+AH9</f>
        <v>129.59299999999999</v>
      </c>
      <c r="AI11" s="4">
        <f t="shared" ref="AI11" si="39">AI10+AI9</f>
        <v>129.59299999999999</v>
      </c>
      <c r="AJ11" s="4">
        <f t="shared" ref="AJ11" si="40">AJ10+AJ9</f>
        <v>129.59299999999999</v>
      </c>
      <c r="AK11" s="4">
        <f t="shared" ref="AK11" si="41">AK10+AK9</f>
        <v>129.59299999999999</v>
      </c>
    </row>
    <row r="12" spans="1:144" s="4" customFormat="1" x14ac:dyDescent="0.2">
      <c r="B12" s="4" t="s">
        <v>28</v>
      </c>
      <c r="C12" s="5"/>
      <c r="D12" s="5"/>
      <c r="E12" s="5">
        <f>E8-E11</f>
        <v>-15.625</v>
      </c>
      <c r="F12" s="5">
        <f>F8-F11</f>
        <v>-27.724000000000018</v>
      </c>
      <c r="G12" s="5">
        <f>G8-G11</f>
        <v>-21.743000000000009</v>
      </c>
      <c r="H12" s="5">
        <f>H8-H11</f>
        <v>-47.563000000000002</v>
      </c>
      <c r="I12" s="5">
        <f>I8-I11</f>
        <v>-26.5</v>
      </c>
      <c r="J12" s="5">
        <f>J8-J11</f>
        <v>-25.143999999999991</v>
      </c>
      <c r="K12" s="5">
        <f>K8-K11</f>
        <v>-21.021999999999991</v>
      </c>
      <c r="L12" s="5">
        <f>L8-L11</f>
        <v>-33.441999999999993</v>
      </c>
      <c r="M12" s="5">
        <f t="shared" ref="M12:N12" si="42">M8-M11</f>
        <v>33.815849999999998</v>
      </c>
      <c r="N12" s="5">
        <f t="shared" si="42"/>
        <v>38.361800000000002</v>
      </c>
      <c r="V12" s="4">
        <f>V8-V11</f>
        <v>-120.94999999999999</v>
      </c>
      <c r="W12" s="4">
        <f>W8-W11</f>
        <v>17.713649999999916</v>
      </c>
      <c r="X12" s="4">
        <f t="shared" ref="X12" si="43">X8-X11</f>
        <v>195.99255519999994</v>
      </c>
      <c r="Y12" s="4">
        <f t="shared" ref="Y12" si="44">Y8-Y11</f>
        <v>227.38675192000002</v>
      </c>
      <c r="Z12" s="4">
        <f t="shared" ref="Z12" si="45">Z8-Z11</f>
        <v>255.94513207360004</v>
      </c>
      <c r="AA12" s="4">
        <f t="shared" ref="AA12" si="46">AA8-AA11</f>
        <v>286.78818263948801</v>
      </c>
      <c r="AB12" s="4">
        <f t="shared" ref="AB12" si="47">AB8-AB11</f>
        <v>320.09867725064714</v>
      </c>
      <c r="AC12" s="4">
        <f t="shared" ref="AC12" si="48">AC8-AC11</f>
        <v>356.07401143069887</v>
      </c>
      <c r="AD12" s="4">
        <f t="shared" ref="AD12" si="49">AD8-AD11</f>
        <v>394.92737234515494</v>
      </c>
      <c r="AE12" s="4">
        <f t="shared" ref="AE12" si="50">AE8-AE11</f>
        <v>436.88900213276736</v>
      </c>
      <c r="AF12" s="4">
        <f t="shared" ref="AF12" si="51">AF8-AF11</f>
        <v>482.20756230338873</v>
      </c>
      <c r="AG12" s="4">
        <f t="shared" ref="AG12" si="52">AG8-AG11</f>
        <v>458.08297482380203</v>
      </c>
      <c r="AH12" s="4">
        <f t="shared" ref="AH12" si="53">AH8-AH11</f>
        <v>435.22927112455034</v>
      </c>
      <c r="AI12" s="4">
        <f t="shared" ref="AI12" si="54">AI8-AI11</f>
        <v>413.58355356068068</v>
      </c>
      <c r="AJ12" s="4">
        <f t="shared" ref="AJ12" si="55">AJ8-AJ11</f>
        <v>393.08607583492812</v>
      </c>
      <c r="AK12" s="4">
        <f t="shared" ref="AK12" si="56">AK8-AK11</f>
        <v>373.68008549498586</v>
      </c>
    </row>
    <row r="13" spans="1:144" s="4" customFormat="1" x14ac:dyDescent="0.2">
      <c r="B13" s="4" t="s">
        <v>33</v>
      </c>
      <c r="C13" s="5"/>
      <c r="D13" s="5"/>
      <c r="E13" s="5">
        <v>5.8999999999999997E-2</v>
      </c>
      <c r="F13" s="5">
        <v>1.04</v>
      </c>
      <c r="G13" s="5">
        <v>5.2999999999999999E-2</v>
      </c>
      <c r="H13" s="5">
        <v>6.0999999999999999E-2</v>
      </c>
      <c r="I13" s="5">
        <v>6.2E-2</v>
      </c>
      <c r="J13" s="5">
        <v>0.28799999999999998</v>
      </c>
      <c r="K13" s="5">
        <v>0.54400000000000004</v>
      </c>
      <c r="L13" s="5">
        <v>0.69899999999999995</v>
      </c>
      <c r="M13" s="5"/>
      <c r="N13" s="5"/>
      <c r="V13" s="4">
        <f t="shared" ref="V13:V15" si="57">SUM(G13:J13)</f>
        <v>0.46399999999999997</v>
      </c>
      <c r="W13" s="4">
        <f t="shared" ref="W13:W15" si="58">SUM(K13:N13)</f>
        <v>1.2429999999999999</v>
      </c>
      <c r="X13" s="4">
        <f>+W22*$AN$18</f>
        <v>14.633273000000003</v>
      </c>
      <c r="Y13" s="4">
        <f t="shared" ref="Y13:AK13" si="59">+X22*$AN$18</f>
        <v>17.582034594800003</v>
      </c>
      <c r="Z13" s="4">
        <f t="shared" si="59"/>
        <v>21.011597606007204</v>
      </c>
      <c r="AA13" s="4">
        <f t="shared" si="59"/>
        <v>24.888991821521703</v>
      </c>
      <c r="AB13" s="4">
        <f t="shared" si="59"/>
        <v>29.252472263975843</v>
      </c>
      <c r="AC13" s="4">
        <f t="shared" si="59"/>
        <v>34.143388357180569</v>
      </c>
      <c r="AD13" s="4">
        <f t="shared" si="59"/>
        <v>39.606431954210876</v>
      </c>
      <c r="AE13" s="4">
        <f t="shared" si="59"/>
        <v>45.689905214401996</v>
      </c>
      <c r="AF13" s="4">
        <f t="shared" si="59"/>
        <v>52.446009917262366</v>
      </c>
      <c r="AG13" s="4">
        <f t="shared" si="59"/>
        <v>59.931159928351484</v>
      </c>
      <c r="AH13" s="4">
        <f t="shared" si="59"/>
        <v>67.183357814881631</v>
      </c>
      <c r="AI13" s="4">
        <f t="shared" si="59"/>
        <v>74.217134620033676</v>
      </c>
      <c r="AJ13" s="4">
        <f t="shared" si="59"/>
        <v>81.046344254563678</v>
      </c>
      <c r="AK13" s="4">
        <f t="shared" si="59"/>
        <v>87.684198135816558</v>
      </c>
    </row>
    <row r="14" spans="1:144" s="4" customFormat="1" x14ac:dyDescent="0.2">
      <c r="B14" s="4" t="s">
        <v>32</v>
      </c>
      <c r="C14" s="5"/>
      <c r="D14" s="5"/>
      <c r="E14" s="5">
        <f>+E12+E13</f>
        <v>-15.566000000000001</v>
      </c>
      <c r="F14" s="5">
        <f>+F12+F13</f>
        <v>-26.684000000000019</v>
      </c>
      <c r="G14" s="5">
        <f>+G12+G13</f>
        <v>-21.690000000000008</v>
      </c>
      <c r="H14" s="5">
        <f>+H12+H13</f>
        <v>-47.502000000000002</v>
      </c>
      <c r="I14" s="5">
        <f>+I12+I13</f>
        <v>-26.437999999999999</v>
      </c>
      <c r="J14" s="5">
        <f>+J12+J13</f>
        <v>-24.855999999999991</v>
      </c>
      <c r="K14" s="5">
        <f>+K12+K13</f>
        <v>-20.477999999999991</v>
      </c>
      <c r="L14" s="5">
        <f>+L12+L13</f>
        <v>-32.742999999999995</v>
      </c>
      <c r="M14" s="5">
        <f t="shared" ref="M14:N14" si="60">+M12+M13</f>
        <v>33.815849999999998</v>
      </c>
      <c r="N14" s="5">
        <f t="shared" si="60"/>
        <v>38.361800000000002</v>
      </c>
      <c r="V14" s="4">
        <f>V12+V13</f>
        <v>-120.48599999999999</v>
      </c>
      <c r="W14" s="4">
        <f>W12+W13</f>
        <v>18.956649999999915</v>
      </c>
      <c r="X14" s="4">
        <f t="shared" ref="X14:AK14" si="61">X12+X13</f>
        <v>210.62582819999994</v>
      </c>
      <c r="Y14" s="4">
        <f t="shared" si="61"/>
        <v>244.96878651480003</v>
      </c>
      <c r="Z14" s="4">
        <f t="shared" si="61"/>
        <v>276.95672967960724</v>
      </c>
      <c r="AA14" s="4">
        <f t="shared" si="61"/>
        <v>311.67717446100971</v>
      </c>
      <c r="AB14" s="4">
        <f t="shared" si="61"/>
        <v>349.35114951462299</v>
      </c>
      <c r="AC14" s="4">
        <f t="shared" si="61"/>
        <v>390.21739978787946</v>
      </c>
      <c r="AD14" s="4">
        <f t="shared" si="61"/>
        <v>434.53380429936578</v>
      </c>
      <c r="AE14" s="4">
        <f t="shared" si="61"/>
        <v>482.57890734716938</v>
      </c>
      <c r="AF14" s="4">
        <f t="shared" si="61"/>
        <v>534.65357222065109</v>
      </c>
      <c r="AG14" s="4">
        <f t="shared" si="61"/>
        <v>518.0141347521535</v>
      </c>
      <c r="AH14" s="4">
        <f t="shared" si="61"/>
        <v>502.41262893943195</v>
      </c>
      <c r="AI14" s="4">
        <f t="shared" si="61"/>
        <v>487.80068818071436</v>
      </c>
      <c r="AJ14" s="4">
        <f t="shared" si="61"/>
        <v>474.1324200894918</v>
      </c>
      <c r="AK14" s="4">
        <f t="shared" si="61"/>
        <v>461.36428363080245</v>
      </c>
    </row>
    <row r="15" spans="1:144" s="4" customFormat="1" x14ac:dyDescent="0.2">
      <c r="B15" s="4" t="s">
        <v>31</v>
      </c>
      <c r="C15" s="5"/>
      <c r="D15" s="5"/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/>
      <c r="N15" s="5"/>
      <c r="V15" s="4">
        <f t="shared" si="57"/>
        <v>0</v>
      </c>
      <c r="W15" s="4">
        <f t="shared" si="58"/>
        <v>0</v>
      </c>
      <c r="X15" s="4">
        <f>+X14*0.3</f>
        <v>63.18774845999998</v>
      </c>
      <c r="Y15" s="4">
        <f t="shared" ref="Y15:AK15" si="62">+Y14*0.3</f>
        <v>73.490635954440009</v>
      </c>
      <c r="Z15" s="4">
        <f t="shared" si="62"/>
        <v>83.087018903882168</v>
      </c>
      <c r="AA15" s="4">
        <f t="shared" si="62"/>
        <v>93.503152338302911</v>
      </c>
      <c r="AB15" s="4">
        <f t="shared" si="62"/>
        <v>104.80534485438689</v>
      </c>
      <c r="AC15" s="4">
        <f t="shared" si="62"/>
        <v>117.06521993636383</v>
      </c>
      <c r="AD15" s="4">
        <f t="shared" si="62"/>
        <v>130.36014128980972</v>
      </c>
      <c r="AE15" s="4">
        <f t="shared" si="62"/>
        <v>144.77367220415081</v>
      </c>
      <c r="AF15" s="4">
        <f t="shared" si="62"/>
        <v>160.39607166619533</v>
      </c>
      <c r="AG15" s="4">
        <f t="shared" si="62"/>
        <v>155.40424042564604</v>
      </c>
      <c r="AH15" s="4">
        <f t="shared" si="62"/>
        <v>150.72378868182957</v>
      </c>
      <c r="AI15" s="4">
        <f t="shared" si="62"/>
        <v>146.3402064542143</v>
      </c>
      <c r="AJ15" s="4">
        <f t="shared" si="62"/>
        <v>142.23972602684753</v>
      </c>
      <c r="AK15" s="4">
        <f t="shared" si="62"/>
        <v>138.40928508924074</v>
      </c>
    </row>
    <row r="16" spans="1:144" s="4" customFormat="1" x14ac:dyDescent="0.2">
      <c r="B16" s="4" t="s">
        <v>30</v>
      </c>
      <c r="C16" s="5"/>
      <c r="D16" s="5"/>
      <c r="E16" s="5">
        <f>+E14-E15</f>
        <v>-15.566000000000001</v>
      </c>
      <c r="F16" s="5">
        <f>+F14-F15</f>
        <v>-26.684000000000019</v>
      </c>
      <c r="G16" s="5">
        <f>+G14-G15</f>
        <v>-21.690000000000008</v>
      </c>
      <c r="H16" s="5">
        <f>+H14-H15</f>
        <v>-47.502000000000002</v>
      </c>
      <c r="I16" s="5">
        <f>+I14-I15</f>
        <v>-26.437999999999999</v>
      </c>
      <c r="J16" s="5">
        <f>+J14-J15</f>
        <v>-24.855999999999991</v>
      </c>
      <c r="K16" s="5">
        <f>+K14-K15</f>
        <v>-20.477999999999991</v>
      </c>
      <c r="L16" s="5">
        <f>+L14-L15</f>
        <v>-32.742999999999995</v>
      </c>
      <c r="M16" s="5">
        <f t="shared" ref="M16:N16" si="63">+M14-M15</f>
        <v>33.815849999999998</v>
      </c>
      <c r="N16" s="5">
        <f t="shared" si="63"/>
        <v>38.361800000000002</v>
      </c>
      <c r="V16" s="4">
        <f>V14-V15</f>
        <v>-120.48599999999999</v>
      </c>
      <c r="W16" s="4">
        <f>W14-W15</f>
        <v>18.956649999999915</v>
      </c>
      <c r="X16" s="4">
        <f t="shared" ref="X16" si="64">X14-X15</f>
        <v>147.43807973999998</v>
      </c>
      <c r="Y16" s="4">
        <f t="shared" ref="Y16" si="65">Y14-Y15</f>
        <v>171.47815056036001</v>
      </c>
      <c r="Z16" s="4">
        <f t="shared" ref="Z16" si="66">Z14-Z15</f>
        <v>193.86971077572508</v>
      </c>
      <c r="AA16" s="4">
        <f t="shared" ref="AA16" si="67">AA14-AA15</f>
        <v>218.17402212270679</v>
      </c>
      <c r="AB16" s="4">
        <f t="shared" ref="AB16" si="68">AB14-AB15</f>
        <v>244.54580466023612</v>
      </c>
      <c r="AC16" s="4">
        <f t="shared" ref="AC16" si="69">AC14-AC15</f>
        <v>273.1521798515156</v>
      </c>
      <c r="AD16" s="4">
        <f t="shared" ref="AD16" si="70">AD14-AD15</f>
        <v>304.17366300955609</v>
      </c>
      <c r="AE16" s="4">
        <f t="shared" ref="AE16" si="71">AE14-AE15</f>
        <v>337.80523514301854</v>
      </c>
      <c r="AF16" s="4">
        <f t="shared" ref="AF16" si="72">AF14-AF15</f>
        <v>374.25750055445576</v>
      </c>
      <c r="AG16" s="4">
        <f t="shared" ref="AG16" si="73">AG14-AG15</f>
        <v>362.60989432650746</v>
      </c>
      <c r="AH16" s="4">
        <f t="shared" ref="AH16" si="74">AH14-AH15</f>
        <v>351.68884025760235</v>
      </c>
      <c r="AI16" s="4">
        <f t="shared" ref="AI16" si="75">AI14-AI15</f>
        <v>341.46048172650006</v>
      </c>
      <c r="AJ16" s="4">
        <f t="shared" ref="AJ16" si="76">AJ14-AJ15</f>
        <v>331.8926940626443</v>
      </c>
      <c r="AK16" s="4">
        <f t="shared" ref="AK16" si="77">AK14-AK15</f>
        <v>322.95499854156174</v>
      </c>
      <c r="AL16" s="4">
        <f>AK16*(1+$AN$19)</f>
        <v>319.72544855614609</v>
      </c>
      <c r="AM16" s="4">
        <f>AL16*(1+$AN$19)</f>
        <v>316.52819407058462</v>
      </c>
      <c r="AN16" s="4">
        <f>AM16*(1+$AN$19)</f>
        <v>313.36291212987879</v>
      </c>
      <c r="AO16" s="4">
        <f>AN16*(1+$AN$19)</f>
        <v>310.22928300858001</v>
      </c>
      <c r="AP16" s="4">
        <f>AO16*(1+$AN$19)</f>
        <v>307.12699017849422</v>
      </c>
      <c r="AQ16" s="4">
        <f>AP16*(1+$AN$19)</f>
        <v>304.05572027670928</v>
      </c>
      <c r="AR16" s="4">
        <f>AQ16*(1+$AN$19)</f>
        <v>301.01516307394218</v>
      </c>
      <c r="AS16" s="4">
        <f>AR16*(1+$AN$19)</f>
        <v>298.00501144320276</v>
      </c>
      <c r="AT16" s="4">
        <f>AS16*(1+$AN$19)</f>
        <v>295.02496132877076</v>
      </c>
      <c r="AU16" s="4">
        <f>AT16*(1+$AN$19)</f>
        <v>292.07471171548303</v>
      </c>
      <c r="AV16" s="4">
        <f>AU16*(1+$AN$19)</f>
        <v>289.15396459832817</v>
      </c>
      <c r="AW16" s="4">
        <f>AV16*(1+$AN$19)</f>
        <v>286.26242495234487</v>
      </c>
      <c r="AX16" s="4">
        <f>AW16*(1+$AN$19)</f>
        <v>283.39980070282144</v>
      </c>
      <c r="AY16" s="4">
        <f>AX16*(1+$AN$19)</f>
        <v>280.5658026957932</v>
      </c>
      <c r="AZ16" s="4">
        <f>AY16*(1+$AN$19)</f>
        <v>277.76014466883527</v>
      </c>
      <c r="BA16" s="4">
        <f>AZ16*(1+$AN$19)</f>
        <v>274.98254322214689</v>
      </c>
      <c r="BB16" s="4">
        <f>BA16*(1+$AN$19)</f>
        <v>272.2327177899254</v>
      </c>
      <c r="BC16" s="4">
        <f>BB16*(1+$AN$19)</f>
        <v>269.51039061202613</v>
      </c>
      <c r="BD16" s="4">
        <f>BC16*(1+$AN$19)</f>
        <v>266.81528670590586</v>
      </c>
      <c r="BE16" s="4">
        <f>BD16*(1+$AN$19)</f>
        <v>264.1471338388468</v>
      </c>
      <c r="BF16" s="4">
        <f>BE16*(1+$AN$19)</f>
        <v>261.5056625004583</v>
      </c>
      <c r="BG16" s="4">
        <f>BF16*(1+$AN$19)</f>
        <v>258.89060587545373</v>
      </c>
      <c r="BH16" s="4">
        <f>BG16*(1+$AN$19)</f>
        <v>256.30169981669917</v>
      </c>
      <c r="BI16" s="4">
        <f>BH16*(1+$AN$19)</f>
        <v>253.73868281853217</v>
      </c>
      <c r="BJ16" s="4">
        <f>BI16*(1+$AN$19)</f>
        <v>251.20129599034684</v>
      </c>
      <c r="BK16" s="4">
        <f>BJ16*(1+$AN$19)</f>
        <v>248.68928303044336</v>
      </c>
      <c r="BL16" s="4">
        <f>BK16*(1+$AN$19)</f>
        <v>246.20239020013892</v>
      </c>
      <c r="BM16" s="4">
        <f>BL16*(1+$AN$19)</f>
        <v>243.74036629813753</v>
      </c>
      <c r="BN16" s="4">
        <f>BM16*(1+$AN$19)</f>
        <v>241.30296263515615</v>
      </c>
      <c r="BO16" s="4">
        <f>BN16*(1+$AN$19)</f>
        <v>238.88993300880458</v>
      </c>
      <c r="BP16" s="4">
        <f>BO16*(1+$AN$19)</f>
        <v>236.50103367871654</v>
      </c>
      <c r="BQ16" s="4">
        <f>BP16*(1+$AN$19)</f>
        <v>234.13602334192936</v>
      </c>
      <c r="BR16" s="4">
        <f>BQ16*(1+$AN$19)</f>
        <v>231.79466310851006</v>
      </c>
      <c r="BS16" s="4">
        <f>BR16*(1+$AN$19)</f>
        <v>229.47671647742496</v>
      </c>
      <c r="BT16" s="4">
        <f>BS16*(1+$AN$19)</f>
        <v>227.18194931265072</v>
      </c>
      <c r="BU16" s="4">
        <f>BT16*(1+$AN$19)</f>
        <v>224.9101298195242</v>
      </c>
      <c r="BV16" s="4">
        <f>BU16*(1+$AN$19)</f>
        <v>222.66102852132894</v>
      </c>
      <c r="BW16" s="4">
        <f>BV16*(1+$AN$19)</f>
        <v>220.43441823611565</v>
      </c>
      <c r="BX16" s="4">
        <f>BW16*(1+$AN$19)</f>
        <v>218.23007405375449</v>
      </c>
      <c r="BY16" s="4">
        <f>BX16*(1+$AN$19)</f>
        <v>216.04777331321694</v>
      </c>
      <c r="BZ16" s="4">
        <f>BY16*(1+$AN$19)</f>
        <v>213.88729558008475</v>
      </c>
      <c r="CA16" s="4">
        <f>BZ16*(1+$AN$19)</f>
        <v>211.7484226242839</v>
      </c>
      <c r="CB16" s="4">
        <f>CA16*(1+$AN$19)</f>
        <v>209.63093839804105</v>
      </c>
      <c r="CC16" s="4">
        <f>CB16*(1+$AN$19)</f>
        <v>207.53462901406064</v>
      </c>
      <c r="CD16" s="4">
        <f>CC16*(1+$AN$19)</f>
        <v>205.45928272392004</v>
      </c>
      <c r="CE16" s="4">
        <f>CD16*(1+$AN$19)</f>
        <v>203.40468989668085</v>
      </c>
      <c r="CF16" s="4">
        <f>CE16*(1+$AN$19)</f>
        <v>201.37064299771404</v>
      </c>
      <c r="CG16" s="4">
        <f>CF16*(1+$AN$19)</f>
        <v>199.35693656773691</v>
      </c>
      <c r="CH16" s="4">
        <f>CG16*(1+$AN$19)</f>
        <v>197.36336720205955</v>
      </c>
      <c r="CI16" s="4">
        <f>CH16*(1+$AN$19)</f>
        <v>195.38973353003894</v>
      </c>
      <c r="CJ16" s="4">
        <f>CI16*(1+$AN$19)</f>
        <v>193.43583619473856</v>
      </c>
      <c r="CK16" s="4">
        <f>CJ16*(1+$AN$19)</f>
        <v>191.50147783279118</v>
      </c>
      <c r="CL16" s="4">
        <f>CK16*(1+$AN$19)</f>
        <v>189.58646305446328</v>
      </c>
      <c r="CM16" s="4">
        <f>CL16*(1+$AN$19)</f>
        <v>187.69059842391866</v>
      </c>
      <c r="CN16" s="4">
        <f>CM16*(1+$AN$19)</f>
        <v>185.81369243967947</v>
      </c>
      <c r="CO16" s="4">
        <f>CN16*(1+$AN$19)</f>
        <v>183.95555551528267</v>
      </c>
      <c r="CP16" s="4">
        <f>CO16*(1+$AN$19)</f>
        <v>182.11599996012984</v>
      </c>
      <c r="CQ16" s="4">
        <f>CP16*(1+$AN$19)</f>
        <v>180.29483996052855</v>
      </c>
      <c r="CR16" s="4">
        <f>CQ16*(1+$AN$19)</f>
        <v>178.49189156092325</v>
      </c>
      <c r="CS16" s="4">
        <f>CR16*(1+$AN$19)</f>
        <v>176.70697264531401</v>
      </c>
      <c r="CT16" s="4">
        <f>CS16*(1+$AN$19)</f>
        <v>174.93990291886087</v>
      </c>
      <c r="CU16" s="4">
        <f>CT16*(1+$AN$19)</f>
        <v>173.19050388967224</v>
      </c>
      <c r="CV16" s="4">
        <f>CU16*(1+$AN$19)</f>
        <v>171.45859885077553</v>
      </c>
      <c r="CW16" s="4">
        <f>CV16*(1+$AN$19)</f>
        <v>169.74401286226777</v>
      </c>
      <c r="CX16" s="4">
        <f>CW16*(1+$AN$19)</f>
        <v>168.04657273364509</v>
      </c>
      <c r="CY16" s="4">
        <f>CX16*(1+$AN$19)</f>
        <v>166.36610700630865</v>
      </c>
      <c r="CZ16" s="4">
        <f>CY16*(1+$AN$19)</f>
        <v>164.70244593624557</v>
      </c>
      <c r="DA16" s="4">
        <f>CZ16*(1+$AN$19)</f>
        <v>163.05542147688311</v>
      </c>
      <c r="DB16" s="4">
        <f>DA16*(1+$AN$19)</f>
        <v>161.42486726211428</v>
      </c>
      <c r="DC16" s="4">
        <f>DB16*(1+$AN$19)</f>
        <v>159.81061858949315</v>
      </c>
      <c r="DD16" s="4">
        <f>DC16*(1+$AN$19)</f>
        <v>158.21251240359823</v>
      </c>
      <c r="DE16" s="4">
        <f>DD16*(1+$AN$19)</f>
        <v>156.63038727956223</v>
      </c>
      <c r="DF16" s="4">
        <f>DE16*(1+$AN$19)</f>
        <v>155.0640834067666</v>
      </c>
      <c r="DG16" s="4">
        <f>DF16*(1+$AN$19)</f>
        <v>153.51344257269892</v>
      </c>
      <c r="DH16" s="4">
        <f>DG16*(1+$AN$19)</f>
        <v>151.97830814697193</v>
      </c>
      <c r="DI16" s="4">
        <f>DH16*(1+$AN$19)</f>
        <v>150.45852506550222</v>
      </c>
      <c r="DJ16" s="4">
        <f>DI16*(1+$AN$19)</f>
        <v>148.95393981484719</v>
      </c>
      <c r="DK16" s="4">
        <f>DJ16*(1+$AN$19)</f>
        <v>147.46440041669871</v>
      </c>
      <c r="DL16" s="4">
        <f>DK16*(1+$AN$19)</f>
        <v>145.98975641253173</v>
      </c>
      <c r="DM16" s="4">
        <f>DL16*(1+$AN$19)</f>
        <v>144.52985884840641</v>
      </c>
      <c r="DN16" s="4">
        <f>DM16*(1+$AN$19)</f>
        <v>143.08456025992234</v>
      </c>
      <c r="DO16" s="4">
        <f>DN16*(1+$AN$19)</f>
        <v>141.65371465732312</v>
      </c>
      <c r="DP16" s="4">
        <f>DO16*(1+$AN$19)</f>
        <v>140.23717751074989</v>
      </c>
      <c r="DQ16" s="4">
        <f>DP16*(1+$AN$19)</f>
        <v>138.83480573564239</v>
      </c>
      <c r="DR16" s="4">
        <f>DQ16*(1+$AN$19)</f>
        <v>137.44645767828595</v>
      </c>
      <c r="DS16" s="4">
        <f>DR16*(1+$AN$19)</f>
        <v>136.0719931015031</v>
      </c>
      <c r="DT16" s="4">
        <f>DS16*(1+$AN$19)</f>
        <v>134.71127317048806</v>
      </c>
      <c r="DU16" s="4">
        <f>DT16*(1+$AN$19)</f>
        <v>133.36416043878319</v>
      </c>
      <c r="DV16" s="4">
        <f>DU16*(1+$AN$19)</f>
        <v>132.03051883439537</v>
      </c>
      <c r="DW16" s="4">
        <f>DV16*(1+$AN$19)</f>
        <v>130.71021364605141</v>
      </c>
      <c r="DX16" s="4">
        <f>DW16*(1+$AN$19)</f>
        <v>129.4031115095909</v>
      </c>
      <c r="DY16" s="4">
        <f>DX16*(1+$AN$19)</f>
        <v>128.10908039449498</v>
      </c>
      <c r="DZ16" s="4">
        <f>DY16*(1+$AN$19)</f>
        <v>126.82798959055003</v>
      </c>
      <c r="EA16" s="4">
        <f>DZ16*(1+$AN$19)</f>
        <v>125.55970969464452</v>
      </c>
      <c r="EB16" s="4">
        <f>EA16*(1+$AN$19)</f>
        <v>124.30411259769808</v>
      </c>
      <c r="EC16" s="4">
        <f>EB16*(1+$AN$19)</f>
        <v>123.06107147172109</v>
      </c>
      <c r="ED16" s="4">
        <f>EC16*(1+$AN$19)</f>
        <v>121.83046075700388</v>
      </c>
      <c r="EE16" s="4">
        <f>ED16*(1+$AN$19)</f>
        <v>120.61215614943384</v>
      </c>
      <c r="EF16" s="4">
        <f>EE16*(1+$AN$19)</f>
        <v>119.4060345879395</v>
      </c>
      <c r="EG16" s="4">
        <f>EF16*(1+$AN$19)</f>
        <v>118.21197424206011</v>
      </c>
      <c r="EH16" s="4">
        <f>EG16*(1+$AN$19)</f>
        <v>117.02985449963951</v>
      </c>
      <c r="EI16" s="4">
        <f>EH16*(1+$AN$19)</f>
        <v>115.85955595464311</v>
      </c>
      <c r="EJ16" s="4">
        <f>EI16*(1+$AN$19)</f>
        <v>114.70096039509669</v>
      </c>
      <c r="EK16" s="4">
        <f>EJ16*(1+$AN$19)</f>
        <v>113.55395079114572</v>
      </c>
      <c r="EL16" s="4">
        <f>EK16*(1+$AN$19)</f>
        <v>112.41841128323426</v>
      </c>
      <c r="EM16" s="4">
        <f>EL16*(1+$AN$19)</f>
        <v>111.29422717040192</v>
      </c>
      <c r="EN16" s="4">
        <f>EM16*(1+$AN$19)</f>
        <v>110.18128489869791</v>
      </c>
    </row>
    <row r="17" spans="2:40" x14ac:dyDescent="0.2">
      <c r="B17" t="s">
        <v>29</v>
      </c>
      <c r="E17" s="8">
        <f>+E16/E18</f>
        <v>-0.12594768227459929</v>
      </c>
      <c r="F17" s="8">
        <f>+F16/F18</f>
        <v>-0.21533073490368879</v>
      </c>
      <c r="G17" s="8">
        <f>+G16/G18</f>
        <v>-0.17343120322394942</v>
      </c>
      <c r="H17" s="8">
        <f>+H16/H18</f>
        <v>-0.37982153137593555</v>
      </c>
      <c r="I17" s="8">
        <f>+I16/I18</f>
        <v>-0.20708562118636764</v>
      </c>
      <c r="J17" s="8">
        <f>+J16/J18</f>
        <v>-0.17812430576954766</v>
      </c>
      <c r="K17" s="8">
        <f>+K16/K18</f>
        <v>-0.14638644649367355</v>
      </c>
      <c r="L17" s="8">
        <f>+L16/L18</f>
        <v>-0.23340675634253613</v>
      </c>
      <c r="M17" s="8">
        <f t="shared" ref="M17:N17" si="78">+M16/M18</f>
        <v>0.24105451123799748</v>
      </c>
      <c r="N17" s="8">
        <f t="shared" si="78"/>
        <v>0.27346007712980192</v>
      </c>
      <c r="V17" s="1">
        <f>V16/V18</f>
        <v>-0.93158438003780897</v>
      </c>
      <c r="W17" s="1">
        <f>W16/W18</f>
        <v>0.13522619257800805</v>
      </c>
    </row>
    <row r="18" spans="2:40" x14ac:dyDescent="0.2">
      <c r="B18" t="s">
        <v>1</v>
      </c>
      <c r="E18" s="5">
        <v>123.59099999999999</v>
      </c>
      <c r="F18" s="5">
        <v>123.92100000000001</v>
      </c>
      <c r="G18" s="5">
        <v>125.06399999999999</v>
      </c>
      <c r="H18" s="5">
        <v>125.06399999999999</v>
      </c>
      <c r="I18" s="5">
        <v>127.667</v>
      </c>
      <c r="J18" s="5">
        <v>139.54300000000001</v>
      </c>
      <c r="K18" s="5">
        <v>139.88999999999999</v>
      </c>
      <c r="L18" s="5">
        <v>140.28299999999999</v>
      </c>
      <c r="M18" s="5">
        <f>L18</f>
        <v>140.28299999999999</v>
      </c>
      <c r="N18" s="5">
        <f t="shared" ref="N18" si="79">M18</f>
        <v>140.28299999999999</v>
      </c>
      <c r="V18" s="4">
        <f>AVERAGE(G18:J18)</f>
        <v>129.33449999999999</v>
      </c>
      <c r="W18" s="4">
        <f>AVERAGE(K18:N18)</f>
        <v>140.18475000000001</v>
      </c>
      <c r="AM18" t="s">
        <v>90</v>
      </c>
      <c r="AN18" s="26">
        <v>0.02</v>
      </c>
    </row>
    <row r="19" spans="2:40" x14ac:dyDescent="0.2">
      <c r="AM19" t="s">
        <v>75</v>
      </c>
      <c r="AN19" s="26">
        <v>-0.01</v>
      </c>
    </row>
    <row r="20" spans="2:40" x14ac:dyDescent="0.2">
      <c r="I20" s="27">
        <f t="shared" ref="I20:K20" si="80">I3/E3-1</f>
        <v>0.22506171046899937</v>
      </c>
      <c r="J20" s="27">
        <f t="shared" si="80"/>
        <v>0.35535910176163132</v>
      </c>
      <c r="K20" s="27">
        <f t="shared" si="80"/>
        <v>0.19968907253610446</v>
      </c>
      <c r="L20" s="27">
        <f>L3/H3-1</f>
        <v>0.20185134767220259</v>
      </c>
      <c r="M20" s="27">
        <f t="shared" ref="M20:N20" si="81">M3/I3-1</f>
        <v>0.14999999999999991</v>
      </c>
      <c r="N20" s="27">
        <f t="shared" si="81"/>
        <v>0.14999999999999991</v>
      </c>
      <c r="AM20" t="s">
        <v>76</v>
      </c>
      <c r="AN20" s="26">
        <v>0.08</v>
      </c>
    </row>
    <row r="21" spans="2:40" x14ac:dyDescent="0.2">
      <c r="AM21" t="s">
        <v>77</v>
      </c>
      <c r="AN21" s="2">
        <f>NPV(AN20,X16:EN16)+Main!M5</f>
        <v>4038.818487601533</v>
      </c>
    </row>
    <row r="22" spans="2:40" s="4" customFormat="1" x14ac:dyDescent="0.2">
      <c r="B22" s="4" t="s">
        <v>78</v>
      </c>
      <c r="C22" s="5"/>
      <c r="D22" s="5"/>
      <c r="E22" s="5"/>
      <c r="F22" s="5"/>
      <c r="G22" s="5"/>
      <c r="H22" s="5"/>
      <c r="I22" s="5"/>
      <c r="J22" s="5"/>
      <c r="K22" s="5"/>
      <c r="L22" s="5">
        <f>+L23</f>
        <v>659.4860000000001</v>
      </c>
      <c r="M22" s="5">
        <f>+L22+M16</f>
        <v>693.30185000000006</v>
      </c>
      <c r="N22" s="5">
        <f t="shared" ref="N22" si="82">+M22+N16</f>
        <v>731.66365000000008</v>
      </c>
      <c r="W22" s="4">
        <f>+N22</f>
        <v>731.66365000000008</v>
      </c>
      <c r="X22" s="4">
        <f>+W22+X16</f>
        <v>879.10172974000011</v>
      </c>
      <c r="Y22" s="4">
        <f t="shared" ref="Y22:AK22" si="83">+X22+Y16</f>
        <v>1050.5798803003602</v>
      </c>
      <c r="Z22" s="4">
        <f t="shared" si="83"/>
        <v>1244.4495910760852</v>
      </c>
      <c r="AA22" s="4">
        <f t="shared" si="83"/>
        <v>1462.6236131987921</v>
      </c>
      <c r="AB22" s="4">
        <f t="shared" si="83"/>
        <v>1707.1694178590283</v>
      </c>
      <c r="AC22" s="4">
        <f t="shared" si="83"/>
        <v>1980.3215977105438</v>
      </c>
      <c r="AD22" s="4">
        <f t="shared" si="83"/>
        <v>2284.4952607200999</v>
      </c>
      <c r="AE22" s="4">
        <f t="shared" si="83"/>
        <v>2622.3004958631182</v>
      </c>
      <c r="AF22" s="4">
        <f t="shared" si="83"/>
        <v>2996.557996417574</v>
      </c>
      <c r="AG22" s="4">
        <f t="shared" si="83"/>
        <v>3359.1678907440814</v>
      </c>
      <c r="AH22" s="4">
        <f t="shared" si="83"/>
        <v>3710.8567310016838</v>
      </c>
      <c r="AI22" s="4">
        <f t="shared" si="83"/>
        <v>4052.3172127281837</v>
      </c>
      <c r="AJ22" s="4">
        <f t="shared" si="83"/>
        <v>4384.2099067908275</v>
      </c>
      <c r="AK22" s="4">
        <f t="shared" si="83"/>
        <v>4707.164905332389</v>
      </c>
      <c r="AM22" s="4" t="s">
        <v>91</v>
      </c>
      <c r="AN22" s="1">
        <f>AN21/Main!M3</f>
        <v>28.742765860126486</v>
      </c>
    </row>
    <row r="23" spans="2:40" s="4" customFormat="1" x14ac:dyDescent="0.2">
      <c r="B23" s="4" t="s">
        <v>3</v>
      </c>
      <c r="C23" s="5"/>
      <c r="D23" s="5"/>
      <c r="E23" s="5"/>
      <c r="F23" s="5"/>
      <c r="G23" s="5"/>
      <c r="H23" s="5"/>
      <c r="I23" s="5"/>
      <c r="J23" s="5"/>
      <c r="K23" s="5"/>
      <c r="L23" s="5">
        <f>192.088+416.857+50.541</f>
        <v>659.4860000000001</v>
      </c>
      <c r="M23" s="5"/>
      <c r="N23" s="5"/>
    </row>
    <row r="24" spans="2:40" s="4" customFormat="1" x14ac:dyDescent="0.2">
      <c r="B24" s="4" t="s">
        <v>89</v>
      </c>
      <c r="C24" s="5"/>
      <c r="D24" s="5"/>
      <c r="E24" s="5"/>
      <c r="F24" s="5"/>
      <c r="G24" s="5"/>
      <c r="H24" s="5"/>
      <c r="I24" s="5"/>
      <c r="J24" s="5"/>
      <c r="K24" s="5"/>
      <c r="L24" s="5">
        <v>57.741999999999997</v>
      </c>
      <c r="M24" s="5"/>
      <c r="N24" s="5"/>
    </row>
    <row r="25" spans="2:40" s="4" customFormat="1" x14ac:dyDescent="0.2">
      <c r="B25" s="4" t="s">
        <v>88</v>
      </c>
      <c r="C25" s="5"/>
      <c r="D25" s="5"/>
      <c r="E25" s="5"/>
      <c r="F25" s="5"/>
      <c r="G25" s="5"/>
      <c r="H25" s="5"/>
      <c r="I25" s="5"/>
      <c r="J25" s="5"/>
      <c r="K25" s="5"/>
      <c r="L25" s="5">
        <v>71.674999999999997</v>
      </c>
      <c r="M25" s="5"/>
      <c r="N25" s="5"/>
    </row>
    <row r="26" spans="2:40" s="4" customFormat="1" x14ac:dyDescent="0.2">
      <c r="B26" s="4" t="s">
        <v>87</v>
      </c>
      <c r="C26" s="5"/>
      <c r="D26" s="5"/>
      <c r="E26" s="5"/>
      <c r="F26" s="5"/>
      <c r="G26" s="5"/>
      <c r="H26" s="5"/>
      <c r="I26" s="5"/>
      <c r="J26" s="5"/>
      <c r="K26" s="5"/>
      <c r="L26" s="5">
        <v>12.22</v>
      </c>
      <c r="M26" s="5"/>
      <c r="N26" s="5"/>
    </row>
    <row r="27" spans="2:40" s="4" customFormat="1" x14ac:dyDescent="0.2">
      <c r="B27" s="4" t="s">
        <v>86</v>
      </c>
      <c r="C27" s="5"/>
      <c r="D27" s="5"/>
      <c r="E27" s="5"/>
      <c r="F27" s="5"/>
      <c r="G27" s="5"/>
      <c r="H27" s="5"/>
      <c r="I27" s="5"/>
      <c r="J27" s="5"/>
      <c r="K27" s="5"/>
      <c r="L27" s="5">
        <v>51.052</v>
      </c>
      <c r="M27" s="5"/>
      <c r="N27" s="5"/>
    </row>
    <row r="28" spans="2:40" s="4" customFormat="1" x14ac:dyDescent="0.2">
      <c r="B28" s="4" t="s">
        <v>85</v>
      </c>
      <c r="C28" s="5"/>
      <c r="D28" s="5"/>
      <c r="E28" s="5"/>
      <c r="F28" s="5"/>
      <c r="G28" s="5"/>
      <c r="H28" s="5"/>
      <c r="I28" s="5"/>
      <c r="J28" s="5"/>
      <c r="K28" s="5"/>
      <c r="L28" s="5">
        <v>11.111000000000001</v>
      </c>
      <c r="M28" s="5"/>
      <c r="N28" s="5"/>
    </row>
    <row r="29" spans="2:40" s="4" customFormat="1" x14ac:dyDescent="0.2">
      <c r="B29" s="4" t="s">
        <v>84</v>
      </c>
      <c r="C29" s="5"/>
      <c r="D29" s="5"/>
      <c r="E29" s="5"/>
      <c r="F29" s="5"/>
      <c r="G29" s="5"/>
      <c r="H29" s="5"/>
      <c r="I29" s="5"/>
      <c r="J29" s="5"/>
      <c r="K29" s="5"/>
      <c r="L29" s="5">
        <f>SUM(L23:L28)</f>
        <v>863.28600000000006</v>
      </c>
      <c r="M29" s="5"/>
      <c r="N29" s="5"/>
    </row>
    <row r="30" spans="2:40" s="4" customFormat="1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2:40" s="4" customFormat="1" x14ac:dyDescent="0.2">
      <c r="B31" s="4" t="s">
        <v>83</v>
      </c>
      <c r="C31" s="5"/>
      <c r="D31" s="5"/>
      <c r="E31" s="5"/>
      <c r="F31" s="5"/>
      <c r="G31" s="5"/>
      <c r="H31" s="5"/>
      <c r="I31" s="5"/>
      <c r="J31" s="5"/>
      <c r="K31" s="5"/>
      <c r="L31" s="5">
        <v>93.573999999999998</v>
      </c>
      <c r="M31" s="5"/>
      <c r="N31" s="5"/>
    </row>
    <row r="32" spans="2:40" s="4" customFormat="1" x14ac:dyDescent="0.2">
      <c r="B32" s="4" t="s">
        <v>82</v>
      </c>
      <c r="C32" s="5"/>
      <c r="D32" s="5"/>
      <c r="E32" s="5"/>
      <c r="F32" s="5"/>
      <c r="G32" s="5"/>
      <c r="H32" s="5"/>
      <c r="I32" s="5"/>
      <c r="J32" s="5"/>
      <c r="K32" s="5"/>
      <c r="L32" s="5">
        <f>34.14+63.838</f>
        <v>97.978000000000009</v>
      </c>
      <c r="M32" s="5"/>
      <c r="N32" s="5"/>
    </row>
    <row r="33" spans="2:14" s="4" customFormat="1" x14ac:dyDescent="0.2">
      <c r="B33" s="4" t="s">
        <v>81</v>
      </c>
      <c r="C33" s="5"/>
      <c r="D33" s="5"/>
      <c r="E33" s="5"/>
      <c r="F33" s="5"/>
      <c r="G33" s="5"/>
      <c r="H33" s="5"/>
      <c r="I33" s="5"/>
      <c r="J33" s="5"/>
      <c r="K33" s="5"/>
      <c r="L33" s="5">
        <v>3.21</v>
      </c>
      <c r="M33" s="5"/>
      <c r="N33" s="5"/>
    </row>
    <row r="34" spans="2:14" s="4" customFormat="1" x14ac:dyDescent="0.2">
      <c r="B34" s="4" t="s">
        <v>80</v>
      </c>
      <c r="C34" s="5"/>
      <c r="D34" s="5"/>
      <c r="E34" s="5"/>
      <c r="F34" s="5"/>
      <c r="G34" s="5"/>
      <c r="H34" s="5"/>
      <c r="I34" s="5"/>
      <c r="J34" s="5"/>
      <c r="K34" s="5"/>
      <c r="L34" s="5">
        <v>668.524</v>
      </c>
      <c r="M34" s="5"/>
      <c r="N34" s="5"/>
    </row>
    <row r="35" spans="2:14" s="4" customFormat="1" x14ac:dyDescent="0.2">
      <c r="B35" s="4" t="s">
        <v>79</v>
      </c>
      <c r="C35" s="5"/>
      <c r="D35" s="5"/>
      <c r="E35" s="5"/>
      <c r="F35" s="5"/>
      <c r="G35" s="5"/>
      <c r="H35" s="5"/>
      <c r="I35" s="5"/>
      <c r="J35" s="5"/>
      <c r="K35" s="5"/>
      <c r="L35" s="5">
        <f>SUM(L31:L34)</f>
        <v>863.28600000000006</v>
      </c>
      <c r="M35" s="5"/>
      <c r="N35" s="5"/>
    </row>
  </sheetData>
  <hyperlinks>
    <hyperlink ref="A1" location="Main!A1" display="Main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3" t="s">
        <v>7</v>
      </c>
    </row>
    <row r="2" spans="1:3" x14ac:dyDescent="0.2">
      <c r="B2" t="s">
        <v>63</v>
      </c>
      <c r="C2" t="s">
        <v>34</v>
      </c>
    </row>
    <row r="3" spans="1:3" x14ac:dyDescent="0.2">
      <c r="B3" t="s">
        <v>64</v>
      </c>
      <c r="C3" t="s">
        <v>38</v>
      </c>
    </row>
    <row r="4" spans="1:3" x14ac:dyDescent="0.2">
      <c r="B4" t="s">
        <v>39</v>
      </c>
      <c r="C4" t="s">
        <v>66</v>
      </c>
    </row>
    <row r="5" spans="1:3" x14ac:dyDescent="0.2">
      <c r="B5" t="s">
        <v>43</v>
      </c>
      <c r="C5" t="s">
        <v>67</v>
      </c>
    </row>
    <row r="6" spans="1:3" x14ac:dyDescent="0.2">
      <c r="B6" t="s">
        <v>37</v>
      </c>
    </row>
    <row r="7" spans="1:3" x14ac:dyDescent="0.2">
      <c r="B7" t="s">
        <v>65</v>
      </c>
    </row>
    <row r="8" spans="1:3" x14ac:dyDescent="0.2">
      <c r="C8" s="24" t="s">
        <v>69</v>
      </c>
    </row>
    <row r="9" spans="1:3" x14ac:dyDescent="0.2">
      <c r="C9" t="s">
        <v>68</v>
      </c>
    </row>
    <row r="11" spans="1:3" x14ac:dyDescent="0.2">
      <c r="C11" s="24" t="s">
        <v>70</v>
      </c>
    </row>
    <row r="12" spans="1:3" x14ac:dyDescent="0.2">
      <c r="C12" t="s">
        <v>71</v>
      </c>
    </row>
    <row r="14" spans="1:3" x14ac:dyDescent="0.2">
      <c r="C14" s="24" t="s">
        <v>72</v>
      </c>
    </row>
    <row r="16" spans="1:3" x14ac:dyDescent="0.2">
      <c r="C16" s="24" t="s">
        <v>73</v>
      </c>
    </row>
    <row r="17" spans="3:3" x14ac:dyDescent="0.2">
      <c r="C17" s="25" t="s">
        <v>74</v>
      </c>
    </row>
    <row r="19" spans="3:3" x14ac:dyDescent="0.2">
      <c r="C19" s="24" t="s">
        <v>92</v>
      </c>
    </row>
  </sheetData>
  <hyperlinks>
    <hyperlink ref="A1" location="Main!A1" display="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Adcetris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2016-09-01T02:24:18Z</dcterms:created>
  <dcterms:modified xsi:type="dcterms:W3CDTF">2016-09-01T03:20:17Z</dcterms:modified>
</cp:coreProperties>
</file>