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255" windowHeight="12150" activeTab="1"/>
  </bookViews>
  <sheets>
    <sheet name="Main" sheetId="1" r:id="rId1"/>
    <sheet name="Model" sheetId="2" r:id="rId2"/>
    <sheet name="Model Reviews" sheetId="4" r:id="rId3"/>
    <sheet name="USP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2" l="1"/>
  <c r="K22" i="2"/>
  <c r="K21" i="2"/>
  <c r="K17" i="2"/>
  <c r="X4" i="2" l="1"/>
  <c r="N17" i="3"/>
  <c r="N13" i="3"/>
  <c r="N14" i="3"/>
  <c r="J32" i="2"/>
  <c r="R30" i="2" l="1"/>
  <c r="J8" i="2" l="1"/>
  <c r="S33" i="2"/>
  <c r="R33" i="2"/>
  <c r="Q33" i="2"/>
  <c r="T32" i="2"/>
  <c r="S32" i="2"/>
  <c r="R32" i="2"/>
  <c r="Q32" i="2"/>
  <c r="R23" i="2"/>
  <c r="Q26" i="2"/>
  <c r="Q27" i="2" s="1"/>
  <c r="Q24" i="2"/>
  <c r="T21" i="2"/>
  <c r="T22" i="2" s="1"/>
  <c r="T24" i="2" s="1"/>
  <c r="T26" i="2" s="1"/>
  <c r="T27" i="2" s="1"/>
  <c r="S21" i="2"/>
  <c r="S22" i="2" s="1"/>
  <c r="S24" i="2" s="1"/>
  <c r="S26" i="2" s="1"/>
  <c r="S27" i="2" s="1"/>
  <c r="R21" i="2"/>
  <c r="R22" i="2" s="1"/>
  <c r="Q21" i="2"/>
  <c r="Q22" i="2" s="1"/>
  <c r="T17" i="2"/>
  <c r="S17" i="2"/>
  <c r="R17" i="2"/>
  <c r="Q17" i="2"/>
  <c r="T55" i="2"/>
  <c r="S55" i="2"/>
  <c r="R55" i="2"/>
  <c r="Q55" i="2"/>
  <c r="S30" i="2"/>
  <c r="Q15" i="2"/>
  <c r="S15" i="2"/>
  <c r="R15" i="2"/>
  <c r="K24" i="3"/>
  <c r="J24" i="3"/>
  <c r="I24" i="3"/>
  <c r="L24" i="3"/>
  <c r="L23" i="3"/>
  <c r="K23" i="3"/>
  <c r="J23" i="3"/>
  <c r="I23" i="3"/>
  <c r="L21" i="3"/>
  <c r="K21" i="3"/>
  <c r="J21" i="3"/>
  <c r="I21" i="3"/>
  <c r="H21" i="3"/>
  <c r="G21" i="3"/>
  <c r="F21" i="3"/>
  <c r="E21" i="3"/>
  <c r="D21" i="3"/>
  <c r="C21" i="3"/>
  <c r="C8" i="2"/>
  <c r="D8" i="2"/>
  <c r="E8" i="2"/>
  <c r="F8" i="2"/>
  <c r="G8" i="2"/>
  <c r="H8" i="2"/>
  <c r="I8" i="2"/>
  <c r="J35" i="2"/>
  <c r="J51" i="2"/>
  <c r="J49" i="2"/>
  <c r="J47" i="2"/>
  <c r="J43" i="2"/>
  <c r="J40" i="2"/>
  <c r="J36" i="2"/>
  <c r="C8" i="3"/>
  <c r="AE28" i="2"/>
  <c r="AF28" i="2" s="1"/>
  <c r="AD28" i="2"/>
  <c r="L19" i="2"/>
  <c r="M19" i="2" s="1"/>
  <c r="N19" i="2" s="1"/>
  <c r="L20" i="2"/>
  <c r="M20" i="2" s="1"/>
  <c r="N20" i="2" s="1"/>
  <c r="AC28" i="2"/>
  <c r="Z28" i="2"/>
  <c r="AA28" i="2" s="1"/>
  <c r="AB28" i="2" s="1"/>
  <c r="Y28" i="2"/>
  <c r="Y23" i="2"/>
  <c r="L10" i="2"/>
  <c r="M10" i="2" s="1"/>
  <c r="N10" i="2" s="1"/>
  <c r="X18" i="2"/>
  <c r="Y18" i="2" s="1"/>
  <c r="Z18" i="2" s="1"/>
  <c r="AA18" i="2" s="1"/>
  <c r="AB18" i="2" s="1"/>
  <c r="AC18" i="2" s="1"/>
  <c r="AD18" i="2" s="1"/>
  <c r="AE18" i="2" s="1"/>
  <c r="AF18" i="2" s="1"/>
  <c r="L14" i="2"/>
  <c r="M14" i="2" s="1"/>
  <c r="N14" i="2" s="1"/>
  <c r="L13" i="2"/>
  <c r="M13" i="2" s="1"/>
  <c r="N13" i="2" s="1"/>
  <c r="L11" i="2"/>
  <c r="M11" i="2" s="1"/>
  <c r="N11" i="2" s="1"/>
  <c r="X23" i="2"/>
  <c r="L28" i="2"/>
  <c r="M28" i="2" s="1"/>
  <c r="N28" i="2" s="1"/>
  <c r="L18" i="2"/>
  <c r="M18" i="2" s="1"/>
  <c r="N18" i="2" s="1"/>
  <c r="K18" i="3"/>
  <c r="J18" i="3"/>
  <c r="I18" i="3"/>
  <c r="H18" i="3"/>
  <c r="G18" i="3"/>
  <c r="F18" i="3"/>
  <c r="E18" i="3"/>
  <c r="D18" i="3"/>
  <c r="L18" i="3"/>
  <c r="L15" i="3"/>
  <c r="K15" i="3"/>
  <c r="J15" i="3"/>
  <c r="I15" i="3"/>
  <c r="H15" i="3"/>
  <c r="G15" i="3"/>
  <c r="F15" i="3"/>
  <c r="E15" i="3"/>
  <c r="D15" i="3"/>
  <c r="D12" i="3"/>
  <c r="E12" i="3" s="1"/>
  <c r="F12" i="3" s="1"/>
  <c r="G12" i="3" s="1"/>
  <c r="H12" i="3" s="1"/>
  <c r="I12" i="3" s="1"/>
  <c r="J12" i="3" s="1"/>
  <c r="K12" i="3" s="1"/>
  <c r="L12" i="3" s="1"/>
  <c r="V5" i="2"/>
  <c r="W5" i="2"/>
  <c r="W3" i="2"/>
  <c r="I7" i="2"/>
  <c r="H7" i="2"/>
  <c r="G7" i="2"/>
  <c r="F7" i="2"/>
  <c r="E7" i="2"/>
  <c r="D7" i="2"/>
  <c r="C7" i="2"/>
  <c r="J7" i="2"/>
  <c r="W30" i="2"/>
  <c r="V30" i="2"/>
  <c r="U30" i="2"/>
  <c r="T30" i="2"/>
  <c r="C33" i="2"/>
  <c r="C32" i="2"/>
  <c r="C21" i="2"/>
  <c r="C15" i="2"/>
  <c r="C17" i="2" s="1"/>
  <c r="G21" i="2"/>
  <c r="G15" i="2"/>
  <c r="G17" i="2" s="1"/>
  <c r="D33" i="2"/>
  <c r="D32" i="2"/>
  <c r="D21" i="2"/>
  <c r="D15" i="2"/>
  <c r="D17" i="2" s="1"/>
  <c r="H21" i="2"/>
  <c r="H15" i="2"/>
  <c r="E33" i="2"/>
  <c r="E32" i="2"/>
  <c r="E21" i="2"/>
  <c r="E15" i="2"/>
  <c r="E17" i="2" s="1"/>
  <c r="I33" i="2"/>
  <c r="I32" i="2"/>
  <c r="I21" i="2"/>
  <c r="I15" i="2"/>
  <c r="I17" i="2" s="1"/>
  <c r="J30" i="2"/>
  <c r="F33" i="2"/>
  <c r="F32" i="2"/>
  <c r="F21" i="2"/>
  <c r="F15" i="2"/>
  <c r="F17" i="2" s="1"/>
  <c r="J23" i="2"/>
  <c r="J21" i="2"/>
  <c r="J15" i="2"/>
  <c r="J17" i="2" s="1"/>
  <c r="W55" i="2"/>
  <c r="V55" i="2"/>
  <c r="U55" i="2"/>
  <c r="V33" i="2"/>
  <c r="U33" i="2"/>
  <c r="U32" i="2"/>
  <c r="W32" i="2"/>
  <c r="V32" i="2"/>
  <c r="U26" i="2"/>
  <c r="U27" i="2" s="1"/>
  <c r="V24" i="2"/>
  <c r="V26" i="2" s="1"/>
  <c r="V27" i="2" s="1"/>
  <c r="U24" i="2"/>
  <c r="W23" i="2"/>
  <c r="W22" i="2"/>
  <c r="W33" i="2" s="1"/>
  <c r="V22" i="2"/>
  <c r="U22" i="2"/>
  <c r="W21" i="2"/>
  <c r="V21" i="2"/>
  <c r="U21" i="2"/>
  <c r="W17" i="2"/>
  <c r="V17" i="2"/>
  <c r="U17" i="2"/>
  <c r="W15" i="2"/>
  <c r="V15" i="2"/>
  <c r="U15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U2" i="2"/>
  <c r="L6" i="1"/>
  <c r="L5" i="1"/>
  <c r="L4" i="1"/>
  <c r="L7" i="1" s="1"/>
  <c r="T33" i="2" l="1"/>
  <c r="R24" i="2"/>
  <c r="R26" i="2" s="1"/>
  <c r="R27" i="2" s="1"/>
  <c r="K15" i="2"/>
  <c r="K32" i="2" s="1"/>
  <c r="L12" i="2"/>
  <c r="M12" i="2" s="1"/>
  <c r="N12" i="2" s="1"/>
  <c r="N15" i="2" s="1"/>
  <c r="W24" i="2"/>
  <c r="W26" i="2" s="1"/>
  <c r="W27" i="2" s="1"/>
  <c r="C22" i="2"/>
  <c r="C24" i="2" s="1"/>
  <c r="C26" i="2" s="1"/>
  <c r="C27" i="2" s="1"/>
  <c r="G30" i="2"/>
  <c r="G32" i="2"/>
  <c r="G22" i="2"/>
  <c r="D22" i="2"/>
  <c r="D24" i="2" s="1"/>
  <c r="D26" i="2" s="1"/>
  <c r="D27" i="2" s="1"/>
  <c r="H30" i="2"/>
  <c r="H17" i="2"/>
  <c r="E22" i="2"/>
  <c r="E24" i="2" s="1"/>
  <c r="E26" i="2" s="1"/>
  <c r="E27" i="2" s="1"/>
  <c r="I30" i="2"/>
  <c r="I22" i="2"/>
  <c r="I24" i="2" s="1"/>
  <c r="I26" i="2" s="1"/>
  <c r="I27" i="2" s="1"/>
  <c r="F22" i="2"/>
  <c r="F24" i="2" s="1"/>
  <c r="F26" i="2" s="1"/>
  <c r="F27" i="2" s="1"/>
  <c r="J22" i="2"/>
  <c r="N17" i="2" l="1"/>
  <c r="N5" i="2"/>
  <c r="K30" i="2"/>
  <c r="K5" i="2"/>
  <c r="M15" i="2"/>
  <c r="M30" i="2" s="1"/>
  <c r="L15" i="2"/>
  <c r="L5" i="2" s="1"/>
  <c r="L21" i="2"/>
  <c r="X20" i="2"/>
  <c r="Y20" i="2" s="1"/>
  <c r="Z20" i="2" s="1"/>
  <c r="AA20" i="2" s="1"/>
  <c r="AB20" i="2" s="1"/>
  <c r="AC20" i="2" s="1"/>
  <c r="AD20" i="2" s="1"/>
  <c r="M21" i="2"/>
  <c r="N30" i="2"/>
  <c r="K24" i="2"/>
  <c r="X15" i="2"/>
  <c r="N32" i="2"/>
  <c r="N16" i="2"/>
  <c r="J24" i="2"/>
  <c r="J26" i="2" s="1"/>
  <c r="J27" i="2" s="1"/>
  <c r="J33" i="2"/>
  <c r="G24" i="2"/>
  <c r="G26" i="2" s="1"/>
  <c r="G27" i="2" s="1"/>
  <c r="G33" i="2"/>
  <c r="H32" i="2"/>
  <c r="H22" i="2"/>
  <c r="M17" i="2" l="1"/>
  <c r="M5" i="2"/>
  <c r="X30" i="2"/>
  <c r="Y15" i="2"/>
  <c r="M22" i="2"/>
  <c r="M24" i="2" s="1"/>
  <c r="M25" i="2" s="1"/>
  <c r="X5" i="2"/>
  <c r="X6" i="2" s="1"/>
  <c r="L17" i="2"/>
  <c r="L32" i="2" s="1"/>
  <c r="L30" i="2"/>
  <c r="AE20" i="2"/>
  <c r="K33" i="2"/>
  <c r="N21" i="2"/>
  <c r="N22" i="2" s="1"/>
  <c r="X19" i="2"/>
  <c r="K26" i="2"/>
  <c r="H33" i="2"/>
  <c r="H24" i="2"/>
  <c r="H26" i="2" s="1"/>
  <c r="H27" i="2" s="1"/>
  <c r="M33" i="2" l="1"/>
  <c r="Y30" i="2"/>
  <c r="Z15" i="2"/>
  <c r="M32" i="2"/>
  <c r="M16" i="2"/>
  <c r="L16" i="2"/>
  <c r="X16" i="2" s="1"/>
  <c r="X17" i="2" s="1"/>
  <c r="X32" i="2" s="1"/>
  <c r="L22" i="2"/>
  <c r="K27" i="2"/>
  <c r="K35" i="2"/>
  <c r="AF20" i="2"/>
  <c r="X21" i="2"/>
  <c r="Y19" i="2"/>
  <c r="N24" i="2"/>
  <c r="N25" i="2" s="1"/>
  <c r="N26" i="2" s="1"/>
  <c r="N27" i="2" s="1"/>
  <c r="N33" i="2"/>
  <c r="Y17" i="2"/>
  <c r="M26" i="2"/>
  <c r="M27" i="2" s="1"/>
  <c r="X22" i="2" l="1"/>
  <c r="Z30" i="2"/>
  <c r="AA15" i="2"/>
  <c r="L33" i="2"/>
  <c r="L24" i="2"/>
  <c r="L25" i="2" s="1"/>
  <c r="L26" i="2" s="1"/>
  <c r="L27" i="2" s="1"/>
  <c r="Y16" i="2"/>
  <c r="Y32" i="2"/>
  <c r="Z19" i="2"/>
  <c r="Y21" i="2"/>
  <c r="Y22" i="2" s="1"/>
  <c r="X24" i="2"/>
  <c r="X33" i="2"/>
  <c r="Z17" i="2"/>
  <c r="AA30" i="2" l="1"/>
  <c r="AB15" i="2"/>
  <c r="AC15" i="2" s="1"/>
  <c r="AD15" i="2" s="1"/>
  <c r="Z16" i="2"/>
  <c r="Z32" i="2"/>
  <c r="L35" i="2"/>
  <c r="M35" i="2" s="1"/>
  <c r="N35" i="2" s="1"/>
  <c r="X35" i="2" s="1"/>
  <c r="Y24" i="2"/>
  <c r="Y25" i="2" s="1"/>
  <c r="Y26" i="2" s="1"/>
  <c r="Y33" i="2"/>
  <c r="AA19" i="2"/>
  <c r="Z21" i="2"/>
  <c r="Z22" i="2" s="1"/>
  <c r="AA17" i="2"/>
  <c r="X25" i="2"/>
  <c r="X26" i="2" s="1"/>
  <c r="AD30" i="2" l="1"/>
  <c r="AE15" i="2"/>
  <c r="AD17" i="2"/>
  <c r="AD32" i="2" s="1"/>
  <c r="AA16" i="2"/>
  <c r="AA32" i="2"/>
  <c r="Y27" i="2"/>
  <c r="Y35" i="2"/>
  <c r="Z23" i="2" s="1"/>
  <c r="Z24" i="2" s="1"/>
  <c r="Z25" i="2" s="1"/>
  <c r="Z26" i="2" s="1"/>
  <c r="Z33" i="2"/>
  <c r="AB19" i="2"/>
  <c r="AA21" i="2"/>
  <c r="AA22" i="2" s="1"/>
  <c r="X27" i="2"/>
  <c r="AB17" i="2"/>
  <c r="AB30" i="2"/>
  <c r="AE17" i="2" l="1"/>
  <c r="AE32" i="2" s="1"/>
  <c r="AE30" i="2"/>
  <c r="AF15" i="2"/>
  <c r="AE16" i="2"/>
  <c r="AD16" i="2"/>
  <c r="AB16" i="2"/>
  <c r="AB32" i="2"/>
  <c r="Z27" i="2"/>
  <c r="Z35" i="2"/>
  <c r="AA23" i="2" s="1"/>
  <c r="AA33" i="2"/>
  <c r="AC19" i="2"/>
  <c r="AB21" i="2"/>
  <c r="AB22" i="2" s="1"/>
  <c r="AC17" i="2"/>
  <c r="AC30" i="2"/>
  <c r="AF17" i="2" l="1"/>
  <c r="AF32" i="2" s="1"/>
  <c r="AF30" i="2"/>
  <c r="AF16" i="2"/>
  <c r="AC21" i="2"/>
  <c r="AC22" i="2" s="1"/>
  <c r="AD19" i="2"/>
  <c r="AA24" i="2"/>
  <c r="AA25" i="2" s="1"/>
  <c r="AA26" i="2" s="1"/>
  <c r="AB33" i="2"/>
  <c r="AC16" i="2"/>
  <c r="AC32" i="2"/>
  <c r="AA27" i="2" l="1"/>
  <c r="AE19" i="2"/>
  <c r="AD21" i="2"/>
  <c r="AD22" i="2" s="1"/>
  <c r="AD33" i="2" s="1"/>
  <c r="AA35" i="2"/>
  <c r="AB23" i="2" s="1"/>
  <c r="AC33" i="2"/>
  <c r="AF19" i="2" l="1"/>
  <c r="AF21" i="2" s="1"/>
  <c r="AF22" i="2" s="1"/>
  <c r="AF33" i="2" s="1"/>
  <c r="AE21" i="2"/>
  <c r="AE22" i="2" s="1"/>
  <c r="AE33" i="2" s="1"/>
  <c r="AB24" i="2"/>
  <c r="AB25" i="2" s="1"/>
  <c r="AB26" i="2" s="1"/>
  <c r="AB27" i="2" l="1"/>
  <c r="AB35" i="2"/>
  <c r="AC23" i="2" s="1"/>
  <c r="AC24" i="2" l="1"/>
  <c r="AC25" i="2" s="1"/>
  <c r="AC26" i="2" s="1"/>
  <c r="AC27" i="2" l="1"/>
  <c r="AC35" i="2"/>
  <c r="AD23" i="2" s="1"/>
  <c r="AD24" i="2" l="1"/>
  <c r="AD25" i="2" s="1"/>
  <c r="AD26" i="2" s="1"/>
  <c r="AD27" i="2" l="1"/>
  <c r="AD35" i="2"/>
  <c r="AE23" i="2" s="1"/>
  <c r="AE24" i="2" l="1"/>
  <c r="AE25" i="2" s="1"/>
  <c r="AE26" i="2" s="1"/>
  <c r="AE27" i="2" l="1"/>
  <c r="AE35" i="2"/>
  <c r="AF23" i="2" s="1"/>
  <c r="AF24" i="2" l="1"/>
  <c r="AF25" i="2" s="1"/>
  <c r="AF26" i="2" s="1"/>
  <c r="AF35" i="2" s="1"/>
  <c r="AF27" i="2" l="1"/>
  <c r="AG26" i="2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AJ32" i="2" s="1"/>
  <c r="AJ33" i="2" s="1"/>
  <c r="AJ34" i="2" l="1"/>
  <c r="AJ36" i="2" s="1"/>
</calcChain>
</file>

<file path=xl/comments1.xml><?xml version="1.0" encoding="utf-8"?>
<comments xmlns="http://schemas.openxmlformats.org/spreadsheetml/2006/main">
  <authors>
    <author>Martin Shkreli</author>
  </authors>
  <commentList>
    <comment ref="W3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annualizing 9 month performance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USPS online revenue of 1050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Closed Endicia 11/18/15</t>
        </r>
      </text>
    </comment>
    <comment ref="X15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290-310m guidance in Q415
310m-330m guidance in Q115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Shipstation</t>
        </r>
      </text>
    </comment>
  </commentList>
</comments>
</file>

<file path=xl/sharedStrings.xml><?xml version="1.0" encoding="utf-8"?>
<sst xmlns="http://schemas.openxmlformats.org/spreadsheetml/2006/main" count="171" uniqueCount="147">
  <si>
    <t>Price</t>
  </si>
  <si>
    <t>Shares</t>
  </si>
  <si>
    <t>MC</t>
  </si>
  <si>
    <t>Cash</t>
  </si>
  <si>
    <t>Debt</t>
  </si>
  <si>
    <t>EV</t>
  </si>
  <si>
    <t>Main</t>
  </si>
  <si>
    <t>Service</t>
  </si>
  <si>
    <t>Product</t>
  </si>
  <si>
    <t>Insurance</t>
  </si>
  <si>
    <t>Custom</t>
  </si>
  <si>
    <t>Other</t>
  </si>
  <si>
    <t>Revenue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</si>
  <si>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</si>
  <si>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</si>
  <si>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</si>
  <si>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</si>
  <si>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</si>
  <si>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</si>
  <si>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</si>
  <si>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</si>
  <si>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</si>
  <si>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</si>
  <si>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</si>
  <si>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</si>
  <si>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</si>
  <si>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</si>
  <si>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</si>
  <si>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</si>
  <si>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</si>
  <si>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</si>
  <si>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</si>
  <si>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</si>
  <si>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</si>
  <si>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</si>
  <si>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</si>
  <si>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</si>
  <si>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Growth</t>
  </si>
  <si>
    <t>Gross Margin</t>
  </si>
  <si>
    <t>Operating Margin</t>
  </si>
  <si>
    <t>CFFO</t>
  </si>
  <si>
    <t>CapEx</t>
  </si>
  <si>
    <t>FCF</t>
  </si>
  <si>
    <t>Endicia</t>
  </si>
  <si>
    <t>ShipStation</t>
  </si>
  <si>
    <t>ShipWorks</t>
  </si>
  <si>
    <t>11/18/15: Acquired Endicia from NWL for $215m, with 2014 revenue of $59m.</t>
  </si>
  <si>
    <t>Customers</t>
  </si>
  <si>
    <t>ARPU</t>
  </si>
  <si>
    <t>Competition</t>
  </si>
  <si>
    <t>Express1, PBI, USPS</t>
  </si>
  <si>
    <t>6/10/14: Acquired Auctane (ShipStation) for $50m cash/contingent stock.</t>
  </si>
  <si>
    <t>8/29/14: Acquired Interapptive (ShipWorks) for $22m cash.</t>
  </si>
  <si>
    <t>High-Volume</t>
  </si>
  <si>
    <t>Neopost, Datapac, Hasler</t>
  </si>
  <si>
    <t>2014 USPS deliveries</t>
  </si>
  <si>
    <t>2015 Revenue</t>
  </si>
  <si>
    <t>Retail Revenue</t>
  </si>
  <si>
    <t>STMP Postage</t>
  </si>
  <si>
    <t>ClickNShip Revenue</t>
  </si>
  <si>
    <t>First Class Volume</t>
  </si>
  <si>
    <t>Maturity</t>
  </si>
  <si>
    <t>Discount</t>
  </si>
  <si>
    <t>NPV</t>
  </si>
  <si>
    <t>tNPV</t>
  </si>
  <si>
    <t>Share</t>
  </si>
  <si>
    <t>Net Cash</t>
  </si>
  <si>
    <t>2014 First Class Deliveries</t>
  </si>
  <si>
    <t>A/R</t>
  </si>
  <si>
    <t>OCA</t>
  </si>
  <si>
    <t>PP&amp;E</t>
  </si>
  <si>
    <t>Intangibles</t>
  </si>
  <si>
    <t>D/T</t>
  </si>
  <si>
    <t>OLTA</t>
  </si>
  <si>
    <t>Assets</t>
  </si>
  <si>
    <t>A/P</t>
  </si>
  <si>
    <t>D/R</t>
  </si>
  <si>
    <t>CoCo</t>
  </si>
  <si>
    <t>L</t>
  </si>
  <si>
    <t>S/E</t>
  </si>
  <si>
    <t>L+S/E</t>
  </si>
  <si>
    <t>ROIC</t>
  </si>
  <si>
    <t>STMP Revenue</t>
  </si>
  <si>
    <t>Postage Value</t>
  </si>
  <si>
    <t>Revenue/PV</t>
  </si>
  <si>
    <t>8% Fee</t>
  </si>
  <si>
    <t>USPS PV</t>
  </si>
  <si>
    <t>PBI revenue of 3.6BN</t>
  </si>
  <si>
    <t>Mail Volume</t>
  </si>
  <si>
    <t>Current</t>
  </si>
  <si>
    <t xml:space="preserve">Complete trash. Uses random multiple, does no primary research whatsoever. </t>
  </si>
  <si>
    <t>TRASH</t>
  </si>
  <si>
    <t>Gogy</t>
  </si>
  <si>
    <t>Brian</t>
  </si>
  <si>
    <t>Nice personal touch, but lack of excel skills, missing tax line (!!!) leads to poor grade</t>
  </si>
  <si>
    <t>C</t>
  </si>
  <si>
    <t>Jonathan</t>
  </si>
  <si>
    <t>No primary research, forecasting using arbitrary/random numbers, no 2016 quarterly forecasts</t>
  </si>
  <si>
    <t>Isaacs</t>
  </si>
  <si>
    <t>Forecasting has no basis in reality--company has been growing, why would it stop all of a sudden?</t>
  </si>
  <si>
    <t>D+</t>
  </si>
  <si>
    <t>Pavel</t>
  </si>
  <si>
    <t>No primary research, forecasting using arbitrary/random numbers</t>
  </si>
  <si>
    <t>D</t>
  </si>
  <si>
    <t>Henry</t>
  </si>
  <si>
    <t>Erroneous forecasts, not much primary research, not creative</t>
  </si>
  <si>
    <t>C+</t>
  </si>
  <si>
    <t>Filip</t>
  </si>
  <si>
    <t>Poor forecasting, but very nice Glassdoor addition</t>
  </si>
  <si>
    <t>B-</t>
  </si>
  <si>
    <t>Alexandros</t>
  </si>
  <si>
    <t>Too conservative -- if low growth assume low discount rate. Nice Pitney Bowes information.</t>
  </si>
  <si>
    <t>B+</t>
  </si>
  <si>
    <t>Flanagan</t>
  </si>
  <si>
    <t>Typo on the maturity rate! Discount Rate a little high</t>
  </si>
  <si>
    <t>B</t>
  </si>
  <si>
    <t>Stephen</t>
  </si>
  <si>
    <t>Pretty good, weird discount rate!</t>
  </si>
  <si>
    <t>Louis</t>
  </si>
  <si>
    <t>Great effort and lots of principles used but poor forecasting (guidance?) and lots of wasted space</t>
  </si>
  <si>
    <t>Jason</t>
  </si>
  <si>
    <t>Good attempt at primary research but a lot of fallacious conclusions. Poor formatting and strange choices for forecasting.</t>
  </si>
  <si>
    <t>Stanley</t>
  </si>
  <si>
    <t>Forgot about drones.</t>
  </si>
  <si>
    <t>A-</t>
  </si>
  <si>
    <t>Ak</t>
  </si>
  <si>
    <t>Unbelievable creativity with drones but unrealistic growth from 2016-drone time</t>
  </si>
  <si>
    <t>Haris</t>
  </si>
  <si>
    <t>3% growth at maturity unrealistic, no explanation of forecasts, ignored company guidance</t>
  </si>
  <si>
    <t>Zach</t>
  </si>
  <si>
    <t>Didn’t use company guidance, no attempt at explaining forecasts, some unrealistic/stupid assumptions</t>
  </si>
  <si>
    <t>Max</t>
  </si>
  <si>
    <t>No explanation for estimates, random use of EV/EBITDA multiple</t>
  </si>
  <si>
    <t>Frampton</t>
  </si>
  <si>
    <t xml:space="preserve">Poor formatting on the verge on making it unreadable, idiotic forecasting </t>
  </si>
  <si>
    <t>C-</t>
  </si>
  <si>
    <t>Calvin</t>
  </si>
  <si>
    <t>Garbage forecasts but congratulations on understanding what finance is</t>
  </si>
  <si>
    <t>Ben</t>
  </si>
  <si>
    <t>Words cannot describe this garbage</t>
  </si>
  <si>
    <t>TRUE TRASH</t>
  </si>
  <si>
    <t>Byron</t>
  </si>
  <si>
    <t>No NPV, wrong formula for change, revenue forecast = huh?</t>
  </si>
  <si>
    <t>F</t>
  </si>
  <si>
    <t>Jarod</t>
  </si>
  <si>
    <t>No information on USPS which would tell us WHY the trend towards printing stamps will continue?</t>
  </si>
  <si>
    <t>Vilhelm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</si>
</sst>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0" fillId="0" borderId="0" xfId="0" applyNumberFormat="1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1" fillId="0" borderId="0" xfId="0" applyNumberFormat="1" applyFont="1"/>
    <xf numFmtId="9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5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1" fillId="0" borderId="0" xfId="0" applyNumberFormat="1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</xdr:colOff>
      <xdr:row>0</xdr:row>
      <xdr:rowOff>0</xdr:rowOff>
    </xdr:from>
    <xdr:to>
      <xdr:col>23</xdr:col>
      <xdr:colOff>19050</xdr:colOff>
      <xdr:row>65</xdr:row>
      <xdr:rowOff>152400</xdr:rowOff>
    </xdr:to>
    <xdr:cxnSp macro="">
      <xdr:nvCxnSpPr>
        <xdr:cNvPr id="3" name="Straight Connector 2"/>
        <xdr:cNvCxnSpPr/>
      </xdr:nvCxnSpPr>
      <xdr:spPr>
        <a:xfrm>
          <a:off x="14697075" y="0"/>
          <a:ext cx="0" cy="1067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0</xdr:row>
      <xdr:rowOff>19050</xdr:rowOff>
    </xdr:from>
    <xdr:to>
      <xdr:col>11</xdr:col>
      <xdr:colOff>66675</xdr:colOff>
      <xdr:row>62</xdr:row>
      <xdr:rowOff>142875</xdr:rowOff>
    </xdr:to>
    <xdr:cxnSp macro="">
      <xdr:nvCxnSpPr>
        <xdr:cNvPr id="5" name="Straight Connector 4"/>
        <xdr:cNvCxnSpPr/>
      </xdr:nvCxnSpPr>
      <xdr:spPr>
        <a:xfrm>
          <a:off x="7096125" y="19050"/>
          <a:ext cx="0" cy="1016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Normal="100" workbookViewId="0">
      <selection activeCell="L3" sqref="L3"/>
    </sheetView>
  </sheetViews>
  <sheetFormatPr defaultRowHeight="12.75" x14ac:dyDescent="0.2"/>
  <cols>
    <col min="1" max="1" width="4" customWidth="1"/>
    <col min="2" max="2" width="12.28515625" customWidth="1"/>
    <col min="3" max="3" width="13.140625" customWidth="1"/>
    <col min="5" max="5" width="24.7109375" customWidth="1"/>
  </cols>
  <sheetData>
    <row r="2" spans="2:13" x14ac:dyDescent="0.2">
      <c r="B2" s="17"/>
      <c r="C2" s="18"/>
      <c r="D2" s="18"/>
      <c r="E2" s="23" t="s">
        <v>49</v>
      </c>
      <c r="F2" s="24"/>
      <c r="G2" s="25"/>
      <c r="K2" t="s">
        <v>0</v>
      </c>
      <c r="L2" s="1">
        <v>100</v>
      </c>
    </row>
    <row r="3" spans="2:13" x14ac:dyDescent="0.2">
      <c r="B3" s="13"/>
      <c r="C3" s="14"/>
      <c r="D3" s="14"/>
      <c r="E3" s="26" t="s">
        <v>50</v>
      </c>
      <c r="F3" s="26"/>
      <c r="G3" s="27"/>
      <c r="K3" t="s">
        <v>1</v>
      </c>
      <c r="L3" s="2">
        <v>16.712406999999999</v>
      </c>
      <c r="M3" s="3" t="s">
        <v>20</v>
      </c>
    </row>
    <row r="4" spans="2:13" x14ac:dyDescent="0.2">
      <c r="B4" s="13" t="s">
        <v>43</v>
      </c>
      <c r="C4" s="14" t="s">
        <v>53</v>
      </c>
      <c r="D4" s="14"/>
      <c r="E4" s="26" t="s">
        <v>54</v>
      </c>
      <c r="F4" s="26"/>
      <c r="G4" s="27"/>
      <c r="K4" t="s">
        <v>2</v>
      </c>
      <c r="L4" s="2">
        <f>+L3*L2</f>
        <v>1671.2406999999998</v>
      </c>
      <c r="M4" s="3"/>
    </row>
    <row r="5" spans="2:13" x14ac:dyDescent="0.2">
      <c r="B5" s="13" t="s">
        <v>44</v>
      </c>
      <c r="C5" s="14" t="s">
        <v>53</v>
      </c>
      <c r="D5" s="14"/>
      <c r="E5" s="26"/>
      <c r="F5" s="26"/>
      <c r="G5" s="27"/>
      <c r="K5" t="s">
        <v>3</v>
      </c>
      <c r="L5" s="2">
        <f>65.126+8.553+1.529</f>
        <v>75.207999999999998</v>
      </c>
      <c r="M5" s="3" t="s">
        <v>20</v>
      </c>
    </row>
    <row r="6" spans="2:13" x14ac:dyDescent="0.2">
      <c r="B6" s="13" t="s">
        <v>45</v>
      </c>
      <c r="C6" s="14" t="s">
        <v>53</v>
      </c>
      <c r="D6" s="14"/>
      <c r="E6" s="26"/>
      <c r="F6" s="26"/>
      <c r="G6" s="27"/>
      <c r="K6" t="s">
        <v>4</v>
      </c>
      <c r="L6" s="2">
        <f>157.353+4.267</f>
        <v>161.62</v>
      </c>
      <c r="M6" s="3" t="s">
        <v>20</v>
      </c>
    </row>
    <row r="7" spans="2:13" x14ac:dyDescent="0.2">
      <c r="B7" s="15"/>
      <c r="C7" s="16"/>
      <c r="D7" s="16"/>
      <c r="E7" s="28"/>
      <c r="F7" s="28"/>
      <c r="G7" s="29"/>
      <c r="K7" t="s">
        <v>5</v>
      </c>
      <c r="L7" s="2">
        <f>+L4-L5+L6</f>
        <v>1757.6526999999996</v>
      </c>
    </row>
    <row r="9" spans="2:13" x14ac:dyDescent="0.2">
      <c r="B9" s="4" t="s">
        <v>87</v>
      </c>
    </row>
    <row r="14" spans="2:13" x14ac:dyDescent="0.2">
      <c r="B14" t="s">
        <v>46</v>
      </c>
    </row>
    <row r="15" spans="2:13" x14ac:dyDescent="0.2">
      <c r="B15" t="s">
        <v>52</v>
      </c>
    </row>
    <row r="16" spans="2:13" x14ac:dyDescent="0.2">
      <c r="B1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55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X17" sqref="X17"/>
    </sheetView>
  </sheetViews>
  <sheetFormatPr defaultRowHeight="12.75" x14ac:dyDescent="0.2"/>
  <cols>
    <col min="1" max="1" width="5" bestFit="1" customWidth="1"/>
    <col min="2" max="2" width="18.140625" bestFit="1" customWidth="1"/>
    <col min="3" max="16" width="9.140625" style="3"/>
    <col min="17" max="24" width="9.85546875" style="3" customWidth="1"/>
    <col min="25" max="43" width="9.140625" style="3"/>
  </cols>
  <sheetData>
    <row r="1" spans="1:43" x14ac:dyDescent="0.2">
      <c r="A1" s="11" t="s">
        <v>6</v>
      </c>
    </row>
    <row r="2" spans="1:43" x14ac:dyDescent="0.2"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P2" s="3">
        <v>2008</v>
      </c>
      <c r="Q2" s="3">
        <v>2009</v>
      </c>
      <c r="R2" s="3">
        <v>2010</v>
      </c>
      <c r="S2" s="3">
        <v>2011</v>
      </c>
      <c r="T2" s="3">
        <v>2012</v>
      </c>
      <c r="U2" s="3">
        <f>+T2+1</f>
        <v>2013</v>
      </c>
      <c r="V2" s="3">
        <f t="shared" ref="V2:AF2" si="0">+U2+1</f>
        <v>2014</v>
      </c>
      <c r="W2" s="3">
        <f t="shared" si="0"/>
        <v>2015</v>
      </c>
      <c r="X2" s="3">
        <f t="shared" si="0"/>
        <v>2016</v>
      </c>
      <c r="Y2" s="3">
        <f t="shared" si="0"/>
        <v>2017</v>
      </c>
      <c r="Z2" s="3">
        <f t="shared" si="0"/>
        <v>2018</v>
      </c>
      <c r="AA2" s="3">
        <f t="shared" si="0"/>
        <v>2019</v>
      </c>
      <c r="AB2" s="3">
        <f t="shared" si="0"/>
        <v>2020</v>
      </c>
      <c r="AC2" s="3">
        <f t="shared" si="0"/>
        <v>2021</v>
      </c>
      <c r="AD2" s="3">
        <f t="shared" si="0"/>
        <v>2022</v>
      </c>
      <c r="AE2" s="3">
        <f t="shared" si="0"/>
        <v>2023</v>
      </c>
      <c r="AF2" s="3">
        <f t="shared" si="0"/>
        <v>2024</v>
      </c>
    </row>
    <row r="3" spans="1:43" x14ac:dyDescent="0.2">
      <c r="B3" t="s">
        <v>43</v>
      </c>
      <c r="V3" s="7">
        <v>58.512999999999998</v>
      </c>
      <c r="W3" s="7">
        <f>48.194/3*4</f>
        <v>64.25866666666667</v>
      </c>
    </row>
    <row r="4" spans="1:43" x14ac:dyDescent="0.2">
      <c r="B4" t="s">
        <v>86</v>
      </c>
      <c r="V4" s="7"/>
      <c r="W4" s="12">
        <v>68800000</v>
      </c>
      <c r="X4" s="12">
        <f>+W4*0.95</f>
        <v>65360000</v>
      </c>
    </row>
    <row r="5" spans="1:43" s="2" customFormat="1" x14ac:dyDescent="0.2">
      <c r="B5" s="2" t="s">
        <v>83</v>
      </c>
      <c r="C5" s="12">
        <v>391741</v>
      </c>
      <c r="D5" s="12">
        <v>370745</v>
      </c>
      <c r="E5" s="12">
        <v>394324</v>
      </c>
      <c r="F5" s="12">
        <v>613263</v>
      </c>
      <c r="G5" s="12">
        <v>553646</v>
      </c>
      <c r="H5" s="12">
        <v>548419</v>
      </c>
      <c r="I5" s="12">
        <v>547422</v>
      </c>
      <c r="J5" s="12">
        <v>1027030</v>
      </c>
      <c r="K5" s="12">
        <f>+K15/K8*1000</f>
        <v>1169100</v>
      </c>
      <c r="L5" s="12">
        <f t="shared" ref="L5:N5" si="1">+L15/L8*1000</f>
        <v>1214814.2857142854</v>
      </c>
      <c r="M5" s="12">
        <f t="shared" si="1"/>
        <v>1260528.5714285711</v>
      </c>
      <c r="N5" s="12">
        <f t="shared" si="1"/>
        <v>1344661.7647058822</v>
      </c>
      <c r="O5" s="12"/>
      <c r="P5" s="12"/>
      <c r="Q5" s="12"/>
      <c r="R5" s="12"/>
      <c r="S5" s="12"/>
      <c r="T5" s="12"/>
      <c r="U5" s="12"/>
      <c r="V5" s="12">
        <f>SUM(C5:F5)</f>
        <v>1770073</v>
      </c>
      <c r="W5" s="12">
        <f>SUM(G5:J5)</f>
        <v>2676517</v>
      </c>
      <c r="X5" s="12">
        <f>SUM(K5:N5)</f>
        <v>4989104.6218487388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x14ac:dyDescent="0.2">
      <c r="B6" t="s">
        <v>47</v>
      </c>
      <c r="C6" s="3">
        <v>506</v>
      </c>
      <c r="D6" s="3">
        <v>505</v>
      </c>
      <c r="E6" s="3">
        <v>512</v>
      </c>
      <c r="F6" s="3">
        <v>525</v>
      </c>
      <c r="G6" s="3">
        <v>557</v>
      </c>
      <c r="H6" s="3">
        <v>565</v>
      </c>
      <c r="I6" s="3">
        <v>569</v>
      </c>
      <c r="J6" s="3">
        <v>633</v>
      </c>
      <c r="X6" s="10">
        <f>+X5/X4</f>
        <v>7.6332690052765287E-2</v>
      </c>
    </row>
    <row r="7" spans="1:43" x14ac:dyDescent="0.2">
      <c r="B7" t="s">
        <v>48</v>
      </c>
      <c r="C7" s="5">
        <f t="shared" ref="C7:I7" si="2">C15*1000/C6</f>
        <v>65.810276679841905</v>
      </c>
      <c r="D7" s="5">
        <f t="shared" si="2"/>
        <v>67.889108910891096</v>
      </c>
      <c r="E7" s="5">
        <f t="shared" si="2"/>
        <v>73.894531249999986</v>
      </c>
      <c r="F7" s="5">
        <f t="shared" si="2"/>
        <v>79.72</v>
      </c>
      <c r="G7" s="5">
        <f t="shared" si="2"/>
        <v>79.087971274685813</v>
      </c>
      <c r="H7" s="5">
        <f t="shared" si="2"/>
        <v>85.592920353982308</v>
      </c>
      <c r="I7" s="5">
        <f t="shared" si="2"/>
        <v>90.8066783831283</v>
      </c>
      <c r="J7" s="5">
        <f>J15*1000/J6</f>
        <v>110.38862559241704</v>
      </c>
    </row>
    <row r="8" spans="1:43" x14ac:dyDescent="0.2">
      <c r="B8" t="s">
        <v>84</v>
      </c>
      <c r="C8" s="21">
        <f>C15/(C5/1000)</f>
        <v>8.50051437046416E-2</v>
      </c>
      <c r="D8" s="21">
        <f t="shared" ref="D8:I8" si="3">D15/(D5/1000)</f>
        <v>9.2473263294177932E-2</v>
      </c>
      <c r="E8" s="21">
        <f t="shared" si="3"/>
        <v>9.5946480559134101E-2</v>
      </c>
      <c r="F8" s="21">
        <f t="shared" si="3"/>
        <v>6.824641303975619E-2</v>
      </c>
      <c r="G8" s="21">
        <f t="shared" si="3"/>
        <v>7.9567087994855928E-2</v>
      </c>
      <c r="H8" s="21">
        <f t="shared" si="3"/>
        <v>8.8180752307998087E-2</v>
      </c>
      <c r="I8" s="21">
        <f t="shared" si="3"/>
        <v>9.4386049519383577E-2</v>
      </c>
      <c r="J8" s="21">
        <f>J15/(J5/1000)</f>
        <v>6.8036960945639366E-2</v>
      </c>
      <c r="K8" s="10">
        <v>7.0000000000000007E-2</v>
      </c>
      <c r="L8" s="10">
        <v>7.0000000000000007E-2</v>
      </c>
      <c r="M8" s="10">
        <v>7.0000000000000007E-2</v>
      </c>
      <c r="N8" s="10">
        <v>6.8000000000000005E-2</v>
      </c>
    </row>
    <row r="10" spans="1:43" s="6" customFormat="1" x14ac:dyDescent="0.2">
      <c r="B10" s="6" t="s">
        <v>7</v>
      </c>
      <c r="C10" s="7">
        <v>25.643000000000001</v>
      </c>
      <c r="D10" s="7">
        <v>26.920999999999999</v>
      </c>
      <c r="E10" s="7">
        <v>30.056999999999999</v>
      </c>
      <c r="F10" s="7">
        <v>33.075000000000003</v>
      </c>
      <c r="G10" s="7">
        <v>35.649000000000001</v>
      </c>
      <c r="H10" s="7">
        <v>40.378</v>
      </c>
      <c r="I10" s="7">
        <v>42.47</v>
      </c>
      <c r="J10" s="7">
        <v>58.174999999999997</v>
      </c>
      <c r="K10" s="7">
        <v>69.105999999999995</v>
      </c>
      <c r="L10" s="7">
        <f>+K10+2</f>
        <v>71.105999999999995</v>
      </c>
      <c r="M10" s="7">
        <f t="shared" ref="M10" si="4">+L10+2</f>
        <v>73.105999999999995</v>
      </c>
      <c r="N10" s="7">
        <f>+M10+2</f>
        <v>75.105999999999995</v>
      </c>
      <c r="O10" s="7"/>
      <c r="P10" s="7"/>
      <c r="Q10" s="7">
        <v>61.372</v>
      </c>
      <c r="R10" s="7">
        <v>64.606999999999999</v>
      </c>
      <c r="S10" s="7">
        <v>75.534999999999997</v>
      </c>
      <c r="T10" s="7">
        <v>88.173000000000002</v>
      </c>
      <c r="U10" s="7">
        <v>99.013000000000005</v>
      </c>
      <c r="V10" s="7">
        <v>115.696</v>
      </c>
      <c r="W10" s="7">
        <v>176.672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s="6" customFormat="1" x14ac:dyDescent="0.2">
      <c r="B11" s="6" t="s">
        <v>8</v>
      </c>
      <c r="C11" s="7">
        <v>4.6130000000000004</v>
      </c>
      <c r="D11" s="7">
        <v>3.9550000000000001</v>
      </c>
      <c r="E11" s="7">
        <v>3.875</v>
      </c>
      <c r="F11" s="7">
        <v>4.4400000000000004</v>
      </c>
      <c r="G11" s="7">
        <v>4.7430000000000003</v>
      </c>
      <c r="H11" s="7">
        <v>4.2699999999999996</v>
      </c>
      <c r="I11" s="7">
        <v>4.1929999999999996</v>
      </c>
      <c r="J11" s="7">
        <v>5.077</v>
      </c>
      <c r="K11" s="7">
        <v>5.5549999999999997</v>
      </c>
      <c r="L11" s="7">
        <f t="shared" ref="L11:N11" si="5">+K11+0.3</f>
        <v>5.8549999999999995</v>
      </c>
      <c r="M11" s="7">
        <f t="shared" si="5"/>
        <v>6.1549999999999994</v>
      </c>
      <c r="N11" s="7">
        <f t="shared" si="5"/>
        <v>6.4549999999999992</v>
      </c>
      <c r="O11" s="7"/>
      <c r="P11" s="7"/>
      <c r="Q11" s="7">
        <v>10.653</v>
      </c>
      <c r="R11" s="7">
        <v>11.725</v>
      </c>
      <c r="S11" s="7">
        <v>13.465</v>
      </c>
      <c r="T11" s="7">
        <v>14.71</v>
      </c>
      <c r="U11" s="7">
        <v>16.579999999999998</v>
      </c>
      <c r="V11" s="7">
        <v>16.882999999999999</v>
      </c>
      <c r="W11" s="7">
        <v>18.283000000000001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s="6" customFormat="1" x14ac:dyDescent="0.2">
      <c r="B12" s="6" t="s">
        <v>9</v>
      </c>
      <c r="C12" s="7">
        <v>1.9930000000000001</v>
      </c>
      <c r="D12" s="7">
        <v>2.0470000000000002</v>
      </c>
      <c r="E12" s="7">
        <v>2.36</v>
      </c>
      <c r="F12" s="7">
        <v>2.8170000000000002</v>
      </c>
      <c r="G12" s="7">
        <v>2.6619999999999999</v>
      </c>
      <c r="H12" s="7">
        <v>2.6309999999999998</v>
      </c>
      <c r="I12" s="7">
        <v>2.5129999999999999</v>
      </c>
      <c r="J12" s="7">
        <v>3.9260000000000002</v>
      </c>
      <c r="K12" s="7">
        <v>4.5110000000000001</v>
      </c>
      <c r="L12" s="7">
        <f t="shared" ref="K12:N12" si="6">+K12+0.3</f>
        <v>4.8109999999999999</v>
      </c>
      <c r="M12" s="7">
        <f t="shared" si="6"/>
        <v>5.1109999999999998</v>
      </c>
      <c r="N12" s="7">
        <f t="shared" si="6"/>
        <v>5.4109999999999996</v>
      </c>
      <c r="O12" s="7"/>
      <c r="P12" s="7"/>
      <c r="Q12" s="7">
        <v>1.5980000000000001</v>
      </c>
      <c r="R12" s="7">
        <v>2.0230000000000001</v>
      </c>
      <c r="S12" s="7">
        <v>4.3209999999999997</v>
      </c>
      <c r="T12" s="7">
        <v>7.12</v>
      </c>
      <c r="U12" s="7">
        <v>7.5149999999999997</v>
      </c>
      <c r="V12" s="7">
        <v>9.2170000000000005</v>
      </c>
      <c r="W12" s="7">
        <v>11.731999999999999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s="6" customFormat="1" x14ac:dyDescent="0.2">
      <c r="B13" s="6" t="s">
        <v>10</v>
      </c>
      <c r="C13" s="7">
        <v>1.0489999999999999</v>
      </c>
      <c r="D13" s="7">
        <v>1.359</v>
      </c>
      <c r="E13" s="7">
        <v>1.532</v>
      </c>
      <c r="F13" s="7">
        <v>1.51</v>
      </c>
      <c r="G13" s="7">
        <v>0.98899999999999999</v>
      </c>
      <c r="H13" s="7">
        <v>1.0720000000000001</v>
      </c>
      <c r="I13" s="7">
        <v>2.484</v>
      </c>
      <c r="J13" s="7">
        <v>2.6840000000000002</v>
      </c>
      <c r="K13" s="7">
        <v>2.637</v>
      </c>
      <c r="L13" s="7">
        <f t="shared" ref="K13:N13" si="7">+K13+0.3</f>
        <v>2.9369999999999998</v>
      </c>
      <c r="M13" s="7">
        <f t="shared" si="7"/>
        <v>3.2369999999999997</v>
      </c>
      <c r="N13" s="7">
        <f t="shared" si="7"/>
        <v>3.5369999999999995</v>
      </c>
      <c r="O13" s="7"/>
      <c r="P13" s="7"/>
      <c r="Q13" s="7">
        <v>8.4849999999999994</v>
      </c>
      <c r="R13" s="7">
        <v>7.1619999999999999</v>
      </c>
      <c r="S13" s="7">
        <v>8.2579999999999991</v>
      </c>
      <c r="T13" s="7">
        <v>5.6509999999999998</v>
      </c>
      <c r="U13" s="7">
        <v>4.71</v>
      </c>
      <c r="V13" s="7">
        <v>5.45</v>
      </c>
      <c r="W13" s="7">
        <v>7.2290000000000001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s="6" customFormat="1" x14ac:dyDescent="0.2">
      <c r="B14" s="6" t="s">
        <v>11</v>
      </c>
      <c r="C14" s="7">
        <v>2E-3</v>
      </c>
      <c r="D14" s="7">
        <v>2E-3</v>
      </c>
      <c r="E14" s="7">
        <v>0.01</v>
      </c>
      <c r="F14" s="7">
        <v>1.0999999999999999E-2</v>
      </c>
      <c r="G14" s="7">
        <v>8.9999999999999993E-3</v>
      </c>
      <c r="H14" s="7">
        <v>8.9999999999999993E-3</v>
      </c>
      <c r="I14" s="7">
        <v>8.9999999999999993E-3</v>
      </c>
      <c r="J14" s="7">
        <v>1.4E-2</v>
      </c>
      <c r="K14" s="7">
        <v>2.8000000000000001E-2</v>
      </c>
      <c r="L14" s="7">
        <f t="shared" ref="K14:N14" si="8">+K14+0.3</f>
        <v>0.32800000000000001</v>
      </c>
      <c r="M14" s="7">
        <f t="shared" si="8"/>
        <v>0.628</v>
      </c>
      <c r="N14" s="7">
        <f t="shared" si="8"/>
        <v>0.92799999999999994</v>
      </c>
      <c r="O14" s="7"/>
      <c r="P14" s="7"/>
      <c r="Q14" s="7">
        <v>1.6E-2</v>
      </c>
      <c r="R14" s="7">
        <v>2.7E-2</v>
      </c>
      <c r="S14" s="7">
        <v>6.0000000000000001E-3</v>
      </c>
      <c r="T14" s="7">
        <v>7.0000000000000001E-3</v>
      </c>
      <c r="U14" s="7">
        <v>1E-3</v>
      </c>
      <c r="V14" s="7">
        <v>2.3E-2</v>
      </c>
      <c r="W14" s="7">
        <v>4.1000000000000002E-2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s="9" customFormat="1" x14ac:dyDescent="0.2">
      <c r="B15" s="9" t="s">
        <v>12</v>
      </c>
      <c r="C15" s="8">
        <f t="shared" ref="C15:J15" si="9">SUM(C10:C14)</f>
        <v>33.300000000000004</v>
      </c>
      <c r="D15" s="8">
        <f t="shared" si="9"/>
        <v>34.283999999999999</v>
      </c>
      <c r="E15" s="8">
        <f t="shared" si="9"/>
        <v>37.833999999999996</v>
      </c>
      <c r="F15" s="8">
        <f t="shared" si="9"/>
        <v>41.853000000000002</v>
      </c>
      <c r="G15" s="8">
        <f t="shared" si="9"/>
        <v>44.052</v>
      </c>
      <c r="H15" s="8">
        <f t="shared" si="9"/>
        <v>48.36</v>
      </c>
      <c r="I15" s="8">
        <f t="shared" si="9"/>
        <v>51.668999999999997</v>
      </c>
      <c r="J15" s="8">
        <f t="shared" si="9"/>
        <v>69.875999999999991</v>
      </c>
      <c r="K15" s="8">
        <f t="shared" ref="K15:N15" si="10">SUM(K10:K14)</f>
        <v>81.837000000000003</v>
      </c>
      <c r="L15" s="8">
        <f t="shared" si="10"/>
        <v>85.036999999999992</v>
      </c>
      <c r="M15" s="8">
        <f t="shared" si="10"/>
        <v>88.236999999999995</v>
      </c>
      <c r="N15" s="8">
        <f t="shared" si="10"/>
        <v>91.436999999999998</v>
      </c>
      <c r="O15" s="8"/>
      <c r="P15" s="8"/>
      <c r="Q15" s="8">
        <f>SUM(Q10:Q14)</f>
        <v>82.124000000000009</v>
      </c>
      <c r="R15" s="8">
        <f>SUM(R10:R14)</f>
        <v>85.543999999999997</v>
      </c>
      <c r="S15" s="8">
        <f>SUM(S10:S14)</f>
        <v>101.58499999999999</v>
      </c>
      <c r="T15" s="8">
        <v>115.661</v>
      </c>
      <c r="U15" s="8">
        <f>SUM(U10:U14)</f>
        <v>127.819</v>
      </c>
      <c r="V15" s="8">
        <f t="shared" ref="V15:W15" si="11">SUM(V10:V14)</f>
        <v>147.26900000000001</v>
      </c>
      <c r="W15" s="8">
        <f t="shared" si="11"/>
        <v>213.95699999999999</v>
      </c>
      <c r="X15" s="8">
        <f>SUM(K15:N15)</f>
        <v>346.548</v>
      </c>
      <c r="Y15" s="8">
        <f>+X15*1.15</f>
        <v>398.53019999999998</v>
      </c>
      <c r="Z15" s="8">
        <f>+Y15*1.15</f>
        <v>458.30972999999994</v>
      </c>
      <c r="AA15" s="8">
        <f>+Z15*1.1</f>
        <v>504.14070299999997</v>
      </c>
      <c r="AB15" s="8">
        <f>+AA15*1.1</f>
        <v>554.55477329999997</v>
      </c>
      <c r="AC15" s="8">
        <f>+AB15*1.1</f>
        <v>610.01025062999997</v>
      </c>
      <c r="AD15" s="8">
        <f>+AC15*1.05</f>
        <v>640.51076316149999</v>
      </c>
      <c r="AE15" s="8">
        <f t="shared" ref="AE15:AF15" si="12">+AD15*1.05</f>
        <v>672.53630131957505</v>
      </c>
      <c r="AF15" s="8">
        <f t="shared" si="12"/>
        <v>706.16311638555385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s="6" customFormat="1" x14ac:dyDescent="0.2">
      <c r="B16" s="6" t="s">
        <v>25</v>
      </c>
      <c r="C16" s="7">
        <v>7.4450000000000003</v>
      </c>
      <c r="D16" s="7">
        <v>7.6159999999999997</v>
      </c>
      <c r="E16" s="7">
        <v>8.5440000000000005</v>
      </c>
      <c r="F16" s="7">
        <v>9.3010000000000002</v>
      </c>
      <c r="G16" s="7">
        <v>9.625</v>
      </c>
      <c r="H16" s="7">
        <v>9.9380000000000006</v>
      </c>
      <c r="I16" s="7">
        <v>11.189</v>
      </c>
      <c r="J16" s="7">
        <v>13.183</v>
      </c>
      <c r="K16" s="7">
        <v>14.622</v>
      </c>
      <c r="L16" s="7">
        <f t="shared" ref="L16:N16" si="13">+L15-L17</f>
        <v>17.00739999999999</v>
      </c>
      <c r="M16" s="7">
        <f t="shared" si="13"/>
        <v>17.64739999999999</v>
      </c>
      <c r="N16" s="7">
        <f t="shared" si="13"/>
        <v>18.287399999999991</v>
      </c>
      <c r="O16" s="7"/>
      <c r="P16" s="7"/>
      <c r="Q16" s="7">
        <v>22.914000000000001</v>
      </c>
      <c r="R16" s="7">
        <v>23.684000000000001</v>
      </c>
      <c r="S16" s="7">
        <v>26.212</v>
      </c>
      <c r="T16" s="7">
        <v>27.756</v>
      </c>
      <c r="U16" s="7">
        <v>27.5</v>
      </c>
      <c r="V16" s="7">
        <v>32.905999999999999</v>
      </c>
      <c r="W16" s="7">
        <v>43.935000000000002</v>
      </c>
      <c r="X16" s="7">
        <f>SUM(K16:N16)</f>
        <v>67.564199999999971</v>
      </c>
      <c r="Y16" s="7">
        <f>+Y15-Y17</f>
        <v>79.706039999999973</v>
      </c>
      <c r="Z16" s="7">
        <f t="shared" ref="Z16:AC16" si="14">+Z15-Z17</f>
        <v>91.661945999999944</v>
      </c>
      <c r="AA16" s="7">
        <f t="shared" si="14"/>
        <v>100.82814059999998</v>
      </c>
      <c r="AB16" s="7">
        <f t="shared" si="14"/>
        <v>110.91095465999996</v>
      </c>
      <c r="AC16" s="7">
        <f t="shared" si="14"/>
        <v>122.00205012599997</v>
      </c>
      <c r="AD16" s="7">
        <f t="shared" ref="AD16" si="15">+AD15-AD17</f>
        <v>128.10215263229998</v>
      </c>
      <c r="AE16" s="7">
        <f t="shared" ref="AE16" si="16">+AE15-AE17</f>
        <v>134.50726026391499</v>
      </c>
      <c r="AF16" s="7">
        <f t="shared" ref="AF16" si="17">+AF15-AF17</f>
        <v>141.23262327711075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155" s="6" customFormat="1" x14ac:dyDescent="0.2">
      <c r="B17" s="6" t="s">
        <v>26</v>
      </c>
      <c r="C17" s="7">
        <f t="shared" ref="C17:J17" si="18">+C15-C16</f>
        <v>25.855000000000004</v>
      </c>
      <c r="D17" s="7">
        <f t="shared" si="18"/>
        <v>26.667999999999999</v>
      </c>
      <c r="E17" s="7">
        <f t="shared" si="18"/>
        <v>29.289999999999996</v>
      </c>
      <c r="F17" s="7">
        <f t="shared" si="18"/>
        <v>32.552</v>
      </c>
      <c r="G17" s="7">
        <f t="shared" si="18"/>
        <v>34.427</v>
      </c>
      <c r="H17" s="7">
        <f t="shared" si="18"/>
        <v>38.421999999999997</v>
      </c>
      <c r="I17" s="7">
        <f t="shared" si="18"/>
        <v>40.479999999999997</v>
      </c>
      <c r="J17" s="7">
        <f t="shared" si="18"/>
        <v>56.692999999999991</v>
      </c>
      <c r="K17" s="7">
        <f>+K15-K16</f>
        <v>67.215000000000003</v>
      </c>
      <c r="L17" s="7">
        <f t="shared" ref="L17:N17" si="19">+L15*0.8</f>
        <v>68.029600000000002</v>
      </c>
      <c r="M17" s="7">
        <f t="shared" si="19"/>
        <v>70.589600000000004</v>
      </c>
      <c r="N17" s="7">
        <f t="shared" si="19"/>
        <v>73.149600000000007</v>
      </c>
      <c r="O17" s="7"/>
      <c r="P17" s="7"/>
      <c r="Q17" s="7">
        <f>+Q15-Q16</f>
        <v>59.210000000000008</v>
      </c>
      <c r="R17" s="7">
        <f t="shared" ref="R17:T17" si="20">+R15-R16</f>
        <v>61.86</v>
      </c>
      <c r="S17" s="7">
        <f t="shared" si="20"/>
        <v>75.37299999999999</v>
      </c>
      <c r="T17" s="7">
        <f t="shared" si="20"/>
        <v>87.905000000000001</v>
      </c>
      <c r="U17" s="7">
        <f>+U15-U16</f>
        <v>100.319</v>
      </c>
      <c r="V17" s="7">
        <f t="shared" ref="V17:X17" si="21">+V15-V16</f>
        <v>114.363</v>
      </c>
      <c r="W17" s="7">
        <f t="shared" si="21"/>
        <v>170.02199999999999</v>
      </c>
      <c r="X17" s="7">
        <f t="shared" si="21"/>
        <v>278.98380000000003</v>
      </c>
      <c r="Y17" s="7">
        <f>+Y15*0.8</f>
        <v>318.82416000000001</v>
      </c>
      <c r="Z17" s="7">
        <f t="shared" ref="Z17:AC17" si="22">+Z15*0.8</f>
        <v>366.647784</v>
      </c>
      <c r="AA17" s="7">
        <f t="shared" si="22"/>
        <v>403.31256239999999</v>
      </c>
      <c r="AB17" s="7">
        <f t="shared" si="22"/>
        <v>443.64381864000001</v>
      </c>
      <c r="AC17" s="7">
        <f t="shared" si="22"/>
        <v>488.008200504</v>
      </c>
      <c r="AD17" s="7">
        <f t="shared" ref="AD17:AF17" si="23">+AD15*0.8</f>
        <v>512.40861052920002</v>
      </c>
      <c r="AE17" s="7">
        <f t="shared" si="23"/>
        <v>538.02904105566006</v>
      </c>
      <c r="AF17" s="7">
        <f t="shared" si="23"/>
        <v>564.9304931084431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2:155" s="6" customFormat="1" x14ac:dyDescent="0.2">
      <c r="B18" s="6" t="s">
        <v>27</v>
      </c>
      <c r="C18" s="7">
        <v>11.37</v>
      </c>
      <c r="D18" s="7">
        <v>10.663</v>
      </c>
      <c r="E18" s="7">
        <v>9.516</v>
      </c>
      <c r="F18" s="7">
        <v>12.11</v>
      </c>
      <c r="G18" s="7">
        <v>14.021000000000001</v>
      </c>
      <c r="H18" s="7">
        <v>12.536</v>
      </c>
      <c r="I18" s="7">
        <v>11.340999999999999</v>
      </c>
      <c r="J18" s="7">
        <v>18.245999999999999</v>
      </c>
      <c r="K18" s="7">
        <v>21.396999999999998</v>
      </c>
      <c r="L18" s="7">
        <f t="shared" ref="L18:N18" si="24">+K18+1</f>
        <v>22.396999999999998</v>
      </c>
      <c r="M18" s="7">
        <f t="shared" si="24"/>
        <v>23.396999999999998</v>
      </c>
      <c r="N18" s="7">
        <f t="shared" si="24"/>
        <v>24.396999999999998</v>
      </c>
      <c r="O18" s="7"/>
      <c r="P18" s="7"/>
      <c r="Q18" s="7">
        <v>31.734999999999999</v>
      </c>
      <c r="R18" s="7">
        <v>31.173999999999999</v>
      </c>
      <c r="S18" s="7">
        <v>34.569000000000003</v>
      </c>
      <c r="T18" s="7">
        <v>38.755000000000003</v>
      </c>
      <c r="U18" s="7">
        <v>39.448999999999998</v>
      </c>
      <c r="V18" s="7">
        <v>43.658999999999999</v>
      </c>
      <c r="W18" s="7">
        <v>56.143999999999998</v>
      </c>
      <c r="X18" s="7">
        <f t="shared" ref="X18:X20" si="25">SUM(K18:N18)</f>
        <v>91.587999999999994</v>
      </c>
      <c r="Y18" s="7">
        <f>+X18*1.05</f>
        <v>96.167400000000001</v>
      </c>
      <c r="Z18" s="7">
        <f t="shared" ref="Z18:AF18" si="26">+Y18*1.05</f>
        <v>100.97577000000001</v>
      </c>
      <c r="AA18" s="7">
        <f t="shared" si="26"/>
        <v>106.02455850000001</v>
      </c>
      <c r="AB18" s="7">
        <f t="shared" si="26"/>
        <v>111.32578642500002</v>
      </c>
      <c r="AC18" s="7">
        <f t="shared" si="26"/>
        <v>116.89207574625003</v>
      </c>
      <c r="AD18" s="7">
        <f t="shared" si="26"/>
        <v>122.73667953356254</v>
      </c>
      <c r="AE18" s="7">
        <f t="shared" si="26"/>
        <v>128.87351351024066</v>
      </c>
      <c r="AF18" s="7">
        <f t="shared" si="26"/>
        <v>135.31718918575268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2:155" s="6" customFormat="1" x14ac:dyDescent="0.2">
      <c r="B19" s="6" t="s">
        <v>28</v>
      </c>
      <c r="C19" s="7">
        <v>2.9159999999999999</v>
      </c>
      <c r="D19" s="7">
        <v>3.036</v>
      </c>
      <c r="E19" s="7">
        <v>3.407</v>
      </c>
      <c r="F19" s="7">
        <v>3.95</v>
      </c>
      <c r="G19" s="7">
        <v>4.282</v>
      </c>
      <c r="H19" s="7">
        <v>4.68</v>
      </c>
      <c r="I19" s="7">
        <v>4.758</v>
      </c>
      <c r="J19" s="7">
        <v>6.9909999999999997</v>
      </c>
      <c r="K19" s="7">
        <v>8.3369999999999997</v>
      </c>
      <c r="L19" s="7">
        <f t="shared" ref="L19:N19" si="27">+K19+0.25</f>
        <v>8.5869999999999997</v>
      </c>
      <c r="M19" s="7">
        <f t="shared" si="27"/>
        <v>8.8369999999999997</v>
      </c>
      <c r="N19" s="7">
        <f t="shared" si="27"/>
        <v>9.0869999999999997</v>
      </c>
      <c r="O19" s="7"/>
      <c r="P19" s="7"/>
      <c r="Q19" s="7">
        <v>8.6989999999999998</v>
      </c>
      <c r="R19" s="7">
        <v>9.42</v>
      </c>
      <c r="S19" s="7">
        <v>9.3949999999999996</v>
      </c>
      <c r="T19" s="7">
        <v>10.243</v>
      </c>
      <c r="U19" s="7">
        <v>10.958</v>
      </c>
      <c r="V19" s="7">
        <v>13.308999999999999</v>
      </c>
      <c r="W19" s="7">
        <v>20.710999999999999</v>
      </c>
      <c r="X19" s="7">
        <f>SUM(K19:N19)</f>
        <v>34.847999999999999</v>
      </c>
      <c r="Y19" s="7">
        <f>+X19*1.03</f>
        <v>35.893439999999998</v>
      </c>
      <c r="Z19" s="7">
        <f t="shared" ref="Z19:AC19" si="28">+Y19*1.03</f>
        <v>36.970243199999999</v>
      </c>
      <c r="AA19" s="7">
        <f t="shared" si="28"/>
        <v>38.079350495999996</v>
      </c>
      <c r="AB19" s="7">
        <f t="shared" si="28"/>
        <v>39.221731010879999</v>
      </c>
      <c r="AC19" s="7">
        <f t="shared" si="28"/>
        <v>40.3983829412064</v>
      </c>
      <c r="AD19" s="7">
        <f t="shared" ref="AD19:AF19" si="29">+AC19*1.03</f>
        <v>41.610334429442595</v>
      </c>
      <c r="AE19" s="7">
        <f t="shared" si="29"/>
        <v>42.858644462325877</v>
      </c>
      <c r="AF19" s="7">
        <f t="shared" si="29"/>
        <v>44.144403796195654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2:155" s="6" customFormat="1" x14ac:dyDescent="0.2">
      <c r="B20" s="6" t="s">
        <v>29</v>
      </c>
      <c r="C20" s="7">
        <v>4.1970000000000001</v>
      </c>
      <c r="D20" s="7">
        <v>5.35</v>
      </c>
      <c r="E20" s="7">
        <v>6.1909999999999998</v>
      </c>
      <c r="F20" s="7">
        <v>9.4090000000000007</v>
      </c>
      <c r="G20" s="7">
        <v>7.7709999999999999</v>
      </c>
      <c r="H20" s="7">
        <v>12.763</v>
      </c>
      <c r="I20" s="7">
        <v>9.4700000000000006</v>
      </c>
      <c r="J20" s="7">
        <v>12.395</v>
      </c>
      <c r="K20" s="7">
        <v>15.262</v>
      </c>
      <c r="L20" s="7">
        <f t="shared" ref="L20:N20" si="30">+K20+0.5</f>
        <v>15.762</v>
      </c>
      <c r="M20" s="7">
        <f t="shared" si="30"/>
        <v>16.262</v>
      </c>
      <c r="N20" s="7">
        <f t="shared" si="30"/>
        <v>16.762</v>
      </c>
      <c r="O20" s="7"/>
      <c r="P20" s="7"/>
      <c r="Q20" s="7">
        <v>12.961</v>
      </c>
      <c r="R20" s="7">
        <v>14.59</v>
      </c>
      <c r="S20" s="7">
        <v>14.180999999999999</v>
      </c>
      <c r="T20" s="7">
        <v>14.75</v>
      </c>
      <c r="U20" s="7">
        <v>15.794</v>
      </c>
      <c r="V20" s="7">
        <v>25.146999999999998</v>
      </c>
      <c r="W20" s="7">
        <v>42.399000000000001</v>
      </c>
      <c r="X20" s="7">
        <f t="shared" si="25"/>
        <v>64.048000000000002</v>
      </c>
      <c r="Y20" s="7">
        <f t="shared" ref="Y20:AC20" si="31">+X20*1.03</f>
        <v>65.969440000000006</v>
      </c>
      <c r="Z20" s="7">
        <f t="shared" si="31"/>
        <v>67.948523200000011</v>
      </c>
      <c r="AA20" s="7">
        <f t="shared" si="31"/>
        <v>69.986978896000011</v>
      </c>
      <c r="AB20" s="7">
        <f t="shared" si="31"/>
        <v>72.086588262880014</v>
      </c>
      <c r="AC20" s="7">
        <f t="shared" si="31"/>
        <v>74.249185910766414</v>
      </c>
      <c r="AD20" s="7">
        <f t="shared" ref="AD20:AF20" si="32">+AC20*1.03</f>
        <v>76.476661488089405</v>
      </c>
      <c r="AE20" s="7">
        <f t="shared" si="32"/>
        <v>78.770961332732085</v>
      </c>
      <c r="AF20" s="7">
        <f t="shared" si="32"/>
        <v>81.134090172714053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2:155" s="6" customFormat="1" x14ac:dyDescent="0.2">
      <c r="B21" s="6" t="s">
        <v>30</v>
      </c>
      <c r="C21" s="7">
        <f t="shared" ref="C21:J21" si="33">SUM(C18:C20)</f>
        <v>18.483000000000001</v>
      </c>
      <c r="D21" s="7">
        <f t="shared" si="33"/>
        <v>19.048999999999999</v>
      </c>
      <c r="E21" s="7">
        <f t="shared" si="33"/>
        <v>19.114000000000001</v>
      </c>
      <c r="F21" s="7">
        <f t="shared" si="33"/>
        <v>25.469000000000001</v>
      </c>
      <c r="G21" s="7">
        <f t="shared" si="33"/>
        <v>26.074000000000002</v>
      </c>
      <c r="H21" s="7">
        <f t="shared" si="33"/>
        <v>29.978999999999999</v>
      </c>
      <c r="I21" s="7">
        <f t="shared" si="33"/>
        <v>25.569000000000003</v>
      </c>
      <c r="J21" s="7">
        <f t="shared" si="33"/>
        <v>37.631999999999998</v>
      </c>
      <c r="K21" s="7">
        <f>SUM(K18:K20)</f>
        <v>44.995999999999995</v>
      </c>
      <c r="L21" s="7">
        <f t="shared" ref="K21:N21" si="34">SUM(L18:L20)</f>
        <v>46.745999999999995</v>
      </c>
      <c r="M21" s="7">
        <f t="shared" si="34"/>
        <v>48.495999999999995</v>
      </c>
      <c r="N21" s="7">
        <f t="shared" si="34"/>
        <v>50.245999999999995</v>
      </c>
      <c r="O21" s="7"/>
      <c r="P21" s="7"/>
      <c r="Q21" s="7">
        <f t="shared" ref="Q21:T21" si="35">SUM(Q18:Q20)</f>
        <v>53.394999999999996</v>
      </c>
      <c r="R21" s="7">
        <f t="shared" si="35"/>
        <v>55.183999999999997</v>
      </c>
      <c r="S21" s="7">
        <f t="shared" si="35"/>
        <v>58.144999999999996</v>
      </c>
      <c r="T21" s="7">
        <f t="shared" si="35"/>
        <v>63.748000000000005</v>
      </c>
      <c r="U21" s="7">
        <f>SUM(U18:U20)</f>
        <v>66.200999999999993</v>
      </c>
      <c r="V21" s="7">
        <f t="shared" ref="V21:W21" si="36">SUM(V18:V20)</f>
        <v>82.114999999999995</v>
      </c>
      <c r="W21" s="7">
        <f t="shared" si="36"/>
        <v>119.25399999999999</v>
      </c>
      <c r="X21" s="7">
        <f t="shared" ref="X21" si="37">SUM(X18:X20)</f>
        <v>190.48399999999998</v>
      </c>
      <c r="Y21" s="7">
        <f t="shared" ref="Y21" si="38">SUM(Y18:Y20)</f>
        <v>198.03028</v>
      </c>
      <c r="Z21" s="7">
        <f t="shared" ref="Z21" si="39">SUM(Z18:Z20)</f>
        <v>205.89453640000002</v>
      </c>
      <c r="AA21" s="7">
        <f t="shared" ref="AA21" si="40">SUM(AA18:AA20)</f>
        <v>214.09088789200001</v>
      </c>
      <c r="AB21" s="7">
        <f t="shared" ref="AB21" si="41">SUM(AB18:AB20)</f>
        <v>222.63410569876004</v>
      </c>
      <c r="AC21" s="7">
        <f t="shared" ref="AC21" si="42">SUM(AC18:AC20)</f>
        <v>231.53964459822285</v>
      </c>
      <c r="AD21" s="7">
        <f t="shared" ref="AD21" si="43">SUM(AD18:AD20)</f>
        <v>240.82367545109454</v>
      </c>
      <c r="AE21" s="7">
        <f t="shared" ref="AE21" si="44">SUM(AE18:AE20)</f>
        <v>250.50311930529864</v>
      </c>
      <c r="AF21" s="7">
        <f t="shared" ref="AF21" si="45">SUM(AF18:AF20)</f>
        <v>260.59568315466242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2:155" x14ac:dyDescent="0.2">
      <c r="B22" s="6" t="s">
        <v>31</v>
      </c>
      <c r="C22" s="7">
        <f t="shared" ref="C22:J22" si="46">C17-C21</f>
        <v>7.3720000000000034</v>
      </c>
      <c r="D22" s="7">
        <f t="shared" si="46"/>
        <v>7.6189999999999998</v>
      </c>
      <c r="E22" s="7">
        <f t="shared" si="46"/>
        <v>10.175999999999995</v>
      </c>
      <c r="F22" s="7">
        <f t="shared" si="46"/>
        <v>7.0829999999999984</v>
      </c>
      <c r="G22" s="7">
        <f t="shared" si="46"/>
        <v>8.352999999999998</v>
      </c>
      <c r="H22" s="7">
        <f t="shared" si="46"/>
        <v>8.4429999999999978</v>
      </c>
      <c r="I22" s="7">
        <f t="shared" si="46"/>
        <v>14.910999999999994</v>
      </c>
      <c r="J22" s="7">
        <f t="shared" si="46"/>
        <v>19.060999999999993</v>
      </c>
      <c r="K22" s="7">
        <f>K17-K21</f>
        <v>22.219000000000008</v>
      </c>
      <c r="L22" s="7">
        <f t="shared" ref="K22:N22" si="47">L17-L21</f>
        <v>21.283600000000007</v>
      </c>
      <c r="M22" s="7">
        <f t="shared" si="47"/>
        <v>22.093600000000009</v>
      </c>
      <c r="N22" s="7">
        <f t="shared" si="47"/>
        <v>22.903600000000012</v>
      </c>
      <c r="Q22" s="7">
        <f t="shared" ref="Q22:T22" si="48">Q17-Q21</f>
        <v>5.8150000000000119</v>
      </c>
      <c r="R22" s="7">
        <f t="shared" si="48"/>
        <v>6.6760000000000019</v>
      </c>
      <c r="S22" s="7">
        <f t="shared" si="48"/>
        <v>17.227999999999994</v>
      </c>
      <c r="T22" s="7">
        <f t="shared" si="48"/>
        <v>24.156999999999996</v>
      </c>
      <c r="U22" s="7">
        <f>U17-U21</f>
        <v>34.118000000000009</v>
      </c>
      <c r="V22" s="7">
        <f t="shared" ref="V22:W22" si="49">V17-V21</f>
        <v>32.248000000000005</v>
      </c>
      <c r="W22" s="7">
        <f t="shared" si="49"/>
        <v>50.768000000000001</v>
      </c>
      <c r="X22" s="7">
        <f t="shared" ref="X22" si="50">X17-X21</f>
        <v>88.49980000000005</v>
      </c>
      <c r="Y22" s="7">
        <f t="shared" ref="Y22" si="51">Y17-Y21</f>
        <v>120.79388</v>
      </c>
      <c r="Z22" s="7">
        <f t="shared" ref="Z22" si="52">Z17-Z21</f>
        <v>160.75324759999998</v>
      </c>
      <c r="AA22" s="7">
        <f t="shared" ref="AA22" si="53">AA17-AA21</f>
        <v>189.22167450799998</v>
      </c>
      <c r="AB22" s="7">
        <f t="shared" ref="AB22" si="54">AB17-AB21</f>
        <v>221.00971294123997</v>
      </c>
      <c r="AC22" s="7">
        <f t="shared" ref="AC22" si="55">AC17-AC21</f>
        <v>256.46855590577718</v>
      </c>
      <c r="AD22" s="7">
        <f t="shared" ref="AD22" si="56">AD17-AD21</f>
        <v>271.58493507810545</v>
      </c>
      <c r="AE22" s="7">
        <f t="shared" ref="AE22" si="57">AE17-AE21</f>
        <v>287.52592175036142</v>
      </c>
      <c r="AF22" s="7">
        <f t="shared" ref="AF22" si="58">AF17-AF21</f>
        <v>304.33480995378068</v>
      </c>
    </row>
    <row r="23" spans="2:155" s="6" customFormat="1" x14ac:dyDescent="0.2">
      <c r="B23" s="6" t="s">
        <v>32</v>
      </c>
      <c r="C23" s="7">
        <v>0.13600000000000001</v>
      </c>
      <c r="D23" s="7">
        <v>8.8999999999999996E-2</v>
      </c>
      <c r="E23" s="7">
        <v>7.0999999999999994E-2</v>
      </c>
      <c r="F23" s="7">
        <v>7.9000000000000001E-2</v>
      </c>
      <c r="G23" s="7">
        <v>6.9000000000000006E-2</v>
      </c>
      <c r="H23" s="7">
        <v>-1.4E-2</v>
      </c>
      <c r="I23" s="7">
        <v>4.8000000000000001E-2</v>
      </c>
      <c r="J23" s="7">
        <f>-0.397+0.043</f>
        <v>-0.35400000000000004</v>
      </c>
      <c r="K23" s="7">
        <f>-0.915+0.043</f>
        <v>-0.872</v>
      </c>
      <c r="L23" s="7">
        <v>0</v>
      </c>
      <c r="M23" s="7">
        <v>0</v>
      </c>
      <c r="N23" s="7">
        <v>0</v>
      </c>
      <c r="O23" s="7"/>
      <c r="P23" s="7"/>
      <c r="Q23" s="7">
        <v>0.91600000000000004</v>
      </c>
      <c r="R23" s="7">
        <f>0.756-0.634</f>
        <v>0.122</v>
      </c>
      <c r="S23" s="7">
        <v>0.56200000000000006</v>
      </c>
      <c r="T23" s="7">
        <v>0.54100000000000004</v>
      </c>
      <c r="U23" s="7">
        <v>0.48</v>
      </c>
      <c r="V23" s="7">
        <v>0.375</v>
      </c>
      <c r="W23" s="7">
        <f>0.146-0.397</f>
        <v>-0.251</v>
      </c>
      <c r="X23" s="7">
        <f>SUM(K23:N23)</f>
        <v>-0.872</v>
      </c>
      <c r="Y23" s="7">
        <f>SUM(L23:O23)</f>
        <v>0</v>
      </c>
      <c r="Z23" s="7">
        <f t="shared" ref="Z23:AF23" si="59">+Y35*$AJ$29</f>
        <v>0.43876740000000014</v>
      </c>
      <c r="AA23" s="7">
        <f t="shared" si="59"/>
        <v>0.96264144875000002</v>
      </c>
      <c r="AB23" s="7">
        <f t="shared" si="59"/>
        <v>1.5807404756094374</v>
      </c>
      <c r="AC23" s="7">
        <f t="shared" si="59"/>
        <v>2.3041594492141981</v>
      </c>
      <c r="AD23" s="7">
        <f t="shared" si="59"/>
        <v>3.1451707741179202</v>
      </c>
      <c r="AE23" s="7">
        <f t="shared" si="59"/>
        <v>4.038043618137646</v>
      </c>
      <c r="AF23" s="7">
        <f t="shared" si="59"/>
        <v>4.9856265055852678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2:155" s="6" customFormat="1" x14ac:dyDescent="0.2">
      <c r="B24" s="6" t="s">
        <v>33</v>
      </c>
      <c r="C24" s="7">
        <f t="shared" ref="C24:K24" si="60">+C22+C23</f>
        <v>7.5080000000000036</v>
      </c>
      <c r="D24" s="7">
        <f t="shared" si="60"/>
        <v>7.7080000000000002</v>
      </c>
      <c r="E24" s="7">
        <f t="shared" si="60"/>
        <v>10.246999999999995</v>
      </c>
      <c r="F24" s="7">
        <f t="shared" si="60"/>
        <v>7.1619999999999981</v>
      </c>
      <c r="G24" s="7">
        <f t="shared" si="60"/>
        <v>8.4219999999999988</v>
      </c>
      <c r="H24" s="7">
        <f t="shared" si="60"/>
        <v>8.4289999999999985</v>
      </c>
      <c r="I24" s="7">
        <f t="shared" si="60"/>
        <v>14.958999999999994</v>
      </c>
      <c r="J24" s="7">
        <f t="shared" si="60"/>
        <v>18.706999999999994</v>
      </c>
      <c r="K24" s="7">
        <f t="shared" si="60"/>
        <v>21.347000000000008</v>
      </c>
      <c r="L24" s="7">
        <f t="shared" ref="L24:N24" si="61">+L22+L23</f>
        <v>21.283600000000007</v>
      </c>
      <c r="M24" s="7">
        <f t="shared" si="61"/>
        <v>22.093600000000009</v>
      </c>
      <c r="N24" s="7">
        <f t="shared" si="61"/>
        <v>22.903600000000012</v>
      </c>
      <c r="O24" s="7"/>
      <c r="P24" s="7"/>
      <c r="Q24" s="7">
        <f t="shared" ref="Q24:T24" si="62">+Q22+Q23</f>
        <v>6.7310000000000123</v>
      </c>
      <c r="R24" s="7">
        <f t="shared" si="62"/>
        <v>6.7980000000000018</v>
      </c>
      <c r="S24" s="7">
        <f t="shared" si="62"/>
        <v>17.789999999999996</v>
      </c>
      <c r="T24" s="7">
        <f t="shared" si="62"/>
        <v>24.697999999999997</v>
      </c>
      <c r="U24" s="7">
        <f>+U22+U23</f>
        <v>34.598000000000006</v>
      </c>
      <c r="V24" s="7">
        <f t="shared" ref="V24:X24" si="63">+V22+V23</f>
        <v>32.623000000000005</v>
      </c>
      <c r="W24" s="7">
        <f t="shared" si="63"/>
        <v>50.517000000000003</v>
      </c>
      <c r="X24" s="7">
        <f t="shared" si="63"/>
        <v>87.62780000000005</v>
      </c>
      <c r="Y24" s="7">
        <f t="shared" ref="Y24" si="64">+Y22+Y23</f>
        <v>120.79388</v>
      </c>
      <c r="Z24" s="7">
        <f t="shared" ref="Z24" si="65">+Z22+Z23</f>
        <v>161.19201499999997</v>
      </c>
      <c r="AA24" s="7">
        <f t="shared" ref="AA24" si="66">+AA22+AA23</f>
        <v>190.18431595674997</v>
      </c>
      <c r="AB24" s="7">
        <f t="shared" ref="AB24" si="67">+AB22+AB23</f>
        <v>222.59045341684941</v>
      </c>
      <c r="AC24" s="7">
        <f t="shared" ref="AC24" si="68">+AC22+AC23</f>
        <v>258.77271535499136</v>
      </c>
      <c r="AD24" s="7">
        <f t="shared" ref="AD24" si="69">+AD22+AD23</f>
        <v>274.73010585222335</v>
      </c>
      <c r="AE24" s="7">
        <f t="shared" ref="AE24" si="70">+AE22+AE23</f>
        <v>291.56396536849905</v>
      </c>
      <c r="AF24" s="7">
        <f t="shared" ref="AF24" si="71">+AF22+AF23</f>
        <v>309.32043645936596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155" s="6" customFormat="1" x14ac:dyDescent="0.2">
      <c r="B25" s="6" t="s">
        <v>34</v>
      </c>
      <c r="C25" s="7">
        <v>0.17199999999999999</v>
      </c>
      <c r="D25" s="7">
        <v>-3.4660000000000002</v>
      </c>
      <c r="E25" s="7">
        <v>-8.5000000000000006E-2</v>
      </c>
      <c r="F25" s="7">
        <v>-9.3179999999999996</v>
      </c>
      <c r="G25" s="7">
        <v>-1.1200000000000001</v>
      </c>
      <c r="H25" s="7">
        <v>-4.7350000000000003</v>
      </c>
      <c r="I25" s="7">
        <v>5.7649999999999997</v>
      </c>
      <c r="J25" s="7">
        <v>-1.2829999999999999</v>
      </c>
      <c r="K25" s="7">
        <v>8.109</v>
      </c>
      <c r="L25" s="7">
        <f t="shared" ref="K25:N25" si="72">+L24*0.03</f>
        <v>0.63850800000000019</v>
      </c>
      <c r="M25" s="7">
        <f t="shared" si="72"/>
        <v>0.66280800000000029</v>
      </c>
      <c r="N25" s="7">
        <f t="shared" si="72"/>
        <v>0.68710800000000027</v>
      </c>
      <c r="O25" s="7"/>
      <c r="P25" s="7"/>
      <c r="Q25" s="7">
        <v>0.55400000000000005</v>
      </c>
      <c r="R25" s="7">
        <v>-3.9449999999999998</v>
      </c>
      <c r="S25" s="7">
        <v>-8.4749999999999996</v>
      </c>
      <c r="T25" s="7">
        <v>-13.859</v>
      </c>
      <c r="U25" s="7">
        <v>-9.5500000000000007</v>
      </c>
      <c r="V25" s="7">
        <v>-12.696999999999999</v>
      </c>
      <c r="W25" s="7">
        <v>-1.373</v>
      </c>
      <c r="X25" s="7">
        <f>+X24*0.03</f>
        <v>2.6288340000000012</v>
      </c>
      <c r="Y25" s="7">
        <f>+Y24*0.2</f>
        <v>24.158776000000003</v>
      </c>
      <c r="Z25" s="7">
        <f>+Z24*0.35</f>
        <v>56.417205249999988</v>
      </c>
      <c r="AA25" s="7">
        <f t="shared" ref="AA25:AC25" si="73">+AA24*0.35</f>
        <v>66.564510584862489</v>
      </c>
      <c r="AB25" s="7">
        <f t="shared" si="73"/>
        <v>77.906658695897292</v>
      </c>
      <c r="AC25" s="7">
        <f t="shared" si="73"/>
        <v>90.570450374246974</v>
      </c>
      <c r="AD25" s="7">
        <f t="shared" ref="AD25" si="74">+AD24*0.35</f>
        <v>96.155537048278163</v>
      </c>
      <c r="AE25" s="7">
        <f t="shared" ref="AE25" si="75">+AE24*0.35</f>
        <v>102.04738787897466</v>
      </c>
      <c r="AF25" s="7">
        <f t="shared" ref="AF25" si="76">+AF24*0.35</f>
        <v>108.26215276077808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2:155" s="6" customFormat="1" x14ac:dyDescent="0.2">
      <c r="B26" s="6" t="s">
        <v>35</v>
      </c>
      <c r="C26" s="7">
        <f t="shared" ref="C26:J26" si="77">+C24-C25</f>
        <v>7.3360000000000039</v>
      </c>
      <c r="D26" s="7">
        <f t="shared" si="77"/>
        <v>11.173999999999999</v>
      </c>
      <c r="E26" s="7">
        <f t="shared" si="77"/>
        <v>10.331999999999995</v>
      </c>
      <c r="F26" s="7">
        <f t="shared" si="77"/>
        <v>16.479999999999997</v>
      </c>
      <c r="G26" s="7">
        <f t="shared" si="77"/>
        <v>9.541999999999998</v>
      </c>
      <c r="H26" s="7">
        <f t="shared" si="77"/>
        <v>13.163999999999998</v>
      </c>
      <c r="I26" s="7">
        <f t="shared" si="77"/>
        <v>9.1939999999999955</v>
      </c>
      <c r="J26" s="7">
        <f t="shared" si="77"/>
        <v>19.989999999999995</v>
      </c>
      <c r="K26" s="7">
        <f t="shared" ref="K26" si="78">+K24-K25</f>
        <v>13.238000000000008</v>
      </c>
      <c r="L26" s="7">
        <f t="shared" ref="L26" si="79">+L24-L25</f>
        <v>20.645092000000005</v>
      </c>
      <c r="M26" s="7">
        <f t="shared" ref="M26" si="80">+M24-M25</f>
        <v>21.430792000000007</v>
      </c>
      <c r="N26" s="7">
        <f t="shared" ref="N26" si="81">+N24-N25</f>
        <v>22.216492000000009</v>
      </c>
      <c r="O26" s="7"/>
      <c r="P26" s="7"/>
      <c r="Q26" s="7">
        <f t="shared" ref="Q26:T26" si="82">+Q24-Q25</f>
        <v>6.177000000000012</v>
      </c>
      <c r="R26" s="7">
        <f t="shared" si="82"/>
        <v>10.743000000000002</v>
      </c>
      <c r="S26" s="7">
        <f t="shared" si="82"/>
        <v>26.264999999999993</v>
      </c>
      <c r="T26" s="7">
        <f t="shared" si="82"/>
        <v>38.556999999999995</v>
      </c>
      <c r="U26" s="7">
        <f>+U24-U25</f>
        <v>44.14800000000001</v>
      </c>
      <c r="V26" s="7">
        <f t="shared" ref="V26:W26" si="83">+V24-V25</f>
        <v>45.320000000000007</v>
      </c>
      <c r="W26" s="7">
        <f t="shared" si="83"/>
        <v>51.89</v>
      </c>
      <c r="X26" s="7">
        <f t="shared" ref="X26" si="84">+X24-X25</f>
        <v>84.998966000000053</v>
      </c>
      <c r="Y26" s="7">
        <f t="shared" ref="Y26" si="85">+Y24-Y25</f>
        <v>96.635103999999998</v>
      </c>
      <c r="Z26" s="7">
        <f t="shared" ref="Z26" si="86">+Z24-Z25</f>
        <v>104.77480974999997</v>
      </c>
      <c r="AA26" s="7">
        <f t="shared" ref="AA26" si="87">+AA24-AA25</f>
        <v>123.61980537188748</v>
      </c>
      <c r="AB26" s="7">
        <f t="shared" ref="AB26" si="88">+AB24-AB25</f>
        <v>144.68379472095211</v>
      </c>
      <c r="AC26" s="7">
        <f t="shared" ref="AC26" si="89">+AC24-AC25</f>
        <v>168.20226498074439</v>
      </c>
      <c r="AD26" s="7">
        <f t="shared" ref="AD26" si="90">+AD24-AD25</f>
        <v>178.57456880394517</v>
      </c>
      <c r="AE26" s="7">
        <f t="shared" ref="AE26" si="91">+AE24-AE25</f>
        <v>189.51657748952439</v>
      </c>
      <c r="AF26" s="7">
        <f t="shared" ref="AF26" si="92">+AF24-AF25</f>
        <v>201.0582836985879</v>
      </c>
      <c r="AG26" s="7">
        <f t="shared" ref="AG26:BL26" si="93">+AF26*(1+$AJ$30)</f>
        <v>199.04770086160201</v>
      </c>
      <c r="AH26" s="7">
        <f t="shared" si="93"/>
        <v>197.057223852986</v>
      </c>
      <c r="AI26" s="7">
        <f t="shared" si="93"/>
        <v>195.08665161445614</v>
      </c>
      <c r="AJ26" s="7">
        <f t="shared" si="93"/>
        <v>193.13578509831157</v>
      </c>
      <c r="AK26" s="7">
        <f t="shared" si="93"/>
        <v>191.20442724732845</v>
      </c>
      <c r="AL26" s="7">
        <f t="shared" si="93"/>
        <v>189.29238297485517</v>
      </c>
      <c r="AM26" s="7">
        <f t="shared" si="93"/>
        <v>187.39945914510662</v>
      </c>
      <c r="AN26" s="7">
        <f t="shared" si="93"/>
        <v>185.52546455365555</v>
      </c>
      <c r="AO26" s="7">
        <f t="shared" si="93"/>
        <v>183.67020990811901</v>
      </c>
      <c r="AP26" s="7">
        <f t="shared" si="93"/>
        <v>181.83350780903783</v>
      </c>
      <c r="AQ26" s="7">
        <f t="shared" si="93"/>
        <v>180.01517273094746</v>
      </c>
      <c r="AR26" s="7">
        <f t="shared" si="93"/>
        <v>178.21502100363799</v>
      </c>
      <c r="AS26" s="7">
        <f t="shared" si="93"/>
        <v>176.43287079360161</v>
      </c>
      <c r="AT26" s="7">
        <f t="shared" si="93"/>
        <v>174.66854208566559</v>
      </c>
      <c r="AU26" s="7">
        <f t="shared" si="93"/>
        <v>172.92185666480893</v>
      </c>
      <c r="AV26" s="7">
        <f t="shared" si="93"/>
        <v>171.19263809816084</v>
      </c>
      <c r="AW26" s="7">
        <f t="shared" si="93"/>
        <v>169.48071171717922</v>
      </c>
      <c r="AX26" s="7">
        <f t="shared" si="93"/>
        <v>167.78590460000743</v>
      </c>
      <c r="AY26" s="7">
        <f t="shared" si="93"/>
        <v>166.10804555400736</v>
      </c>
      <c r="AZ26" s="7">
        <f t="shared" si="93"/>
        <v>164.44696509846727</v>
      </c>
      <c r="BA26" s="7">
        <f t="shared" si="93"/>
        <v>162.80249544748261</v>
      </c>
      <c r="BB26" s="7">
        <f t="shared" si="93"/>
        <v>161.17447049300779</v>
      </c>
      <c r="BC26" s="7">
        <f t="shared" si="93"/>
        <v>159.5627257880777</v>
      </c>
      <c r="BD26" s="7">
        <f t="shared" si="93"/>
        <v>157.96709853019692</v>
      </c>
      <c r="BE26" s="7">
        <f t="shared" si="93"/>
        <v>156.38742754489496</v>
      </c>
      <c r="BF26" s="7">
        <f t="shared" si="93"/>
        <v>154.82355326944602</v>
      </c>
      <c r="BG26" s="7">
        <f t="shared" si="93"/>
        <v>153.27531773675156</v>
      </c>
      <c r="BH26" s="7">
        <f t="shared" si="93"/>
        <v>151.74256455938405</v>
      </c>
      <c r="BI26" s="7">
        <f t="shared" si="93"/>
        <v>150.2251389137902</v>
      </c>
      <c r="BJ26" s="7">
        <f t="shared" si="93"/>
        <v>148.72288752465229</v>
      </c>
      <c r="BK26" s="7">
        <f t="shared" si="93"/>
        <v>147.23565864940576</v>
      </c>
      <c r="BL26" s="7">
        <f t="shared" si="93"/>
        <v>145.76330206291169</v>
      </c>
      <c r="BM26" s="7">
        <f t="shared" ref="BM26:CG26" si="94">+BL26*(1+$AJ$30)</f>
        <v>144.30566904228257</v>
      </c>
      <c r="BN26" s="7">
        <f t="shared" si="94"/>
        <v>142.86261235185975</v>
      </c>
      <c r="BO26" s="7">
        <f t="shared" si="94"/>
        <v>141.43398622834115</v>
      </c>
      <c r="BP26" s="7">
        <f t="shared" si="94"/>
        <v>140.01964636605774</v>
      </c>
      <c r="BQ26" s="7">
        <f t="shared" si="94"/>
        <v>138.61944990239715</v>
      </c>
      <c r="BR26" s="7">
        <f t="shared" si="94"/>
        <v>137.23325540337316</v>
      </c>
      <c r="BS26" s="7">
        <f t="shared" si="94"/>
        <v>135.86092284933943</v>
      </c>
      <c r="BT26" s="7">
        <f t="shared" si="94"/>
        <v>134.50231362084602</v>
      </c>
      <c r="BU26" s="7">
        <f t="shared" si="94"/>
        <v>133.15729048463757</v>
      </c>
      <c r="BV26" s="7">
        <f t="shared" si="94"/>
        <v>131.82571757979119</v>
      </c>
      <c r="BW26" s="7">
        <f t="shared" si="94"/>
        <v>130.50746040399326</v>
      </c>
      <c r="BX26" s="7">
        <f t="shared" si="94"/>
        <v>129.20238579995333</v>
      </c>
      <c r="BY26" s="7">
        <f t="shared" si="94"/>
        <v>127.91036194195379</v>
      </c>
      <c r="BZ26" s="7">
        <f t="shared" si="94"/>
        <v>126.63125832253425</v>
      </c>
      <c r="CA26" s="7">
        <f t="shared" si="94"/>
        <v>125.36494573930891</v>
      </c>
      <c r="CB26" s="7">
        <f t="shared" si="94"/>
        <v>124.11129628191581</v>
      </c>
      <c r="CC26" s="7">
        <f t="shared" si="94"/>
        <v>122.87018331909665</v>
      </c>
      <c r="CD26" s="7">
        <f t="shared" si="94"/>
        <v>121.64148148590569</v>
      </c>
      <c r="CE26" s="7">
        <f t="shared" si="94"/>
        <v>120.42506667104662</v>
      </c>
      <c r="CF26" s="7">
        <f t="shared" si="94"/>
        <v>119.22081600433616</v>
      </c>
      <c r="CG26" s="7">
        <f t="shared" si="94"/>
        <v>118.02860784429279</v>
      </c>
      <c r="CH26" s="7">
        <f t="shared" ref="CH26:ES26" si="95">+CG26*(1+$AJ$30)</f>
        <v>116.84832176584986</v>
      </c>
      <c r="CI26" s="7">
        <f t="shared" si="95"/>
        <v>115.67983854819136</v>
      </c>
      <c r="CJ26" s="7">
        <f t="shared" si="95"/>
        <v>114.52304016270944</v>
      </c>
      <c r="CK26" s="7">
        <f t="shared" si="95"/>
        <v>113.37780976108235</v>
      </c>
      <c r="CL26" s="7">
        <f t="shared" si="95"/>
        <v>112.24403166347152</v>
      </c>
      <c r="CM26" s="7">
        <f t="shared" si="95"/>
        <v>111.12159134683679</v>
      </c>
      <c r="CN26" s="7">
        <f t="shared" si="95"/>
        <v>110.01037543336842</v>
      </c>
      <c r="CO26" s="7">
        <f t="shared" si="95"/>
        <v>108.91027167903474</v>
      </c>
      <c r="CP26" s="7">
        <f t="shared" si="95"/>
        <v>107.82116896224439</v>
      </c>
      <c r="CQ26" s="7">
        <f t="shared" si="95"/>
        <v>106.74295727262194</v>
      </c>
      <c r="CR26" s="7">
        <f t="shared" si="95"/>
        <v>105.67552769989571</v>
      </c>
      <c r="CS26" s="7">
        <f t="shared" si="95"/>
        <v>104.61877242289675</v>
      </c>
      <c r="CT26" s="7">
        <f t="shared" si="95"/>
        <v>103.57258469866778</v>
      </c>
      <c r="CU26" s="7">
        <f t="shared" si="95"/>
        <v>102.5368588516811</v>
      </c>
      <c r="CV26" s="7">
        <f t="shared" si="95"/>
        <v>101.51149026316429</v>
      </c>
      <c r="CW26" s="7">
        <f t="shared" si="95"/>
        <v>100.49637536053265</v>
      </c>
      <c r="CX26" s="7">
        <f t="shared" si="95"/>
        <v>99.491411606927329</v>
      </c>
      <c r="CY26" s="7">
        <f t="shared" si="95"/>
        <v>98.496497490858061</v>
      </c>
      <c r="CZ26" s="7">
        <f t="shared" si="95"/>
        <v>97.511532515949483</v>
      </c>
      <c r="DA26" s="7">
        <f t="shared" si="95"/>
        <v>96.53641719078999</v>
      </c>
      <c r="DB26" s="7">
        <f t="shared" si="95"/>
        <v>95.571053018882083</v>
      </c>
      <c r="DC26" s="7">
        <f t="shared" si="95"/>
        <v>94.615342488693258</v>
      </c>
      <c r="DD26" s="7">
        <f t="shared" si="95"/>
        <v>93.669189063806328</v>
      </c>
      <c r="DE26" s="7">
        <f t="shared" si="95"/>
        <v>92.732497173168269</v>
      </c>
      <c r="DF26" s="7">
        <f t="shared" si="95"/>
        <v>91.805172201436591</v>
      </c>
      <c r="DG26" s="7">
        <f t="shared" si="95"/>
        <v>90.887120479422222</v>
      </c>
      <c r="DH26" s="7">
        <f t="shared" si="95"/>
        <v>89.978249274627998</v>
      </c>
      <c r="DI26" s="7">
        <f t="shared" si="95"/>
        <v>89.078466781881716</v>
      </c>
      <c r="DJ26" s="7">
        <f t="shared" si="95"/>
        <v>88.187682114062895</v>
      </c>
      <c r="DK26" s="7">
        <f t="shared" si="95"/>
        <v>87.305805292922258</v>
      </c>
      <c r="DL26" s="7">
        <f t="shared" si="95"/>
        <v>86.432747239993034</v>
      </c>
      <c r="DM26" s="7">
        <f t="shared" si="95"/>
        <v>85.568419767593099</v>
      </c>
      <c r="DN26" s="7">
        <f t="shared" si="95"/>
        <v>84.712735569917172</v>
      </c>
      <c r="DO26" s="7">
        <f t="shared" si="95"/>
        <v>83.865608214218</v>
      </c>
      <c r="DP26" s="7">
        <f t="shared" si="95"/>
        <v>83.02695213207582</v>
      </c>
      <c r="DQ26" s="7">
        <f t="shared" si="95"/>
        <v>82.196682610755062</v>
      </c>
      <c r="DR26" s="7">
        <f t="shared" si="95"/>
        <v>81.374715784647506</v>
      </c>
      <c r="DS26" s="7">
        <f t="shared" si="95"/>
        <v>80.560968626801028</v>
      </c>
      <c r="DT26" s="7">
        <f t="shared" si="95"/>
        <v>79.755358940533014</v>
      </c>
      <c r="DU26" s="7">
        <f t="shared" si="95"/>
        <v>78.957805351127689</v>
      </c>
      <c r="DV26" s="7">
        <f t="shared" si="95"/>
        <v>78.168227297616411</v>
      </c>
      <c r="DW26" s="7">
        <f t="shared" si="95"/>
        <v>77.386545024640242</v>
      </c>
      <c r="DX26" s="7">
        <f t="shared" si="95"/>
        <v>76.612679574393837</v>
      </c>
      <c r="DY26" s="7">
        <f t="shared" si="95"/>
        <v>75.846552778649894</v>
      </c>
      <c r="DZ26" s="7">
        <f t="shared" si="95"/>
        <v>75.088087250863396</v>
      </c>
      <c r="EA26" s="7">
        <f t="shared" si="95"/>
        <v>74.337206378354765</v>
      </c>
      <c r="EB26" s="7">
        <f t="shared" si="95"/>
        <v>73.593834314571211</v>
      </c>
      <c r="EC26" s="7">
        <f t="shared" si="95"/>
        <v>72.857895971425492</v>
      </c>
      <c r="ED26" s="7">
        <f t="shared" si="95"/>
        <v>72.129317011711237</v>
      </c>
      <c r="EE26" s="7">
        <f t="shared" si="95"/>
        <v>71.40802384159413</v>
      </c>
      <c r="EF26" s="7">
        <f t="shared" si="95"/>
        <v>70.693943603178184</v>
      </c>
      <c r="EG26" s="7">
        <f t="shared" si="95"/>
        <v>69.987004167146395</v>
      </c>
      <c r="EH26" s="7">
        <f t="shared" si="95"/>
        <v>69.287134125474935</v>
      </c>
      <c r="EI26" s="7">
        <f t="shared" si="95"/>
        <v>68.594262784220192</v>
      </c>
      <c r="EJ26" s="7">
        <f t="shared" si="95"/>
        <v>67.908320156377982</v>
      </c>
      <c r="EK26" s="7">
        <f t="shared" si="95"/>
        <v>67.229236954814198</v>
      </c>
      <c r="EL26" s="7">
        <f t="shared" si="95"/>
        <v>66.556944585266052</v>
      </c>
      <c r="EM26" s="7">
        <f t="shared" si="95"/>
        <v>65.891375139413384</v>
      </c>
      <c r="EN26" s="7">
        <f t="shared" si="95"/>
        <v>65.232461388019246</v>
      </c>
      <c r="EO26" s="7">
        <f t="shared" si="95"/>
        <v>64.580136774139049</v>
      </c>
      <c r="EP26" s="7">
        <f t="shared" si="95"/>
        <v>63.934335406397658</v>
      </c>
      <c r="EQ26" s="7">
        <f t="shared" si="95"/>
        <v>63.294992052333683</v>
      </c>
      <c r="ER26" s="7">
        <f t="shared" si="95"/>
        <v>62.662042131810345</v>
      </c>
      <c r="ES26" s="7">
        <f t="shared" si="95"/>
        <v>62.035421710492244</v>
      </c>
      <c r="ET26" s="7">
        <f t="shared" ref="ET26:EY26" si="96">+ES26*(1+$AJ$30)</f>
        <v>61.415067493387319</v>
      </c>
      <c r="EU26" s="7">
        <f t="shared" si="96"/>
        <v>60.800916818453445</v>
      </c>
      <c r="EV26" s="7">
        <f t="shared" si="96"/>
        <v>60.192907650268907</v>
      </c>
      <c r="EW26" s="7">
        <f t="shared" si="96"/>
        <v>59.590978573766215</v>
      </c>
      <c r="EX26" s="7">
        <f t="shared" si="96"/>
        <v>58.995068788028554</v>
      </c>
      <c r="EY26" s="7">
        <f t="shared" si="96"/>
        <v>58.405118100148265</v>
      </c>
    </row>
    <row r="27" spans="2:155" x14ac:dyDescent="0.2">
      <c r="B27" s="6" t="s">
        <v>36</v>
      </c>
      <c r="C27" s="5">
        <f t="shared" ref="C27:F27" si="97">C26/C28</f>
        <v>0.44023043686989938</v>
      </c>
      <c r="D27" s="5">
        <f t="shared" si="97"/>
        <v>0.68225668579802168</v>
      </c>
      <c r="E27" s="5">
        <f t="shared" si="97"/>
        <v>0.6355025218354039</v>
      </c>
      <c r="F27" s="5">
        <f t="shared" si="97"/>
        <v>1.0065966283899339</v>
      </c>
      <c r="G27" s="5">
        <f t="shared" ref="G27:J27" si="98">G26/G28</f>
        <v>0.59061648923000731</v>
      </c>
      <c r="H27" s="5">
        <f t="shared" si="98"/>
        <v>0.80258505060358476</v>
      </c>
      <c r="I27" s="5">
        <f t="shared" si="98"/>
        <v>0.524861563053034</v>
      </c>
      <c r="J27" s="5">
        <f t="shared" si="98"/>
        <v>1.2011777430597281</v>
      </c>
      <c r="K27" s="5">
        <f t="shared" ref="K27" si="99">K26/K28</f>
        <v>0.70927989712816153</v>
      </c>
      <c r="L27" s="5">
        <f t="shared" ref="L27" si="100">L26/L28</f>
        <v>1.1061450921560225</v>
      </c>
      <c r="M27" s="5">
        <f t="shared" ref="M27" si="101">M26/M28</f>
        <v>1.1482421774539222</v>
      </c>
      <c r="N27" s="5">
        <f t="shared" ref="N27" si="102">N26/N28</f>
        <v>1.1903392627518221</v>
      </c>
      <c r="Q27" s="5">
        <f t="shared" ref="Q27" si="103">Q26/Q28</f>
        <v>0.37735964322805376</v>
      </c>
      <c r="R27" s="5">
        <f t="shared" ref="R27" si="104">R26/R28</f>
        <v>0.73156281920326871</v>
      </c>
      <c r="S27" s="5">
        <f t="shared" ref="S27" si="105">S26/S28</f>
        <v>1.7316060126582276</v>
      </c>
      <c r="T27" s="5">
        <f t="shared" ref="T27" si="106">T26/T28</f>
        <v>2.2960161972250339</v>
      </c>
      <c r="U27" s="5">
        <f t="shared" ref="U27:V27" si="107">U26/U28</f>
        <v>2.7087986255982339</v>
      </c>
      <c r="V27" s="5">
        <f t="shared" si="107"/>
        <v>2.7605530852165439</v>
      </c>
      <c r="W27" s="5">
        <f>W26/W28</f>
        <v>3.1570941834996349</v>
      </c>
      <c r="X27" s="5">
        <f t="shared" ref="X27" si="108">X26/X28</f>
        <v>4.3589213333333356</v>
      </c>
      <c r="Y27" s="5">
        <f t="shared" ref="Y27" si="109">Y26/Y28</f>
        <v>4.9556463589743585</v>
      </c>
      <c r="Z27" s="5">
        <f t="shared" ref="Z27" si="110">Z26/Z28</f>
        <v>5.3730671666666652</v>
      </c>
      <c r="AA27" s="5">
        <f t="shared" ref="AA27" si="111">AA26/AA28</f>
        <v>6.339477198558332</v>
      </c>
      <c r="AB27" s="5">
        <f t="shared" ref="AB27" si="112">AB26/AB28</f>
        <v>7.4196817805616462</v>
      </c>
      <c r="AC27" s="5">
        <f t="shared" ref="AC27" si="113">AC26/AC28</f>
        <v>8.6257571784997129</v>
      </c>
      <c r="AD27" s="5">
        <f t="shared" ref="AD27" si="114">AD26/AD28</f>
        <v>9.1576701950741111</v>
      </c>
      <c r="AE27" s="5">
        <f t="shared" ref="AE27" si="115">AE26/AE28</f>
        <v>9.7187988456166359</v>
      </c>
      <c r="AF27" s="5">
        <f t="shared" ref="AF27" si="116">AF26/AF28</f>
        <v>10.310681215312201</v>
      </c>
    </row>
    <row r="28" spans="2:155" s="6" customFormat="1" x14ac:dyDescent="0.2">
      <c r="B28" s="6" t="s">
        <v>1</v>
      </c>
      <c r="C28" s="7">
        <v>16.664000000000001</v>
      </c>
      <c r="D28" s="7">
        <v>16.378</v>
      </c>
      <c r="E28" s="7">
        <v>16.257999999999999</v>
      </c>
      <c r="F28" s="7">
        <v>16.372</v>
      </c>
      <c r="G28" s="7">
        <v>16.155999999999999</v>
      </c>
      <c r="H28" s="7">
        <v>16.402000000000001</v>
      </c>
      <c r="I28" s="7">
        <v>17.516999999999999</v>
      </c>
      <c r="J28" s="7">
        <v>16.641999999999999</v>
      </c>
      <c r="K28" s="7">
        <v>18.664000000000001</v>
      </c>
      <c r="L28" s="7">
        <f t="shared" ref="L28:N28" si="117">+K28</f>
        <v>18.664000000000001</v>
      </c>
      <c r="M28" s="7">
        <f t="shared" si="117"/>
        <v>18.664000000000001</v>
      </c>
      <c r="N28" s="7">
        <f t="shared" si="117"/>
        <v>18.664000000000001</v>
      </c>
      <c r="O28" s="7"/>
      <c r="P28" s="7"/>
      <c r="Q28" s="7">
        <v>16.369</v>
      </c>
      <c r="R28" s="7">
        <v>14.685</v>
      </c>
      <c r="S28" s="7">
        <v>15.167999999999999</v>
      </c>
      <c r="T28" s="7">
        <v>16.792999999999999</v>
      </c>
      <c r="U28" s="7">
        <v>16.297999999999998</v>
      </c>
      <c r="V28" s="7">
        <v>16.417000000000002</v>
      </c>
      <c r="W28" s="7">
        <v>16.436</v>
      </c>
      <c r="X28" s="7">
        <v>19.5</v>
      </c>
      <c r="Y28" s="7">
        <f>+X28</f>
        <v>19.5</v>
      </c>
      <c r="Z28" s="7">
        <f t="shared" ref="Z28:AC28" si="118">+Y28</f>
        <v>19.5</v>
      </c>
      <c r="AA28" s="7">
        <f t="shared" si="118"/>
        <v>19.5</v>
      </c>
      <c r="AB28" s="7">
        <f t="shared" si="118"/>
        <v>19.5</v>
      </c>
      <c r="AC28" s="7">
        <f t="shared" si="118"/>
        <v>19.5</v>
      </c>
      <c r="AD28" s="7">
        <f t="shared" ref="AD28:AF28" si="119">+AC28</f>
        <v>19.5</v>
      </c>
      <c r="AE28" s="7">
        <f t="shared" si="119"/>
        <v>19.5</v>
      </c>
      <c r="AF28" s="7">
        <f t="shared" si="119"/>
        <v>19.5</v>
      </c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2:155" x14ac:dyDescent="0.2">
      <c r="AI29" s="31" t="s">
        <v>81</v>
      </c>
      <c r="AJ29" s="32">
        <v>5.0000000000000001E-3</v>
      </c>
    </row>
    <row r="30" spans="2:155" x14ac:dyDescent="0.2">
      <c r="B30" s="6" t="s">
        <v>37</v>
      </c>
      <c r="G30" s="10">
        <f>G15/C15-1</f>
        <v>0.32288288288288269</v>
      </c>
      <c r="H30" s="10">
        <f>H15/D15-1</f>
        <v>0.41057052852642628</v>
      </c>
      <c r="I30" s="10">
        <f>I15/E15-1</f>
        <v>0.36567637574668299</v>
      </c>
      <c r="J30" s="10">
        <f>J15/F15-1</f>
        <v>0.66955773779657335</v>
      </c>
      <c r="K30" s="10">
        <f t="shared" ref="K30:N30" si="120">K15/G15-1</f>
        <v>0.85773631163170805</v>
      </c>
      <c r="L30" s="10">
        <f t="shared" si="120"/>
        <v>0.75841604631927195</v>
      </c>
      <c r="M30" s="10">
        <f t="shared" si="120"/>
        <v>0.70773577967446633</v>
      </c>
      <c r="N30" s="10">
        <f t="shared" si="120"/>
        <v>0.30856087927185305</v>
      </c>
      <c r="R30" s="10">
        <f>R15/Q15-1</f>
        <v>4.1644342701280923E-2</v>
      </c>
      <c r="S30" s="10">
        <f t="shared" ref="S30" si="121">S15/R15-1</f>
        <v>0.18751753483587397</v>
      </c>
      <c r="T30" s="10">
        <f t="shared" ref="T30:AA30" si="122">T15/S15-1</f>
        <v>0.13856376433528572</v>
      </c>
      <c r="U30" s="10">
        <f t="shared" si="122"/>
        <v>0.10511754178158594</v>
      </c>
      <c r="V30" s="10">
        <f t="shared" si="122"/>
        <v>0.15216830048740793</v>
      </c>
      <c r="W30" s="10">
        <f t="shared" si="122"/>
        <v>0.45283121362948076</v>
      </c>
      <c r="X30" s="10">
        <f t="shared" si="122"/>
        <v>0.6197086330430881</v>
      </c>
      <c r="Y30" s="10">
        <f t="shared" si="122"/>
        <v>0.14999999999999991</v>
      </c>
      <c r="Z30" s="10">
        <f t="shared" si="122"/>
        <v>0.14999999999999991</v>
      </c>
      <c r="AA30" s="10">
        <f t="shared" si="122"/>
        <v>0.10000000000000009</v>
      </c>
      <c r="AB30" s="10">
        <f t="shared" ref="AB30:AF30" si="123">AB15/AA15-1</f>
        <v>0.10000000000000009</v>
      </c>
      <c r="AC30" s="10">
        <f t="shared" si="123"/>
        <v>0.10000000000000009</v>
      </c>
      <c r="AD30" s="10">
        <f t="shared" si="123"/>
        <v>5.0000000000000044E-2</v>
      </c>
      <c r="AE30" s="10">
        <f t="shared" si="123"/>
        <v>5.0000000000000044E-2</v>
      </c>
      <c r="AF30" s="10">
        <f t="shared" si="123"/>
        <v>5.0000000000000044E-2</v>
      </c>
      <c r="AI30" s="22" t="s">
        <v>61</v>
      </c>
      <c r="AJ30" s="21">
        <v>-0.01</v>
      </c>
    </row>
    <row r="31" spans="2:155" x14ac:dyDescent="0.2">
      <c r="AI31" s="22" t="s">
        <v>62</v>
      </c>
      <c r="AJ31" s="21">
        <v>7.0000000000000007E-2</v>
      </c>
    </row>
    <row r="32" spans="2:155" x14ac:dyDescent="0.2">
      <c r="B32" s="6" t="s">
        <v>38</v>
      </c>
      <c r="C32" s="10">
        <f t="shared" ref="C32:D32" si="124">C17/C15</f>
        <v>0.77642642642642645</v>
      </c>
      <c r="D32" s="10">
        <f t="shared" si="124"/>
        <v>0.77785555944463891</v>
      </c>
      <c r="E32" s="10">
        <f t="shared" ref="E32:F32" si="125">E17/E15</f>
        <v>0.77417138023999577</v>
      </c>
      <c r="F32" s="10">
        <f t="shared" si="125"/>
        <v>0.7777698133944998</v>
      </c>
      <c r="G32" s="10">
        <f t="shared" ref="G32:H32" si="126">G17/G15</f>
        <v>0.78150821756106414</v>
      </c>
      <c r="H32" s="10">
        <f t="shared" si="126"/>
        <v>0.79449958643507024</v>
      </c>
      <c r="I32" s="10">
        <f t="shared" ref="I32" si="127">I17/I15</f>
        <v>0.78344848942305834</v>
      </c>
      <c r="J32" s="10">
        <f>J17/J15</f>
        <v>0.81133722594309921</v>
      </c>
      <c r="K32" s="10">
        <f t="shared" ref="K32:N32" si="128">K17/K15</f>
        <v>0.82132776128157192</v>
      </c>
      <c r="L32" s="10">
        <f t="shared" si="128"/>
        <v>0.80000000000000016</v>
      </c>
      <c r="M32" s="10">
        <f t="shared" si="128"/>
        <v>0.8</v>
      </c>
      <c r="N32" s="10">
        <f t="shared" si="128"/>
        <v>0.8</v>
      </c>
      <c r="Q32" s="10">
        <f t="shared" ref="Q32:T32" si="129">Q17/Q15</f>
        <v>0.72098290390141739</v>
      </c>
      <c r="R32" s="10">
        <f t="shared" si="129"/>
        <v>0.72313663144112972</v>
      </c>
      <c r="S32" s="10">
        <f t="shared" si="129"/>
        <v>0.74196977900280547</v>
      </c>
      <c r="T32" s="10">
        <f t="shared" si="129"/>
        <v>0.7600228253257364</v>
      </c>
      <c r="U32" s="10">
        <f t="shared" ref="U32" si="130">U17/U15</f>
        <v>0.78485201730572141</v>
      </c>
      <c r="V32" s="10">
        <f>V17/V15</f>
        <v>0.77655854253101464</v>
      </c>
      <c r="W32" s="10">
        <f t="shared" ref="W32:X32" si="131">W17/W15</f>
        <v>0.79465500077118301</v>
      </c>
      <c r="X32" s="10">
        <f t="shared" si="131"/>
        <v>0.80503653173586354</v>
      </c>
      <c r="Y32" s="10">
        <f t="shared" ref="Y32:AC32" si="132">Y17/Y15</f>
        <v>0.8</v>
      </c>
      <c r="Z32" s="10">
        <f t="shared" si="132"/>
        <v>0.8</v>
      </c>
      <c r="AA32" s="10">
        <f t="shared" si="132"/>
        <v>0.8</v>
      </c>
      <c r="AB32" s="10">
        <f t="shared" si="132"/>
        <v>0.8</v>
      </c>
      <c r="AC32" s="10">
        <f t="shared" si="132"/>
        <v>0.8</v>
      </c>
      <c r="AD32" s="10">
        <f t="shared" ref="AD32:AF32" si="133">AD17/AD15</f>
        <v>0.8</v>
      </c>
      <c r="AE32" s="10">
        <f t="shared" si="133"/>
        <v>0.8</v>
      </c>
      <c r="AF32" s="10">
        <f t="shared" si="133"/>
        <v>0.8</v>
      </c>
      <c r="AI32" s="22" t="s">
        <v>63</v>
      </c>
      <c r="AJ32" s="12">
        <f>NPV(AJ31,X26:EY26)</f>
        <v>2243.0513204997005</v>
      </c>
    </row>
    <row r="33" spans="2:43" x14ac:dyDescent="0.2">
      <c r="B33" t="s">
        <v>39</v>
      </c>
      <c r="C33" s="10">
        <f t="shared" ref="C33:J33" si="134">C22/C15</f>
        <v>0.22138138138138147</v>
      </c>
      <c r="D33" s="10">
        <f t="shared" si="134"/>
        <v>0.22223194493057985</v>
      </c>
      <c r="E33" s="10">
        <f t="shared" si="134"/>
        <v>0.26896442353438693</v>
      </c>
      <c r="F33" s="10">
        <f t="shared" si="134"/>
        <v>0.16923518027381546</v>
      </c>
      <c r="G33" s="10">
        <f t="shared" si="134"/>
        <v>0.18961681648960316</v>
      </c>
      <c r="H33" s="10">
        <f t="shared" si="134"/>
        <v>0.174586435070306</v>
      </c>
      <c r="I33" s="10">
        <f t="shared" si="134"/>
        <v>0.28858696704019809</v>
      </c>
      <c r="J33" s="10">
        <f t="shared" si="134"/>
        <v>0.27278321598259769</v>
      </c>
      <c r="K33" s="10">
        <f t="shared" ref="K33:N33" si="135">K22/K15</f>
        <v>0.27150310984029236</v>
      </c>
      <c r="L33" s="10">
        <f t="shared" si="135"/>
        <v>0.25028634594353055</v>
      </c>
      <c r="M33" s="10">
        <f t="shared" si="135"/>
        <v>0.25038929247367897</v>
      </c>
      <c r="N33" s="10">
        <f t="shared" si="135"/>
        <v>0.25048503341098255</v>
      </c>
      <c r="Q33" s="10">
        <f t="shared" ref="Q33:T33" si="136">Q22/Q15</f>
        <v>7.0807559300570005E-2</v>
      </c>
      <c r="R33" s="10">
        <f t="shared" si="136"/>
        <v>7.8041709529598824E-2</v>
      </c>
      <c r="S33" s="10">
        <f t="shared" si="136"/>
        <v>0.16959196731800952</v>
      </c>
      <c r="T33" s="10">
        <f t="shared" si="136"/>
        <v>0.20886037644495548</v>
      </c>
      <c r="U33" s="10">
        <f>U22/U15</f>
        <v>0.26692432267503274</v>
      </c>
      <c r="V33" s="10">
        <f t="shared" ref="V33:W33" si="137">V22/V15</f>
        <v>0.21897344315504283</v>
      </c>
      <c r="W33" s="10">
        <f t="shared" si="137"/>
        <v>0.23728132288263531</v>
      </c>
      <c r="X33" s="10">
        <f t="shared" ref="X33:AC33" si="138">X22/X15</f>
        <v>0.25537530154552918</v>
      </c>
      <c r="Y33" s="10">
        <f t="shared" si="138"/>
        <v>0.30309843520014296</v>
      </c>
      <c r="Z33" s="10">
        <f t="shared" si="138"/>
        <v>0.35075242151197616</v>
      </c>
      <c r="AA33" s="10">
        <f t="shared" si="138"/>
        <v>0.37533504710489524</v>
      </c>
      <c r="AB33" s="10">
        <f t="shared" si="138"/>
        <v>0.39853540819074218</v>
      </c>
      <c r="AC33" s="10">
        <f t="shared" si="138"/>
        <v>0.42043319049295363</v>
      </c>
      <c r="AD33" s="10">
        <f t="shared" ref="AD33:AF33" si="139">AD22/AD15</f>
        <v>0.42401307003427724</v>
      </c>
      <c r="AE33" s="10">
        <f t="shared" si="139"/>
        <v>0.42752476139386142</v>
      </c>
      <c r="AF33" s="10">
        <f t="shared" si="139"/>
        <v>0.43096956339421544</v>
      </c>
      <c r="AI33" s="22" t="s">
        <v>64</v>
      </c>
      <c r="AJ33" s="12">
        <f>AJ32+Main!L5-Main!L6</f>
        <v>2156.6393204997007</v>
      </c>
    </row>
    <row r="34" spans="2:43" x14ac:dyDescent="0.2">
      <c r="AI34" s="22" t="s">
        <v>65</v>
      </c>
      <c r="AJ34" s="5">
        <f>AJ33/17.5</f>
        <v>123.23653259998289</v>
      </c>
    </row>
    <row r="35" spans="2:43" x14ac:dyDescent="0.2">
      <c r="B35" t="s">
        <v>66</v>
      </c>
      <c r="J35" s="7">
        <f>+J36-J47</f>
        <v>-86.412000000000006</v>
      </c>
      <c r="K35" s="7">
        <f>+J35+K26</f>
        <v>-73.173999999999992</v>
      </c>
      <c r="L35" s="7">
        <f t="shared" ref="L35:N35" si="140">+K35+L26</f>
        <v>-52.528907999999987</v>
      </c>
      <c r="M35" s="7">
        <f t="shared" si="140"/>
        <v>-31.09811599999998</v>
      </c>
      <c r="N35" s="7">
        <f t="shared" si="140"/>
        <v>-8.8816239999999702</v>
      </c>
      <c r="X35" s="7">
        <f>+N35</f>
        <v>-8.8816239999999702</v>
      </c>
      <c r="Y35" s="7">
        <f>+X35+Y26</f>
        <v>87.753480000000025</v>
      </c>
      <c r="Z35" s="7">
        <f t="shared" ref="Z35:AF35" si="141">+Y35+Z26</f>
        <v>192.52828975</v>
      </c>
      <c r="AA35" s="7">
        <f t="shared" si="141"/>
        <v>316.14809512188748</v>
      </c>
      <c r="AB35" s="7">
        <f t="shared" si="141"/>
        <v>460.83188984283959</v>
      </c>
      <c r="AC35" s="7">
        <f t="shared" si="141"/>
        <v>629.034154823584</v>
      </c>
      <c r="AD35" s="7">
        <f t="shared" si="141"/>
        <v>807.60872362752912</v>
      </c>
      <c r="AE35" s="7">
        <f t="shared" si="141"/>
        <v>997.12530111705348</v>
      </c>
      <c r="AF35" s="7">
        <f t="shared" si="141"/>
        <v>1198.1835848156413</v>
      </c>
      <c r="AI35" s="22" t="s">
        <v>89</v>
      </c>
      <c r="AJ35" s="5">
        <v>93</v>
      </c>
    </row>
    <row r="36" spans="2:43" s="6" customFormat="1" x14ac:dyDescent="0.2">
      <c r="B36" s="6" t="s">
        <v>3</v>
      </c>
      <c r="C36" s="7"/>
      <c r="D36" s="7"/>
      <c r="E36" s="7"/>
      <c r="F36" s="7"/>
      <c r="G36" s="7"/>
      <c r="H36" s="7"/>
      <c r="I36" s="7"/>
      <c r="J36" s="7">
        <f>65.126+8.553+1.529</f>
        <v>75.207999999999998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10">
        <f>+AJ34/AJ35-1</f>
        <v>0.32512400645142892</v>
      </c>
      <c r="AK36" s="7"/>
      <c r="AL36" s="7"/>
      <c r="AM36" s="7"/>
      <c r="AN36" s="7"/>
      <c r="AO36" s="7"/>
      <c r="AP36" s="7"/>
      <c r="AQ36" s="7"/>
    </row>
    <row r="37" spans="2:43" s="6" customFormat="1" x14ac:dyDescent="0.2">
      <c r="B37" s="6" t="s">
        <v>68</v>
      </c>
      <c r="C37" s="7"/>
      <c r="D37" s="7"/>
      <c r="E37" s="7"/>
      <c r="F37" s="7"/>
      <c r="G37" s="7"/>
      <c r="H37" s="7"/>
      <c r="I37" s="7"/>
      <c r="J37" s="7">
        <v>55.052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:43" s="6" customFormat="1" x14ac:dyDescent="0.2">
      <c r="B38" s="6" t="s">
        <v>69</v>
      </c>
      <c r="C38" s="7"/>
      <c r="D38" s="7"/>
      <c r="E38" s="7"/>
      <c r="F38" s="7"/>
      <c r="G38" s="7"/>
      <c r="H38" s="7"/>
      <c r="I38" s="7"/>
      <c r="J38" s="7">
        <v>8.3450000000000006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2:43" s="6" customFormat="1" x14ac:dyDescent="0.2">
      <c r="B39" s="6" t="s">
        <v>70</v>
      </c>
      <c r="C39" s="7"/>
      <c r="D39" s="7"/>
      <c r="E39" s="7"/>
      <c r="F39" s="7"/>
      <c r="G39" s="7"/>
      <c r="H39" s="7"/>
      <c r="I39" s="7"/>
      <c r="J39" s="7">
        <v>31.707000000000001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2:43" s="6" customFormat="1" x14ac:dyDescent="0.2">
      <c r="B40" s="6" t="s">
        <v>71</v>
      </c>
      <c r="C40" s="7"/>
      <c r="D40" s="7"/>
      <c r="E40" s="7"/>
      <c r="F40" s="7"/>
      <c r="G40" s="7"/>
      <c r="H40" s="7"/>
      <c r="I40" s="7"/>
      <c r="J40" s="7">
        <f>197.807+95.95</f>
        <v>293.75700000000001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43" s="6" customFormat="1" x14ac:dyDescent="0.2">
      <c r="B41" s="6" t="s">
        <v>72</v>
      </c>
      <c r="C41" s="7"/>
      <c r="D41" s="7"/>
      <c r="E41" s="7"/>
      <c r="F41" s="7"/>
      <c r="G41" s="7"/>
      <c r="H41" s="7"/>
      <c r="I41" s="7"/>
      <c r="J41" s="7">
        <v>57.223999999999997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2:43" s="6" customFormat="1" x14ac:dyDescent="0.2">
      <c r="B42" s="6" t="s">
        <v>73</v>
      </c>
      <c r="C42" s="7"/>
      <c r="D42" s="7"/>
      <c r="E42" s="7"/>
      <c r="F42" s="7"/>
      <c r="G42" s="7"/>
      <c r="H42" s="7"/>
      <c r="I42" s="7"/>
      <c r="J42" s="7">
        <v>7.3209999999999997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2:43" s="6" customFormat="1" x14ac:dyDescent="0.2">
      <c r="B43" s="6" t="s">
        <v>74</v>
      </c>
      <c r="C43" s="7"/>
      <c r="D43" s="7"/>
      <c r="E43" s="7"/>
      <c r="F43" s="7"/>
      <c r="G43" s="7"/>
      <c r="H43" s="7"/>
      <c r="I43" s="7"/>
      <c r="J43" s="7">
        <f>SUM(J36:J42)</f>
        <v>528.61400000000003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2:43" s="6" customFormat="1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2:43" s="6" customFormat="1" x14ac:dyDescent="0.2">
      <c r="B45" s="6" t="s">
        <v>75</v>
      </c>
      <c r="C45" s="7"/>
      <c r="D45" s="7"/>
      <c r="E45" s="7"/>
      <c r="F45" s="7"/>
      <c r="G45" s="7"/>
      <c r="H45" s="7"/>
      <c r="I45" s="7"/>
      <c r="J45" s="7">
        <v>60.816000000000003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2:43" s="6" customFormat="1" x14ac:dyDescent="0.2">
      <c r="B46" s="6" t="s">
        <v>76</v>
      </c>
      <c r="C46" s="7"/>
      <c r="D46" s="7"/>
      <c r="E46" s="7"/>
      <c r="F46" s="7"/>
      <c r="G46" s="7"/>
      <c r="H46" s="7"/>
      <c r="I46" s="7"/>
      <c r="J46" s="7">
        <v>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2:43" s="6" customFormat="1" x14ac:dyDescent="0.2">
      <c r="B47" s="6" t="s">
        <v>4</v>
      </c>
      <c r="C47" s="7"/>
      <c r="D47" s="7"/>
      <c r="E47" s="7"/>
      <c r="F47" s="7"/>
      <c r="G47" s="7"/>
      <c r="H47" s="7"/>
      <c r="I47" s="7"/>
      <c r="J47" s="7">
        <f>4.267+157.353</f>
        <v>161.62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2:43" s="6" customFormat="1" x14ac:dyDescent="0.2">
      <c r="B48" s="6" t="s">
        <v>77</v>
      </c>
      <c r="C48" s="7"/>
      <c r="D48" s="7"/>
      <c r="E48" s="7"/>
      <c r="F48" s="7"/>
      <c r="G48" s="7"/>
      <c r="H48" s="7"/>
      <c r="I48" s="7"/>
      <c r="J48" s="7">
        <v>63.209000000000003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2:43" s="6" customFormat="1" x14ac:dyDescent="0.2">
      <c r="B49" s="6" t="s">
        <v>78</v>
      </c>
      <c r="C49" s="7"/>
      <c r="D49" s="7"/>
      <c r="E49" s="7"/>
      <c r="F49" s="7"/>
      <c r="G49" s="7"/>
      <c r="H49" s="7"/>
      <c r="I49" s="7"/>
      <c r="J49" s="7">
        <f>SUM(J45:J48)</f>
        <v>289.64499999999998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2:43" s="6" customFormat="1" x14ac:dyDescent="0.2">
      <c r="B50" s="6" t="s">
        <v>79</v>
      </c>
      <c r="C50" s="7"/>
      <c r="D50" s="7"/>
      <c r="E50" s="7"/>
      <c r="F50" s="7"/>
      <c r="G50" s="7"/>
      <c r="H50" s="7"/>
      <c r="I50" s="7"/>
      <c r="J50" s="7">
        <v>238.96899999999999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2:43" s="6" customFormat="1" x14ac:dyDescent="0.2">
      <c r="B51" s="6" t="s">
        <v>80</v>
      </c>
      <c r="C51" s="7"/>
      <c r="D51" s="7"/>
      <c r="E51" s="7"/>
      <c r="F51" s="7"/>
      <c r="G51" s="7"/>
      <c r="H51" s="7"/>
      <c r="I51" s="7"/>
      <c r="J51" s="7">
        <f>J50+J49</f>
        <v>528.61400000000003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2:43" x14ac:dyDescent="0.2">
      <c r="AG52" s="5"/>
    </row>
    <row r="53" spans="2:43" s="6" customFormat="1" x14ac:dyDescent="0.2">
      <c r="B53" s="6" t="s">
        <v>40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10.039999999999999</v>
      </c>
      <c r="R53" s="7">
        <v>4.8</v>
      </c>
      <c r="S53" s="7">
        <v>15.287000000000001</v>
      </c>
      <c r="T53" s="7"/>
      <c r="U53" s="7">
        <v>35.756</v>
      </c>
      <c r="V53" s="7">
        <v>51.725000000000001</v>
      </c>
      <c r="W53" s="7">
        <v>46.116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2:43" s="6" customFormat="1" x14ac:dyDescent="0.2">
      <c r="B54" s="6" t="s">
        <v>41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0.22500000000000001</v>
      </c>
      <c r="R54" s="7">
        <v>1.5069999999999999</v>
      </c>
      <c r="S54" s="7">
        <v>1.3080000000000001</v>
      </c>
      <c r="T54" s="7"/>
      <c r="U54" s="7">
        <v>5.282</v>
      </c>
      <c r="V54" s="7">
        <v>2.8580000000000001</v>
      </c>
      <c r="W54" s="7">
        <v>2.2909999999999999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2:43" s="6" customFormat="1" x14ac:dyDescent="0.2">
      <c r="B55" s="6" t="s">
        <v>42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>
        <f t="shared" ref="Q55:T55" si="142">+Q53-Q54</f>
        <v>9.8149999999999995</v>
      </c>
      <c r="R55" s="7">
        <f t="shared" si="142"/>
        <v>3.2930000000000001</v>
      </c>
      <c r="S55" s="7">
        <f t="shared" si="142"/>
        <v>13.979000000000001</v>
      </c>
      <c r="T55" s="7">
        <f t="shared" si="142"/>
        <v>0</v>
      </c>
      <c r="U55" s="7">
        <f>+U53-U54</f>
        <v>30.474</v>
      </c>
      <c r="V55" s="7">
        <f t="shared" ref="V55:W55" si="143">+V53-V54</f>
        <v>48.867000000000004</v>
      </c>
      <c r="W55" s="7">
        <f t="shared" si="143"/>
        <v>43.825000000000003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</sheetData>
  <hyperlinks>
    <hyperlink ref="A1" location="Main!A1" display="Main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/>
  </sheetViews>
  <sheetFormatPr defaultRowHeight="12.75" x14ac:dyDescent="0.2"/>
  <cols>
    <col min="2" max="2" width="10.28515625" bestFit="1" customWidth="1"/>
  </cols>
  <sheetData>
    <row r="2" spans="2:4" x14ac:dyDescent="0.2">
      <c r="B2" s="4" t="s">
        <v>125</v>
      </c>
      <c r="C2" s="4" t="s">
        <v>124</v>
      </c>
      <c r="D2" s="4" t="s">
        <v>123</v>
      </c>
    </row>
    <row r="3" spans="2:4" x14ac:dyDescent="0.2">
      <c r="B3" s="4" t="s">
        <v>127</v>
      </c>
      <c r="C3" s="4" t="s">
        <v>112</v>
      </c>
      <c r="D3" s="4" t="s">
        <v>126</v>
      </c>
    </row>
    <row r="4" spans="2:4" x14ac:dyDescent="0.2">
      <c r="B4" s="4" t="s">
        <v>120</v>
      </c>
      <c r="C4" s="4" t="s">
        <v>112</v>
      </c>
      <c r="D4" s="4" t="s">
        <v>119</v>
      </c>
    </row>
    <row r="5" spans="2:4" x14ac:dyDescent="0.2">
      <c r="B5" s="4" t="s">
        <v>118</v>
      </c>
      <c r="C5" s="4" t="s">
        <v>112</v>
      </c>
      <c r="D5" s="4" t="s">
        <v>117</v>
      </c>
    </row>
    <row r="6" spans="2:4" x14ac:dyDescent="0.2">
      <c r="B6" s="4" t="s">
        <v>113</v>
      </c>
      <c r="C6" s="4" t="s">
        <v>112</v>
      </c>
      <c r="D6" s="4" t="s">
        <v>111</v>
      </c>
    </row>
    <row r="7" spans="2:4" x14ac:dyDescent="0.2">
      <c r="B7" t="s">
        <v>146</v>
      </c>
      <c r="C7" t="s">
        <v>115</v>
      </c>
      <c r="D7" t="s">
        <v>145</v>
      </c>
    </row>
    <row r="8" spans="2:4" x14ac:dyDescent="0.2">
      <c r="B8" t="s">
        <v>131</v>
      </c>
      <c r="C8" t="s">
        <v>109</v>
      </c>
      <c r="D8" t="s">
        <v>130</v>
      </c>
    </row>
    <row r="9" spans="2:4" x14ac:dyDescent="0.2">
      <c r="B9" t="s">
        <v>122</v>
      </c>
      <c r="C9" t="s">
        <v>109</v>
      </c>
      <c r="D9" t="s">
        <v>121</v>
      </c>
    </row>
    <row r="10" spans="2:4" x14ac:dyDescent="0.2">
      <c r="B10" t="s">
        <v>116</v>
      </c>
      <c r="C10" t="s">
        <v>115</v>
      </c>
      <c r="D10" t="s">
        <v>114</v>
      </c>
    </row>
    <row r="11" spans="2:4" x14ac:dyDescent="0.2">
      <c r="B11" t="s">
        <v>110</v>
      </c>
      <c r="C11" t="s">
        <v>109</v>
      </c>
      <c r="D11" t="s">
        <v>108</v>
      </c>
    </row>
    <row r="12" spans="2:4" x14ac:dyDescent="0.2">
      <c r="B12" t="s">
        <v>138</v>
      </c>
      <c r="C12" t="s">
        <v>95</v>
      </c>
      <c r="D12" t="s">
        <v>137</v>
      </c>
    </row>
    <row r="13" spans="2:4" x14ac:dyDescent="0.2">
      <c r="B13" t="s">
        <v>136</v>
      </c>
      <c r="C13" t="s">
        <v>135</v>
      </c>
      <c r="D13" t="s">
        <v>134</v>
      </c>
    </row>
    <row r="14" spans="2:4" x14ac:dyDescent="0.2">
      <c r="B14" t="s">
        <v>133</v>
      </c>
      <c r="C14" t="s">
        <v>95</v>
      </c>
      <c r="D14" t="s">
        <v>132</v>
      </c>
    </row>
    <row r="15" spans="2:4" x14ac:dyDescent="0.2">
      <c r="B15" t="s">
        <v>98</v>
      </c>
      <c r="C15" t="s">
        <v>95</v>
      </c>
      <c r="D15" t="s">
        <v>97</v>
      </c>
    </row>
    <row r="16" spans="2:4" x14ac:dyDescent="0.2">
      <c r="B16" t="s">
        <v>96</v>
      </c>
      <c r="C16" t="s">
        <v>95</v>
      </c>
      <c r="D16" t="s">
        <v>94</v>
      </c>
    </row>
    <row r="17" spans="2:4" x14ac:dyDescent="0.2">
      <c r="B17" t="s">
        <v>107</v>
      </c>
      <c r="C17" t="s">
        <v>106</v>
      </c>
      <c r="D17" t="s">
        <v>105</v>
      </c>
    </row>
    <row r="18" spans="2:4" x14ac:dyDescent="0.2">
      <c r="B18" t="s">
        <v>104</v>
      </c>
      <c r="C18" t="s">
        <v>103</v>
      </c>
      <c r="D18" t="s">
        <v>102</v>
      </c>
    </row>
    <row r="19" spans="2:4" x14ac:dyDescent="0.2">
      <c r="B19" t="s">
        <v>129</v>
      </c>
      <c r="C19" t="s">
        <v>103</v>
      </c>
      <c r="D19" t="s">
        <v>128</v>
      </c>
    </row>
    <row r="20" spans="2:4" x14ac:dyDescent="0.2">
      <c r="B20" t="s">
        <v>101</v>
      </c>
      <c r="C20" t="s">
        <v>100</v>
      </c>
      <c r="D20" t="s">
        <v>99</v>
      </c>
    </row>
    <row r="21" spans="2:4" x14ac:dyDescent="0.2">
      <c r="B21" s="4" t="s">
        <v>144</v>
      </c>
      <c r="C21" s="4" t="s">
        <v>143</v>
      </c>
      <c r="D21" s="4" t="s">
        <v>142</v>
      </c>
    </row>
    <row r="22" spans="2:4" x14ac:dyDescent="0.2">
      <c r="B22" s="4" t="s">
        <v>93</v>
      </c>
      <c r="C22" s="4" t="s">
        <v>91</v>
      </c>
      <c r="D22" s="4" t="s">
        <v>90</v>
      </c>
    </row>
    <row r="23" spans="2:4" x14ac:dyDescent="0.2">
      <c r="B23" s="4" t="s">
        <v>92</v>
      </c>
      <c r="C23" s="4" t="s">
        <v>91</v>
      </c>
      <c r="D23" s="4" t="s">
        <v>90</v>
      </c>
    </row>
    <row r="24" spans="2:4" x14ac:dyDescent="0.2">
      <c r="B24" s="4" t="s">
        <v>141</v>
      </c>
      <c r="C24" s="4" t="s">
        <v>140</v>
      </c>
      <c r="D24" s="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M6" sqref="M6"/>
    </sheetView>
  </sheetViews>
  <sheetFormatPr defaultRowHeight="12.75" x14ac:dyDescent="0.2"/>
  <cols>
    <col min="1" max="1" width="5" bestFit="1" customWidth="1"/>
    <col min="2" max="2" width="23.42578125" bestFit="1" customWidth="1"/>
    <col min="3" max="3" width="14.85546875" bestFit="1" customWidth="1"/>
  </cols>
  <sheetData>
    <row r="1" spans="1:14" x14ac:dyDescent="0.2">
      <c r="A1" t="s">
        <v>6</v>
      </c>
    </row>
    <row r="2" spans="1:14" x14ac:dyDescent="0.2">
      <c r="B2" t="s">
        <v>55</v>
      </c>
      <c r="C2" s="2">
        <v>155400000000</v>
      </c>
    </row>
    <row r="3" spans="1:14" x14ac:dyDescent="0.2">
      <c r="B3" t="s">
        <v>67</v>
      </c>
      <c r="C3" s="2">
        <v>63600000000</v>
      </c>
    </row>
    <row r="4" spans="1:14" x14ac:dyDescent="0.2">
      <c r="C4" s="2"/>
    </row>
    <row r="5" spans="1:14" x14ac:dyDescent="0.2">
      <c r="B5" t="s">
        <v>56</v>
      </c>
      <c r="C5" s="2">
        <v>68800000000</v>
      </c>
    </row>
    <row r="6" spans="1:14" x14ac:dyDescent="0.2">
      <c r="B6" s="4" t="s">
        <v>57</v>
      </c>
      <c r="C6" s="19">
        <v>19200000000</v>
      </c>
    </row>
    <row r="7" spans="1:14" x14ac:dyDescent="0.2">
      <c r="B7" t="s">
        <v>58</v>
      </c>
      <c r="C7" s="2">
        <v>4076000000</v>
      </c>
    </row>
    <row r="8" spans="1:14" x14ac:dyDescent="0.2">
      <c r="C8" s="20">
        <f>+C7/C6</f>
        <v>0.21229166666666666</v>
      </c>
    </row>
    <row r="9" spans="1:14" x14ac:dyDescent="0.2">
      <c r="B9" t="s">
        <v>59</v>
      </c>
      <c r="C9" s="2">
        <v>555300000</v>
      </c>
    </row>
    <row r="12" spans="1:14" x14ac:dyDescent="0.2">
      <c r="C12">
        <v>2006</v>
      </c>
      <c r="D12">
        <f>+C12+1</f>
        <v>2007</v>
      </c>
      <c r="E12">
        <f t="shared" ref="E12:L12" si="0">+D12+1</f>
        <v>2008</v>
      </c>
      <c r="F12">
        <f t="shared" si="0"/>
        <v>2009</v>
      </c>
      <c r="G12">
        <f t="shared" si="0"/>
        <v>2010</v>
      </c>
      <c r="H12">
        <f t="shared" si="0"/>
        <v>2011</v>
      </c>
      <c r="I12">
        <f t="shared" si="0"/>
        <v>2012</v>
      </c>
      <c r="J12">
        <f t="shared" si="0"/>
        <v>2013</v>
      </c>
      <c r="K12">
        <f t="shared" si="0"/>
        <v>2014</v>
      </c>
      <c r="L12">
        <f t="shared" si="0"/>
        <v>2015</v>
      </c>
    </row>
    <row r="13" spans="1:14" x14ac:dyDescent="0.2">
      <c r="B13" t="s">
        <v>12</v>
      </c>
      <c r="C13">
        <v>72.7</v>
      </c>
      <c r="D13">
        <v>74.7</v>
      </c>
      <c r="E13">
        <v>74.900000000000006</v>
      </c>
      <c r="F13">
        <v>68</v>
      </c>
      <c r="G13">
        <v>67.099999999999994</v>
      </c>
      <c r="H13">
        <v>65.7</v>
      </c>
      <c r="I13">
        <v>65.2</v>
      </c>
      <c r="J13">
        <v>67.2</v>
      </c>
      <c r="K13">
        <v>67.8</v>
      </c>
      <c r="L13">
        <v>68.8</v>
      </c>
      <c r="N13" s="30">
        <f>L13/C13-1</f>
        <v>-5.364511691884466E-2</v>
      </c>
    </row>
    <row r="14" spans="1:14" x14ac:dyDescent="0.2">
      <c r="B14" t="s">
        <v>88</v>
      </c>
      <c r="C14">
        <v>213.1</v>
      </c>
      <c r="D14">
        <v>212.2</v>
      </c>
      <c r="E14">
        <v>202.7</v>
      </c>
      <c r="F14">
        <v>176.7</v>
      </c>
      <c r="G14">
        <v>170.9</v>
      </c>
      <c r="H14">
        <v>168.3</v>
      </c>
      <c r="I14">
        <v>159.9</v>
      </c>
      <c r="J14">
        <v>158.4</v>
      </c>
      <c r="K14">
        <v>155.4</v>
      </c>
      <c r="L14">
        <v>154.19999999999999</v>
      </c>
      <c r="N14" s="30">
        <f>L14/C14-1</f>
        <v>-0.27639605818864388</v>
      </c>
    </row>
    <row r="15" spans="1:14" x14ac:dyDescent="0.2">
      <c r="D15" s="20">
        <f>D14/C14-1</f>
        <v>-4.2233693101830783E-3</v>
      </c>
      <c r="E15" s="20">
        <f t="shared" ref="E15:L15" si="1">E14/D14-1</f>
        <v>-4.4769085768143313E-2</v>
      </c>
      <c r="F15" s="20">
        <f t="shared" si="1"/>
        <v>-0.12826837691169213</v>
      </c>
      <c r="G15" s="20">
        <f t="shared" si="1"/>
        <v>-3.2823995472552214E-2</v>
      </c>
      <c r="H15" s="20">
        <f t="shared" si="1"/>
        <v>-1.5213575190169637E-2</v>
      </c>
      <c r="I15" s="20">
        <f t="shared" si="1"/>
        <v>-4.9910873440285219E-2</v>
      </c>
      <c r="J15" s="20">
        <f t="shared" si="1"/>
        <v>-9.3808630393996673E-3</v>
      </c>
      <c r="K15" s="20">
        <f t="shared" si="1"/>
        <v>-1.8939393939393923E-2</v>
      </c>
      <c r="L15" s="20">
        <f t="shared" si="1"/>
        <v>-7.7220077220078176E-3</v>
      </c>
    </row>
    <row r="17" spans="2:14" x14ac:dyDescent="0.2">
      <c r="B17" t="s">
        <v>60</v>
      </c>
      <c r="C17">
        <v>44.4</v>
      </c>
      <c r="D17">
        <v>42.3</v>
      </c>
      <c r="E17">
        <v>35.4</v>
      </c>
      <c r="F17">
        <v>31.6</v>
      </c>
      <c r="G17">
        <v>28.9</v>
      </c>
      <c r="H17">
        <v>25.8</v>
      </c>
      <c r="I17">
        <v>23.2</v>
      </c>
      <c r="J17">
        <v>22.6</v>
      </c>
      <c r="K17">
        <v>21.5</v>
      </c>
      <c r="L17">
        <v>20.6</v>
      </c>
      <c r="N17" s="30">
        <f>L17/C17-1</f>
        <v>-0.536036036036036</v>
      </c>
    </row>
    <row r="18" spans="2:14" x14ac:dyDescent="0.2">
      <c r="D18" s="20">
        <f t="shared" ref="D18:K18" si="2">D17/C17-1</f>
        <v>-4.7297297297297369E-2</v>
      </c>
      <c r="E18" s="20">
        <f t="shared" si="2"/>
        <v>-0.16312056737588654</v>
      </c>
      <c r="F18" s="20">
        <f t="shared" si="2"/>
        <v>-0.10734463276836148</v>
      </c>
      <c r="G18" s="20">
        <f t="shared" si="2"/>
        <v>-8.5443037974683667E-2</v>
      </c>
      <c r="H18" s="20">
        <f t="shared" si="2"/>
        <v>-0.10726643598615915</v>
      </c>
      <c r="I18" s="20">
        <f t="shared" si="2"/>
        <v>-0.10077519379844968</v>
      </c>
      <c r="J18" s="20">
        <f t="shared" si="2"/>
        <v>-2.5862068965517127E-2</v>
      </c>
      <c r="K18" s="20">
        <f t="shared" si="2"/>
        <v>-4.8672566371681492E-2</v>
      </c>
      <c r="L18" s="20">
        <f>L17/K17-1</f>
        <v>-4.1860465116279055E-2</v>
      </c>
    </row>
    <row r="20" spans="2:14" s="4" customFormat="1" x14ac:dyDescent="0.2">
      <c r="B20" s="4" t="s">
        <v>57</v>
      </c>
      <c r="C20" s="9">
        <v>17.8</v>
      </c>
      <c r="D20" s="9">
        <v>18.5</v>
      </c>
      <c r="E20" s="9">
        <v>18.7</v>
      </c>
      <c r="F20" s="9">
        <v>17.7</v>
      </c>
      <c r="G20" s="9">
        <v>17.5</v>
      </c>
      <c r="H20" s="9">
        <v>16.899999999999999</v>
      </c>
      <c r="I20" s="9">
        <v>17.5</v>
      </c>
      <c r="J20" s="9">
        <v>18.3</v>
      </c>
      <c r="K20" s="9">
        <v>19</v>
      </c>
      <c r="L20" s="9">
        <v>19.2</v>
      </c>
    </row>
    <row r="21" spans="2:14" x14ac:dyDescent="0.2">
      <c r="B21" t="s">
        <v>85</v>
      </c>
      <c r="C21" s="6">
        <f>+C20*0.08</f>
        <v>1.4240000000000002</v>
      </c>
      <c r="D21" s="6">
        <f t="shared" ref="D21:L21" si="3">+D20*0.08</f>
        <v>1.48</v>
      </c>
      <c r="E21" s="6">
        <f t="shared" si="3"/>
        <v>1.496</v>
      </c>
      <c r="F21" s="6">
        <f t="shared" si="3"/>
        <v>1.4159999999999999</v>
      </c>
      <c r="G21" s="6">
        <f t="shared" si="3"/>
        <v>1.4000000000000001</v>
      </c>
      <c r="H21" s="6">
        <f t="shared" si="3"/>
        <v>1.3519999999999999</v>
      </c>
      <c r="I21" s="6">
        <f t="shared" si="3"/>
        <v>1.4000000000000001</v>
      </c>
      <c r="J21" s="6">
        <f t="shared" si="3"/>
        <v>1.4640000000000002</v>
      </c>
      <c r="K21" s="6">
        <f t="shared" si="3"/>
        <v>1.52</v>
      </c>
      <c r="L21" s="6">
        <f t="shared" si="3"/>
        <v>1.536</v>
      </c>
    </row>
    <row r="22" spans="2:14" s="6" customFormat="1" x14ac:dyDescent="0.2">
      <c r="B22" s="6" t="s">
        <v>82</v>
      </c>
      <c r="H22" s="6">
        <v>0.1016</v>
      </c>
      <c r="I22" s="6">
        <v>0.1157</v>
      </c>
      <c r="J22" s="6">
        <v>0.1278</v>
      </c>
      <c r="K22" s="6">
        <v>0.14729999999999999</v>
      </c>
      <c r="L22" s="6">
        <v>0.214</v>
      </c>
    </row>
    <row r="23" spans="2:14" x14ac:dyDescent="0.2">
      <c r="I23" s="20">
        <f>I22/H22-1</f>
        <v>0.13877952755905509</v>
      </c>
      <c r="J23" s="20">
        <f t="shared" ref="J23:L23" si="4">J22/I22-1</f>
        <v>0.10458081244598105</v>
      </c>
      <c r="K23" s="20">
        <f t="shared" si="4"/>
        <v>0.15258215962441302</v>
      </c>
      <c r="L23" s="20">
        <f t="shared" si="4"/>
        <v>0.45281737949762402</v>
      </c>
    </row>
    <row r="24" spans="2:14" x14ac:dyDescent="0.2">
      <c r="I24" s="20">
        <f t="shared" ref="I24:K24" si="5">I22/I21</f>
        <v>8.2642857142857129E-2</v>
      </c>
      <c r="J24" s="20">
        <f t="shared" si="5"/>
        <v>8.7295081967213098E-2</v>
      </c>
      <c r="K24" s="20">
        <f t="shared" si="5"/>
        <v>9.6907894736842096E-2</v>
      </c>
      <c r="L24" s="20">
        <f>L22/L21</f>
        <v>0.13932291666666666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Model Reviews</vt:lpstr>
      <vt:lpstr>USPS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2016-04-10T02:27:52Z</dcterms:created>
  <dcterms:modified xsi:type="dcterms:W3CDTF">2016-05-09T23:43:36Z</dcterms:modified>
</cp:coreProperties>
</file>