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900" windowHeight="12150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2" l="1"/>
  <c r="G67" i="2"/>
  <c r="G62" i="2"/>
  <c r="G66" i="2" s="1"/>
  <c r="G61" i="2"/>
  <c r="G38" i="2"/>
  <c r="G46" i="2" s="1"/>
  <c r="G48" i="2" s="1"/>
  <c r="G32" i="2"/>
  <c r="G36" i="2" s="1"/>
  <c r="J20" i="2"/>
  <c r="I20" i="2"/>
  <c r="T10" i="2"/>
  <c r="T8" i="2"/>
  <c r="T7" i="2"/>
  <c r="T6" i="2"/>
  <c r="T4" i="2"/>
  <c r="T3" i="2"/>
  <c r="T5" i="2"/>
  <c r="U5" i="2"/>
  <c r="U20" i="2" s="1"/>
  <c r="U15" i="2"/>
  <c r="U9" i="2"/>
  <c r="U7" i="2"/>
  <c r="U6" i="2"/>
  <c r="U4" i="2"/>
  <c r="U3" i="2"/>
  <c r="C15" i="2"/>
  <c r="C13" i="2"/>
  <c r="T13" i="2" s="1"/>
  <c r="C11" i="2"/>
  <c r="C5" i="2"/>
  <c r="G15" i="2"/>
  <c r="G13" i="2"/>
  <c r="U13" i="2" s="1"/>
  <c r="G11" i="2"/>
  <c r="G5" i="2"/>
  <c r="G20" i="2" s="1"/>
  <c r="D15" i="2"/>
  <c r="D13" i="2"/>
  <c r="D11" i="2"/>
  <c r="D5" i="2"/>
  <c r="H15" i="2"/>
  <c r="H13" i="2"/>
  <c r="H11" i="2"/>
  <c r="H5" i="2"/>
  <c r="H20" i="2" s="1"/>
  <c r="E15" i="2"/>
  <c r="E13" i="2"/>
  <c r="E11" i="2"/>
  <c r="E5" i="2"/>
  <c r="I15" i="2"/>
  <c r="I13" i="2"/>
  <c r="I11" i="2"/>
  <c r="I5" i="2"/>
  <c r="F10" i="2"/>
  <c r="J10" i="2"/>
  <c r="U10" i="2" s="1"/>
  <c r="J8" i="2"/>
  <c r="U8" i="2" s="1"/>
  <c r="J11" i="2"/>
  <c r="F8" i="2"/>
  <c r="F9" i="2"/>
  <c r="T9" i="2" s="1"/>
  <c r="F13" i="2"/>
  <c r="F5" i="2"/>
  <c r="J15" i="2"/>
  <c r="J13" i="2"/>
  <c r="J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L6" i="1"/>
  <c r="L7" i="1"/>
  <c r="L5" i="1"/>
  <c r="L4" i="1"/>
  <c r="U11" i="2" l="1"/>
  <c r="U12" i="2" s="1"/>
  <c r="U14" i="2" s="1"/>
  <c r="U16" i="2" s="1"/>
  <c r="G72" i="2"/>
  <c r="G25" i="2"/>
  <c r="J12" i="2"/>
  <c r="F11" i="2"/>
  <c r="F12" i="2" s="1"/>
  <c r="T11" i="2"/>
  <c r="T12" i="2"/>
  <c r="C12" i="2"/>
  <c r="C23" i="2" s="1"/>
  <c r="G12" i="2"/>
  <c r="G23" i="2"/>
  <c r="G14" i="2"/>
  <c r="G16" i="2" s="1"/>
  <c r="D12" i="2"/>
  <c r="H12" i="2"/>
  <c r="H23" i="2" s="1"/>
  <c r="E12" i="2"/>
  <c r="E23" i="2"/>
  <c r="E14" i="2"/>
  <c r="E16" i="2" s="1"/>
  <c r="E17" i="2" s="1"/>
  <c r="I12" i="2"/>
  <c r="I23" i="2"/>
  <c r="I14" i="2"/>
  <c r="I16" i="2" s="1"/>
  <c r="I17" i="2" s="1"/>
  <c r="J23" i="2"/>
  <c r="J14" i="2"/>
  <c r="J16" i="2" s="1"/>
  <c r="J17" i="2" s="1"/>
  <c r="F23" i="2"/>
  <c r="F14" i="2"/>
  <c r="F15" i="2" l="1"/>
  <c r="T15" i="2" s="1"/>
  <c r="G17" i="2"/>
  <c r="G50" i="2"/>
  <c r="C14" i="2"/>
  <c r="C16" i="2" s="1"/>
  <c r="C17" i="2" s="1"/>
  <c r="D14" i="2"/>
  <c r="D16" i="2" s="1"/>
  <c r="D17" i="2" s="1"/>
  <c r="D23" i="2"/>
  <c r="H14" i="2"/>
  <c r="H16" i="2" s="1"/>
  <c r="H17" i="2" s="1"/>
  <c r="T14" i="2"/>
  <c r="F16" i="2" l="1"/>
  <c r="F17" i="2" s="1"/>
  <c r="T16" i="2"/>
</calcChain>
</file>

<file path=xl/sharedStrings.xml><?xml version="1.0" encoding="utf-8"?>
<sst xmlns="http://schemas.openxmlformats.org/spreadsheetml/2006/main" count="94" uniqueCount="70">
  <si>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</si>
  <si>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</si>
  <si>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</si>
  <si>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</si>
  <si>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</si>
  <si>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</si>
  <si>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</si>
  <si>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</si>
  <si>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</si>
  <si>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</si>
  <si>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</si>
  <si>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</si>
  <si>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</si>
  <si>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</si>
  <si>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</si>
  <si>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</si>
  <si>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</si>
  <si>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</si>
  <si>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</si>
  <si>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Service</t>
  </si>
  <si>
    <t>Equipment</t>
  </si>
  <si>
    <t>Operating Income</t>
  </si>
  <si>
    <t>Operating Costs</t>
  </si>
  <si>
    <t>D&amp;A</t>
  </si>
  <si>
    <t>SG&amp;A</t>
  </si>
  <si>
    <t>Other Cost of Services</t>
  </si>
  <si>
    <t>Broadcast, programming and operations</t>
  </si>
  <si>
    <t>Interest Income</t>
  </si>
  <si>
    <t>Pretax Income</t>
  </si>
  <si>
    <t>Taxes+MI</t>
  </si>
  <si>
    <t>Net Income</t>
  </si>
  <si>
    <t>EPS</t>
  </si>
  <si>
    <t>EBITDA</t>
  </si>
  <si>
    <t>Non-GAAP</t>
  </si>
  <si>
    <t>GAAP</t>
  </si>
  <si>
    <t>Revenue Y/Y</t>
  </si>
  <si>
    <t>A/R</t>
  </si>
  <si>
    <t>Prepaids</t>
  </si>
  <si>
    <t>D/T</t>
  </si>
  <si>
    <t>OCA</t>
  </si>
  <si>
    <t>PP&amp;E</t>
  </si>
  <si>
    <t>Intangibles</t>
  </si>
  <si>
    <t>Licenses</t>
  </si>
  <si>
    <t>Investments</t>
  </si>
  <si>
    <t>OA</t>
  </si>
  <si>
    <t>Assets</t>
  </si>
  <si>
    <t>Net Cash</t>
  </si>
  <si>
    <t>A/P</t>
  </si>
  <si>
    <t>Deposits</t>
  </si>
  <si>
    <t>Accrued Taxes</t>
  </si>
  <si>
    <t>Dividends</t>
  </si>
  <si>
    <t>Pension</t>
  </si>
  <si>
    <t>ONCL</t>
  </si>
  <si>
    <t>Liabilities</t>
  </si>
  <si>
    <t>S/E</t>
  </si>
  <si>
    <t>L+S/E</t>
  </si>
  <si>
    <t>Model NI</t>
  </si>
  <si>
    <t>Reported GAAP NI</t>
  </si>
  <si>
    <t>Uncollectible Accounts</t>
  </si>
  <si>
    <t>Other</t>
  </si>
  <si>
    <t>CFFO</t>
  </si>
  <si>
    <t>CFFO+CFFI+CFFF</t>
  </si>
  <si>
    <t>CapEx</t>
  </si>
  <si>
    <t>Acquisitions</t>
  </si>
  <si>
    <t>Dispositions</t>
  </si>
  <si>
    <t>Sale of Securities</t>
  </si>
  <si>
    <t>CFFI</t>
  </si>
  <si>
    <t>Treasury Stock</t>
  </si>
  <si>
    <t>CFFF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</si>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</sst>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38100</xdr:rowOff>
    </xdr:from>
    <xdr:to>
      <xdr:col>10</xdr:col>
      <xdr:colOff>28575</xdr:colOff>
      <xdr:row>44</xdr:row>
      <xdr:rowOff>0</xdr:rowOff>
    </xdr:to>
    <xdr:cxnSp macro="">
      <xdr:nvCxnSpPr>
        <xdr:cNvPr id="3" name="Straight Connector 2"/>
        <xdr:cNvCxnSpPr/>
      </xdr:nvCxnSpPr>
      <xdr:spPr>
        <a:xfrm>
          <a:off x="6315075" y="38100"/>
          <a:ext cx="0" cy="6762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0</xdr:row>
      <xdr:rowOff>28575</xdr:rowOff>
    </xdr:from>
    <xdr:to>
      <xdr:col>21</xdr:col>
      <xdr:colOff>28575</xdr:colOff>
      <xdr:row>44</xdr:row>
      <xdr:rowOff>47625</xdr:rowOff>
    </xdr:to>
    <xdr:cxnSp macro="">
      <xdr:nvCxnSpPr>
        <xdr:cNvPr id="5" name="Straight Connector 4"/>
        <xdr:cNvCxnSpPr/>
      </xdr:nvCxnSpPr>
      <xdr:spPr>
        <a:xfrm>
          <a:off x="13020675" y="28575"/>
          <a:ext cx="0" cy="714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M9"/>
  <sheetViews>
    <sheetView tabSelected="1" workbookViewId="0"/>
  </sheetViews>
  <sheetFormatPr defaultRowHeight="12.75" x14ac:dyDescent="0.2"/>
  <sheetData>
    <row r="2" spans="11:13" x14ac:dyDescent="0.2">
      <c r="K2" t="s">
        <v>0</v>
      </c>
      <c r="L2" s="1">
        <v>37.93</v>
      </c>
    </row>
    <row r="3" spans="11:13" x14ac:dyDescent="0.2">
      <c r="K3" t="s">
        <v>1</v>
      </c>
      <c r="L3" s="2">
        <v>6151</v>
      </c>
      <c r="M3" s="3" t="s">
        <v>6</v>
      </c>
    </row>
    <row r="4" spans="11:13" x14ac:dyDescent="0.2">
      <c r="K4" t="s">
        <v>2</v>
      </c>
      <c r="L4" s="2">
        <f>+L2*L3</f>
        <v>233307.43</v>
      </c>
      <c r="M4" s="3"/>
    </row>
    <row r="5" spans="11:13" x14ac:dyDescent="0.2">
      <c r="K5" t="s">
        <v>3</v>
      </c>
      <c r="L5" s="2">
        <f>5121+1606</f>
        <v>6727</v>
      </c>
      <c r="M5" s="3" t="s">
        <v>6</v>
      </c>
    </row>
    <row r="6" spans="11:13" x14ac:dyDescent="0.2">
      <c r="K6" t="s">
        <v>4</v>
      </c>
      <c r="L6" s="2">
        <f>118515+7636</f>
        <v>126151</v>
      </c>
      <c r="M6" s="3" t="s">
        <v>6</v>
      </c>
    </row>
    <row r="7" spans="11:13" x14ac:dyDescent="0.2">
      <c r="K7" t="s">
        <v>5</v>
      </c>
      <c r="L7" s="2">
        <f>+L4-L5+L6</f>
        <v>352731.43</v>
      </c>
    </row>
    <row r="8" spans="11:13" x14ac:dyDescent="0.2">
      <c r="L8" s="2"/>
    </row>
    <row r="9" spans="11:13" x14ac:dyDescent="0.2">
      <c r="L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8"/>
  <sheetViews>
    <sheetView zoomScaleNormal="100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G72" sqref="G72"/>
    </sheetView>
  </sheetViews>
  <sheetFormatPr defaultRowHeight="12.75" x14ac:dyDescent="0.2"/>
  <cols>
    <col min="1" max="1" width="5.42578125" customWidth="1"/>
    <col min="2" max="2" width="19.5703125" customWidth="1"/>
    <col min="3" max="14" width="9.140625" style="3"/>
  </cols>
  <sheetData>
    <row r="1" spans="2:51" x14ac:dyDescent="0.2">
      <c r="C1" s="3" t="s">
        <v>34</v>
      </c>
      <c r="D1" s="3" t="s">
        <v>34</v>
      </c>
      <c r="E1" s="3" t="s">
        <v>34</v>
      </c>
      <c r="F1" s="3" t="s">
        <v>33</v>
      </c>
      <c r="G1" s="3" t="s">
        <v>34</v>
      </c>
      <c r="H1" s="3" t="s">
        <v>34</v>
      </c>
      <c r="I1" s="3" t="s">
        <v>34</v>
      </c>
      <c r="J1" s="3" t="s">
        <v>33</v>
      </c>
    </row>
    <row r="2" spans="2:51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R2">
        <v>2012</v>
      </c>
      <c r="S2">
        <f>+R2+1</f>
        <v>2013</v>
      </c>
      <c r="T2">
        <f t="shared" ref="T2:AY2" si="0">+S2+1</f>
        <v>2014</v>
      </c>
      <c r="U2">
        <f t="shared" si="0"/>
        <v>2015</v>
      </c>
      <c r="V2">
        <f t="shared" si="0"/>
        <v>2016</v>
      </c>
      <c r="W2">
        <f t="shared" si="0"/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  <c r="AI2">
        <f t="shared" si="0"/>
        <v>2029</v>
      </c>
      <c r="AJ2">
        <f t="shared" si="0"/>
        <v>2030</v>
      </c>
      <c r="AK2">
        <f t="shared" si="0"/>
        <v>2031</v>
      </c>
      <c r="AL2">
        <f t="shared" si="0"/>
        <v>2032</v>
      </c>
      <c r="AM2">
        <f t="shared" si="0"/>
        <v>2033</v>
      </c>
      <c r="AN2">
        <f t="shared" si="0"/>
        <v>2034</v>
      </c>
      <c r="AO2">
        <f t="shared" si="0"/>
        <v>2035</v>
      </c>
      <c r="AP2">
        <f t="shared" si="0"/>
        <v>2036</v>
      </c>
      <c r="AQ2">
        <f t="shared" si="0"/>
        <v>2037</v>
      </c>
      <c r="AR2">
        <f t="shared" si="0"/>
        <v>2038</v>
      </c>
      <c r="AS2">
        <f t="shared" si="0"/>
        <v>2039</v>
      </c>
      <c r="AT2">
        <f t="shared" si="0"/>
        <v>2040</v>
      </c>
      <c r="AU2">
        <f t="shared" si="0"/>
        <v>2041</v>
      </c>
      <c r="AV2">
        <f t="shared" si="0"/>
        <v>2042</v>
      </c>
      <c r="AW2">
        <f t="shared" si="0"/>
        <v>2043</v>
      </c>
      <c r="AX2">
        <f t="shared" si="0"/>
        <v>2044</v>
      </c>
      <c r="AY2">
        <f t="shared" si="0"/>
        <v>2045</v>
      </c>
    </row>
    <row r="3" spans="2:51" s="2" customFormat="1" x14ac:dyDescent="0.2">
      <c r="B3" s="2" t="s">
        <v>19</v>
      </c>
      <c r="C3" s="4">
        <v>29776</v>
      </c>
      <c r="D3" s="4">
        <v>29556</v>
      </c>
      <c r="E3" s="4">
        <v>29790</v>
      </c>
      <c r="F3" s="4">
        <v>29315</v>
      </c>
      <c r="G3" s="4">
        <v>28962</v>
      </c>
      <c r="H3" s="4">
        <v>29541</v>
      </c>
      <c r="I3" s="4">
        <v>35625</v>
      </c>
      <c r="J3" s="4">
        <v>37635</v>
      </c>
      <c r="K3" s="4"/>
      <c r="L3" s="4"/>
      <c r="M3" s="4"/>
      <c r="N3" s="4"/>
      <c r="T3" s="2">
        <f>SUM(C3:F3)</f>
        <v>118437</v>
      </c>
      <c r="U3" s="2">
        <f>SUM(G3:J3)</f>
        <v>131763</v>
      </c>
    </row>
    <row r="4" spans="2:51" s="2" customFormat="1" x14ac:dyDescent="0.2">
      <c r="B4" s="2" t="s">
        <v>20</v>
      </c>
      <c r="C4" s="4">
        <v>2700</v>
      </c>
      <c r="D4" s="4">
        <v>3019</v>
      </c>
      <c r="E4" s="4">
        <v>3167</v>
      </c>
      <c r="F4" s="4">
        <v>5124</v>
      </c>
      <c r="G4" s="4">
        <v>3614</v>
      </c>
      <c r="H4" s="4">
        <v>3474</v>
      </c>
      <c r="I4" s="4">
        <v>3466</v>
      </c>
      <c r="J4" s="4">
        <v>4484</v>
      </c>
      <c r="K4" s="4"/>
      <c r="L4" s="4"/>
      <c r="M4" s="4"/>
      <c r="N4" s="4"/>
      <c r="T4" s="2">
        <f>SUM(C4:F4)</f>
        <v>14010</v>
      </c>
      <c r="U4" s="2">
        <f>SUM(G4:J4)</f>
        <v>15038</v>
      </c>
    </row>
    <row r="5" spans="2:51" s="5" customFormat="1" x14ac:dyDescent="0.2">
      <c r="B5" s="5" t="s">
        <v>7</v>
      </c>
      <c r="C5" s="6">
        <f t="shared" ref="C5:J5" si="1">+C3+C4</f>
        <v>32476</v>
      </c>
      <c r="D5" s="6">
        <f t="shared" si="1"/>
        <v>32575</v>
      </c>
      <c r="E5" s="6">
        <f t="shared" si="1"/>
        <v>32957</v>
      </c>
      <c r="F5" s="6">
        <f t="shared" si="1"/>
        <v>34439</v>
      </c>
      <c r="G5" s="6">
        <f t="shared" si="1"/>
        <v>32576</v>
      </c>
      <c r="H5" s="6">
        <f t="shared" si="1"/>
        <v>33015</v>
      </c>
      <c r="I5" s="6">
        <f t="shared" si="1"/>
        <v>39091</v>
      </c>
      <c r="J5" s="6">
        <f t="shared" si="1"/>
        <v>42119</v>
      </c>
      <c r="K5" s="6"/>
      <c r="L5" s="6"/>
      <c r="M5" s="6"/>
      <c r="N5" s="6"/>
      <c r="T5" s="6">
        <f>+T3+T4</f>
        <v>132447</v>
      </c>
      <c r="U5" s="6">
        <f>+U3+U4</f>
        <v>146801</v>
      </c>
    </row>
    <row r="6" spans="2:51" s="2" customFormat="1" x14ac:dyDescent="0.2">
      <c r="B6" s="2" t="s">
        <v>20</v>
      </c>
      <c r="C6" s="4">
        <v>13321</v>
      </c>
      <c r="D6" s="4">
        <v>14212</v>
      </c>
      <c r="E6" s="4">
        <v>4432</v>
      </c>
      <c r="F6" s="4">
        <v>6443</v>
      </c>
      <c r="G6" s="4">
        <v>14581</v>
      </c>
      <c r="H6" s="4">
        <v>15140</v>
      </c>
      <c r="I6" s="4">
        <v>4501</v>
      </c>
      <c r="J6" s="4">
        <v>5868</v>
      </c>
      <c r="K6" s="4"/>
      <c r="L6" s="4"/>
      <c r="M6" s="4"/>
      <c r="N6" s="4"/>
      <c r="T6" s="2">
        <f t="shared" ref="T6:T10" si="2">SUM(C6:F6)</f>
        <v>38408</v>
      </c>
      <c r="U6" s="2">
        <f t="shared" ref="U6:U10" si="3">SUM(G6:J6)</f>
        <v>40090</v>
      </c>
    </row>
    <row r="7" spans="2:51" s="2" customFormat="1" x14ac:dyDescent="0.2">
      <c r="B7" s="2" t="s">
        <v>26</v>
      </c>
      <c r="C7" s="4"/>
      <c r="D7" s="4"/>
      <c r="E7" s="4">
        <v>1038</v>
      </c>
      <c r="F7" s="4">
        <v>1056</v>
      </c>
      <c r="G7" s="4"/>
      <c r="H7" s="4"/>
      <c r="I7" s="4">
        <v>4081</v>
      </c>
      <c r="J7" s="4">
        <v>5645</v>
      </c>
      <c r="K7" s="4"/>
      <c r="L7" s="4"/>
      <c r="M7" s="4"/>
      <c r="N7" s="4"/>
      <c r="T7" s="2">
        <f t="shared" si="2"/>
        <v>2094</v>
      </c>
      <c r="U7" s="2">
        <f t="shared" si="3"/>
        <v>9726</v>
      </c>
    </row>
    <row r="8" spans="2:51" s="2" customFormat="1" x14ac:dyDescent="0.2">
      <c r="B8" s="2" t="s">
        <v>25</v>
      </c>
      <c r="C8" s="4"/>
      <c r="D8" s="4"/>
      <c r="E8" s="4">
        <v>8866</v>
      </c>
      <c r="F8" s="4">
        <f>10957-299-89-8</f>
        <v>10561</v>
      </c>
      <c r="G8" s="4"/>
      <c r="H8" s="4"/>
      <c r="I8" s="4">
        <v>9214</v>
      </c>
      <c r="J8" s="4">
        <f>8178+2152-79-55-249-36</f>
        <v>9911</v>
      </c>
      <c r="K8" s="4"/>
      <c r="L8" s="4"/>
      <c r="M8" s="4"/>
      <c r="N8" s="4"/>
      <c r="T8" s="2">
        <f t="shared" si="2"/>
        <v>19427</v>
      </c>
      <c r="U8" s="2">
        <f t="shared" si="3"/>
        <v>19125</v>
      </c>
    </row>
    <row r="9" spans="2:51" s="2" customFormat="1" x14ac:dyDescent="0.2">
      <c r="B9" s="2" t="s">
        <v>24</v>
      </c>
      <c r="C9" s="4">
        <v>8260</v>
      </c>
      <c r="D9" s="4">
        <v>8197</v>
      </c>
      <c r="E9" s="4">
        <v>8475</v>
      </c>
      <c r="F9" s="4">
        <f>14765-7869</f>
        <v>6896</v>
      </c>
      <c r="G9" s="4">
        <v>7961</v>
      </c>
      <c r="H9" s="4">
        <v>7467</v>
      </c>
      <c r="I9" s="4">
        <v>9107</v>
      </c>
      <c r="J9" s="4">
        <v>8419</v>
      </c>
      <c r="K9" s="4"/>
      <c r="L9" s="4"/>
      <c r="M9" s="4"/>
      <c r="N9" s="4"/>
      <c r="T9" s="2">
        <f t="shared" si="2"/>
        <v>31828</v>
      </c>
      <c r="U9" s="2">
        <f t="shared" si="3"/>
        <v>32954</v>
      </c>
    </row>
    <row r="10" spans="2:51" s="2" customFormat="1" x14ac:dyDescent="0.2">
      <c r="B10" s="2" t="s">
        <v>23</v>
      </c>
      <c r="C10" s="4">
        <v>4617</v>
      </c>
      <c r="D10" s="4">
        <v>4550</v>
      </c>
      <c r="E10" s="4">
        <v>4539</v>
      </c>
      <c r="F10" s="4">
        <f>4567-38-34</f>
        <v>4495</v>
      </c>
      <c r="G10" s="4">
        <v>4578</v>
      </c>
      <c r="H10" s="4">
        <v>4696</v>
      </c>
      <c r="I10" s="4">
        <v>6265</v>
      </c>
      <c r="J10" s="4">
        <f>6477-1273</f>
        <v>5204</v>
      </c>
      <c r="K10" s="4"/>
      <c r="L10" s="4"/>
      <c r="M10" s="4"/>
      <c r="N10" s="4"/>
      <c r="T10" s="2">
        <f t="shared" si="2"/>
        <v>18201</v>
      </c>
      <c r="U10" s="2">
        <f t="shared" si="3"/>
        <v>20743</v>
      </c>
    </row>
    <row r="11" spans="2:51" s="2" customFormat="1" x14ac:dyDescent="0.2">
      <c r="B11" s="2" t="s">
        <v>22</v>
      </c>
      <c r="C11" s="4">
        <f t="shared" ref="C11:J11" si="4">SUM(C6:C10)</f>
        <v>26198</v>
      </c>
      <c r="D11" s="4">
        <f t="shared" si="4"/>
        <v>26959</v>
      </c>
      <c r="E11" s="4">
        <f t="shared" si="4"/>
        <v>27350</v>
      </c>
      <c r="F11" s="4">
        <f t="shared" si="4"/>
        <v>29451</v>
      </c>
      <c r="G11" s="4">
        <f t="shared" si="4"/>
        <v>27120</v>
      </c>
      <c r="H11" s="4">
        <f t="shared" si="4"/>
        <v>27303</v>
      </c>
      <c r="I11" s="4">
        <f t="shared" si="4"/>
        <v>33168</v>
      </c>
      <c r="J11" s="4">
        <f t="shared" si="4"/>
        <v>35047</v>
      </c>
      <c r="K11" s="4"/>
      <c r="L11" s="4"/>
      <c r="M11" s="4"/>
      <c r="N11" s="4"/>
      <c r="T11" s="4">
        <f>SUM(T6:T10)</f>
        <v>109958</v>
      </c>
      <c r="U11" s="4">
        <f>SUM(U6:U10)</f>
        <v>122638</v>
      </c>
    </row>
    <row r="12" spans="2:51" s="2" customFormat="1" x14ac:dyDescent="0.2">
      <c r="B12" s="2" t="s">
        <v>21</v>
      </c>
      <c r="C12" s="8">
        <f t="shared" ref="C12:J12" si="5">C5-C11</f>
        <v>6278</v>
      </c>
      <c r="D12" s="8">
        <f t="shared" si="5"/>
        <v>5616</v>
      </c>
      <c r="E12" s="8">
        <f t="shared" si="5"/>
        <v>5607</v>
      </c>
      <c r="F12" s="8">
        <f t="shared" si="5"/>
        <v>4988</v>
      </c>
      <c r="G12" s="4">
        <f t="shared" si="5"/>
        <v>5456</v>
      </c>
      <c r="H12" s="4">
        <f t="shared" si="5"/>
        <v>5712</v>
      </c>
      <c r="I12" s="4">
        <f t="shared" si="5"/>
        <v>5923</v>
      </c>
      <c r="J12" s="4">
        <f t="shared" si="5"/>
        <v>7072</v>
      </c>
      <c r="K12" s="4"/>
      <c r="L12" s="4"/>
      <c r="M12" s="4"/>
      <c r="N12" s="4"/>
      <c r="T12" s="4">
        <f>T5-T11</f>
        <v>22489</v>
      </c>
      <c r="U12" s="4">
        <f>U5-U11</f>
        <v>24163</v>
      </c>
    </row>
    <row r="13" spans="2:51" s="2" customFormat="1" x14ac:dyDescent="0.2">
      <c r="B13" s="2" t="s">
        <v>27</v>
      </c>
      <c r="C13" s="4">
        <f>-860+88+145</f>
        <v>-627</v>
      </c>
      <c r="D13" s="4">
        <f>-881+102+1269</f>
        <v>490</v>
      </c>
      <c r="E13" s="4">
        <f>-1016-2+42</f>
        <v>-976</v>
      </c>
      <c r="F13" s="4">
        <f>-856-13+125</f>
        <v>-744</v>
      </c>
      <c r="G13" s="4">
        <f>-899+70</f>
        <v>-829</v>
      </c>
      <c r="H13" s="4">
        <f>-932+33+48</f>
        <v>-851</v>
      </c>
      <c r="I13" s="4">
        <f>-1146-57+15</f>
        <v>-1188</v>
      </c>
      <c r="J13" s="4">
        <f>-1143+31-113</f>
        <v>-1225</v>
      </c>
      <c r="K13" s="4"/>
      <c r="L13" s="4"/>
      <c r="M13" s="4"/>
      <c r="N13" s="4"/>
      <c r="T13" s="2">
        <f>SUM(C13:F13)</f>
        <v>-1857</v>
      </c>
      <c r="U13" s="2">
        <f>SUM(G13:J13)</f>
        <v>-4093</v>
      </c>
    </row>
    <row r="14" spans="2:51" s="2" customFormat="1" x14ac:dyDescent="0.2">
      <c r="B14" s="2" t="s">
        <v>28</v>
      </c>
      <c r="C14" s="4">
        <f t="shared" ref="C14:J14" si="6">+C12+C13</f>
        <v>5651</v>
      </c>
      <c r="D14" s="4">
        <f t="shared" si="6"/>
        <v>6106</v>
      </c>
      <c r="E14" s="4">
        <f t="shared" si="6"/>
        <v>4631</v>
      </c>
      <c r="F14" s="4">
        <f t="shared" si="6"/>
        <v>4244</v>
      </c>
      <c r="G14" s="4">
        <f t="shared" si="6"/>
        <v>4627</v>
      </c>
      <c r="H14" s="4">
        <f t="shared" si="6"/>
        <v>4861</v>
      </c>
      <c r="I14" s="4">
        <f t="shared" si="6"/>
        <v>4735</v>
      </c>
      <c r="J14" s="4">
        <f t="shared" si="6"/>
        <v>5847</v>
      </c>
      <c r="K14" s="4"/>
      <c r="L14" s="4"/>
      <c r="M14" s="4"/>
      <c r="N14" s="4"/>
      <c r="T14" s="4">
        <f>+T12+T13</f>
        <v>20632</v>
      </c>
      <c r="U14" s="4">
        <f>+U12+U13</f>
        <v>20070</v>
      </c>
    </row>
    <row r="15" spans="2:51" s="2" customFormat="1" x14ac:dyDescent="0.2">
      <c r="B15" s="2" t="s">
        <v>29</v>
      </c>
      <c r="C15" s="4">
        <f>1917+82</f>
        <v>1999</v>
      </c>
      <c r="D15" s="4">
        <f>2485+74</f>
        <v>2559</v>
      </c>
      <c r="E15" s="4">
        <f>1444+57</f>
        <v>1501</v>
      </c>
      <c r="F15" s="9">
        <f>+F14*0.25</f>
        <v>1061</v>
      </c>
      <c r="G15" s="4">
        <f>1351+76</f>
        <v>1427</v>
      </c>
      <c r="H15" s="4">
        <f>1715+102</f>
        <v>1817</v>
      </c>
      <c r="I15" s="4">
        <f>1657+84</f>
        <v>1741</v>
      </c>
      <c r="J15" s="4">
        <f>2221+80</f>
        <v>2301</v>
      </c>
      <c r="K15" s="4"/>
      <c r="L15" s="4"/>
      <c r="M15" s="4"/>
      <c r="N15" s="4"/>
      <c r="T15" s="2">
        <f>SUM(C15:F15)</f>
        <v>7120</v>
      </c>
      <c r="U15" s="2">
        <f>SUM(G15:J15)</f>
        <v>7286</v>
      </c>
    </row>
    <row r="16" spans="2:51" s="5" customFormat="1" x14ac:dyDescent="0.2">
      <c r="B16" s="5" t="s">
        <v>30</v>
      </c>
      <c r="C16" s="6">
        <f t="shared" ref="C16:J16" si="7">C14-C15</f>
        <v>3652</v>
      </c>
      <c r="D16" s="6">
        <f t="shared" si="7"/>
        <v>3547</v>
      </c>
      <c r="E16" s="6">
        <f t="shared" si="7"/>
        <v>3130</v>
      </c>
      <c r="F16" s="6">
        <f t="shared" si="7"/>
        <v>3183</v>
      </c>
      <c r="G16" s="6">
        <f t="shared" si="7"/>
        <v>3200</v>
      </c>
      <c r="H16" s="6">
        <f t="shared" si="7"/>
        <v>3044</v>
      </c>
      <c r="I16" s="6">
        <f t="shared" si="7"/>
        <v>2994</v>
      </c>
      <c r="J16" s="6">
        <f t="shared" si="7"/>
        <v>3546</v>
      </c>
      <c r="K16" s="6"/>
      <c r="L16" s="6"/>
      <c r="M16" s="6"/>
      <c r="N16" s="6"/>
      <c r="T16" s="6">
        <f>T14-T15</f>
        <v>13512</v>
      </c>
      <c r="U16" s="6">
        <f>U14-U15</f>
        <v>12784</v>
      </c>
    </row>
    <row r="17" spans="2:21" x14ac:dyDescent="0.2">
      <c r="B17" s="2" t="s">
        <v>31</v>
      </c>
      <c r="C17" s="7">
        <f t="shared" ref="C17:J17" si="8">C16/C18</f>
        <v>0.6972126765941199</v>
      </c>
      <c r="D17" s="7">
        <f t="shared" si="8"/>
        <v>0.67950191570881224</v>
      </c>
      <c r="E17" s="7">
        <f t="shared" si="8"/>
        <v>0.6003068661296509</v>
      </c>
      <c r="F17" s="7">
        <f t="shared" si="8"/>
        <v>0.61047180667433831</v>
      </c>
      <c r="G17" s="7">
        <f t="shared" si="8"/>
        <v>0.61314428051350833</v>
      </c>
      <c r="H17" s="7">
        <f t="shared" si="8"/>
        <v>0.58314176245210725</v>
      </c>
      <c r="I17" s="7">
        <f t="shared" si="8"/>
        <v>0.50378596668349318</v>
      </c>
      <c r="J17" s="7">
        <f t="shared" si="8"/>
        <v>0.57313722320995641</v>
      </c>
    </row>
    <row r="18" spans="2:21" x14ac:dyDescent="0.2">
      <c r="B18" s="2" t="s">
        <v>1</v>
      </c>
      <c r="C18" s="4">
        <v>5238</v>
      </c>
      <c r="D18" s="4">
        <v>5220</v>
      </c>
      <c r="E18" s="4">
        <v>5214</v>
      </c>
      <c r="F18" s="4">
        <v>5214</v>
      </c>
      <c r="G18" s="4">
        <v>5219</v>
      </c>
      <c r="H18" s="4">
        <v>5220</v>
      </c>
      <c r="I18" s="4">
        <v>5943</v>
      </c>
      <c r="J18" s="4">
        <v>6187</v>
      </c>
    </row>
    <row r="20" spans="2:21" x14ac:dyDescent="0.2">
      <c r="B20" s="2" t="s">
        <v>35</v>
      </c>
      <c r="G20" s="10">
        <f>G5/C5-1</f>
        <v>3.0791969454366797E-3</v>
      </c>
      <c r="H20" s="10">
        <f t="shared" ref="H20:J20" si="9">H5/D5-1</f>
        <v>1.3507290867229571E-2</v>
      </c>
      <c r="I20" s="10">
        <f t="shared" si="9"/>
        <v>0.186121309585217</v>
      </c>
      <c r="J20" s="10">
        <f t="shared" si="9"/>
        <v>0.22300299079531927</v>
      </c>
      <c r="U20" s="11">
        <f>U5/T5-1</f>
        <v>0.1083754256419549</v>
      </c>
    </row>
    <row r="21" spans="2:21" x14ac:dyDescent="0.2">
      <c r="B21" s="2"/>
    </row>
    <row r="22" spans="2:21" x14ac:dyDescent="0.2">
      <c r="B22" s="2"/>
    </row>
    <row r="23" spans="2:21" x14ac:dyDescent="0.2">
      <c r="B23" t="s">
        <v>32</v>
      </c>
      <c r="C23" s="4">
        <f t="shared" ref="C23:J23" si="10">+C12+C10</f>
        <v>10895</v>
      </c>
      <c r="D23" s="4">
        <f t="shared" si="10"/>
        <v>10166</v>
      </c>
      <c r="E23" s="4">
        <f t="shared" si="10"/>
        <v>10146</v>
      </c>
      <c r="F23" s="4">
        <f t="shared" si="10"/>
        <v>9483</v>
      </c>
      <c r="G23" s="4">
        <f t="shared" si="10"/>
        <v>10034</v>
      </c>
      <c r="H23" s="4">
        <f t="shared" si="10"/>
        <v>10408</v>
      </c>
      <c r="I23" s="4">
        <f t="shared" si="10"/>
        <v>12188</v>
      </c>
      <c r="J23" s="4">
        <f t="shared" si="10"/>
        <v>12276</v>
      </c>
    </row>
    <row r="25" spans="2:21" x14ac:dyDescent="0.2">
      <c r="B25" t="s">
        <v>46</v>
      </c>
      <c r="G25" s="4">
        <f>G26-G38</f>
        <v>-92009</v>
      </c>
    </row>
    <row r="26" spans="2:21" s="2" customFormat="1" x14ac:dyDescent="0.2">
      <c r="B26" s="2" t="s">
        <v>3</v>
      </c>
      <c r="C26" s="4"/>
      <c r="D26" s="4"/>
      <c r="E26" s="4"/>
      <c r="F26" s="4"/>
      <c r="G26" s="4">
        <v>4444</v>
      </c>
      <c r="H26" s="4"/>
      <c r="I26" s="4"/>
      <c r="J26" s="4"/>
      <c r="K26" s="4"/>
      <c r="L26" s="4"/>
      <c r="M26" s="4"/>
      <c r="N26" s="4"/>
    </row>
    <row r="27" spans="2:21" s="2" customFormat="1" x14ac:dyDescent="0.2">
      <c r="B27" s="2" t="s">
        <v>36</v>
      </c>
      <c r="C27" s="4"/>
      <c r="D27" s="4"/>
      <c r="E27" s="4"/>
      <c r="F27" s="4"/>
      <c r="G27" s="4">
        <v>13592</v>
      </c>
      <c r="H27" s="4"/>
      <c r="I27" s="4"/>
      <c r="J27" s="4"/>
      <c r="K27" s="4"/>
      <c r="L27" s="4"/>
      <c r="M27" s="4"/>
      <c r="N27" s="4"/>
    </row>
    <row r="28" spans="2:21" s="2" customFormat="1" x14ac:dyDescent="0.2">
      <c r="B28" s="2" t="s">
        <v>37</v>
      </c>
      <c r="C28" s="4"/>
      <c r="D28" s="4"/>
      <c r="E28" s="4"/>
      <c r="F28" s="4"/>
      <c r="G28" s="4">
        <v>930</v>
      </c>
      <c r="H28" s="4"/>
      <c r="I28" s="4"/>
      <c r="J28" s="4"/>
      <c r="K28" s="4"/>
      <c r="L28" s="4"/>
      <c r="M28" s="4"/>
      <c r="N28" s="4"/>
    </row>
    <row r="29" spans="2:21" s="2" customFormat="1" x14ac:dyDescent="0.2">
      <c r="B29" s="2" t="s">
        <v>38</v>
      </c>
      <c r="C29" s="4"/>
      <c r="D29" s="4"/>
      <c r="E29" s="4"/>
      <c r="F29" s="4"/>
      <c r="G29" s="4">
        <v>1538</v>
      </c>
      <c r="H29" s="4"/>
      <c r="I29" s="4"/>
      <c r="J29" s="4"/>
      <c r="K29" s="4"/>
      <c r="L29" s="4"/>
      <c r="M29" s="4"/>
      <c r="N29" s="4"/>
    </row>
    <row r="30" spans="2:21" s="2" customFormat="1" x14ac:dyDescent="0.2">
      <c r="B30" s="2" t="s">
        <v>39</v>
      </c>
      <c r="C30" s="4"/>
      <c r="D30" s="4"/>
      <c r="E30" s="4"/>
      <c r="F30" s="4"/>
      <c r="G30" s="4">
        <v>6906</v>
      </c>
      <c r="H30" s="4"/>
      <c r="I30" s="4"/>
      <c r="J30" s="4"/>
      <c r="K30" s="4"/>
      <c r="L30" s="4"/>
      <c r="M30" s="4"/>
      <c r="N30" s="4"/>
    </row>
    <row r="31" spans="2:21" s="5" customFormat="1" x14ac:dyDescent="0.2">
      <c r="B31" s="5" t="s">
        <v>40</v>
      </c>
      <c r="C31" s="6"/>
      <c r="D31" s="6"/>
      <c r="E31" s="6"/>
      <c r="F31" s="6"/>
      <c r="G31" s="6">
        <v>113198</v>
      </c>
      <c r="H31" s="6"/>
      <c r="I31" s="6"/>
      <c r="J31" s="6"/>
      <c r="K31" s="6"/>
      <c r="L31" s="6"/>
      <c r="M31" s="6"/>
      <c r="N31" s="6"/>
    </row>
    <row r="32" spans="2:21" s="2" customFormat="1" x14ac:dyDescent="0.2">
      <c r="B32" s="2" t="s">
        <v>41</v>
      </c>
      <c r="C32" s="4"/>
      <c r="D32" s="4"/>
      <c r="E32" s="4"/>
      <c r="F32" s="4"/>
      <c r="G32" s="4">
        <f>70341+6423</f>
        <v>76764</v>
      </c>
      <c r="H32" s="4"/>
      <c r="I32" s="4"/>
      <c r="J32" s="4"/>
      <c r="K32" s="4"/>
      <c r="L32" s="4"/>
      <c r="M32" s="4"/>
      <c r="N32" s="4"/>
    </row>
    <row r="33" spans="2:14" s="2" customFormat="1" x14ac:dyDescent="0.2">
      <c r="B33" s="2" t="s">
        <v>42</v>
      </c>
      <c r="C33" s="4"/>
      <c r="D33" s="4"/>
      <c r="E33" s="4"/>
      <c r="F33" s="4"/>
      <c r="G33" s="4">
        <v>80560</v>
      </c>
      <c r="H33" s="4"/>
      <c r="I33" s="4"/>
      <c r="J33" s="4"/>
      <c r="K33" s="4"/>
      <c r="L33" s="4"/>
      <c r="M33" s="4"/>
      <c r="N33" s="4"/>
    </row>
    <row r="34" spans="2:14" s="2" customFormat="1" x14ac:dyDescent="0.2">
      <c r="B34" s="2" t="s">
        <v>43</v>
      </c>
      <c r="C34" s="4"/>
      <c r="D34" s="4"/>
      <c r="E34" s="4"/>
      <c r="F34" s="4"/>
      <c r="G34" s="4">
        <v>266</v>
      </c>
      <c r="H34" s="4"/>
      <c r="I34" s="4"/>
      <c r="J34" s="4"/>
      <c r="K34" s="4"/>
      <c r="L34" s="4"/>
      <c r="M34" s="4"/>
      <c r="N34" s="4"/>
    </row>
    <row r="35" spans="2:14" s="2" customFormat="1" x14ac:dyDescent="0.2">
      <c r="B35" s="2" t="s">
        <v>44</v>
      </c>
      <c r="C35" s="4"/>
      <c r="D35" s="4"/>
      <c r="E35" s="4"/>
      <c r="F35" s="4"/>
      <c r="G35" s="4">
        <v>9830</v>
      </c>
      <c r="H35" s="4"/>
      <c r="I35" s="4"/>
      <c r="J35" s="4"/>
      <c r="K35" s="4"/>
      <c r="L35" s="4"/>
      <c r="M35" s="4"/>
      <c r="N35" s="4"/>
    </row>
    <row r="36" spans="2:14" s="2" customFormat="1" x14ac:dyDescent="0.2">
      <c r="B36" s="2" t="s">
        <v>45</v>
      </c>
      <c r="C36" s="4"/>
      <c r="D36" s="4"/>
      <c r="E36" s="4"/>
      <c r="F36" s="4"/>
      <c r="G36" s="4">
        <f>SUM(G26:G35)</f>
        <v>308028</v>
      </c>
      <c r="H36" s="4"/>
      <c r="I36" s="4"/>
      <c r="J36" s="4"/>
      <c r="K36" s="4"/>
      <c r="L36" s="4"/>
      <c r="M36" s="4"/>
      <c r="N36" s="4"/>
    </row>
    <row r="38" spans="2:14" s="2" customFormat="1" x14ac:dyDescent="0.2">
      <c r="B38" s="2" t="s">
        <v>4</v>
      </c>
      <c r="C38" s="4"/>
      <c r="D38" s="4"/>
      <c r="E38" s="4"/>
      <c r="F38" s="4"/>
      <c r="G38" s="4">
        <f>8181+88272</f>
        <v>96453</v>
      </c>
      <c r="H38" s="4"/>
      <c r="I38" s="4"/>
      <c r="J38" s="4"/>
      <c r="K38" s="4"/>
      <c r="L38" s="4"/>
      <c r="M38" s="4"/>
      <c r="N38" s="4"/>
    </row>
    <row r="39" spans="2:14" s="2" customFormat="1" x14ac:dyDescent="0.2">
      <c r="B39" s="2" t="s">
        <v>47</v>
      </c>
      <c r="C39" s="4"/>
      <c r="D39" s="4"/>
      <c r="E39" s="4"/>
      <c r="F39" s="4"/>
      <c r="G39" s="4">
        <v>20418</v>
      </c>
      <c r="H39" s="4"/>
      <c r="I39" s="4"/>
      <c r="J39" s="4"/>
      <c r="K39" s="4"/>
      <c r="L39" s="4"/>
      <c r="M39" s="4"/>
      <c r="N39" s="4"/>
    </row>
    <row r="40" spans="2:14" s="2" customFormat="1" x14ac:dyDescent="0.2">
      <c r="B40" s="2" t="s">
        <v>48</v>
      </c>
      <c r="C40" s="4"/>
      <c r="D40" s="4"/>
      <c r="E40" s="4"/>
      <c r="F40" s="4"/>
      <c r="G40" s="4">
        <v>4221</v>
      </c>
      <c r="H40" s="4"/>
      <c r="I40" s="4"/>
      <c r="J40" s="4"/>
      <c r="K40" s="4"/>
      <c r="L40" s="4"/>
      <c r="M40" s="4"/>
      <c r="N40" s="4"/>
    </row>
    <row r="41" spans="2:14" s="2" customFormat="1" x14ac:dyDescent="0.2">
      <c r="B41" s="2" t="s">
        <v>49</v>
      </c>
      <c r="C41" s="4"/>
      <c r="D41" s="4"/>
      <c r="E41" s="4"/>
      <c r="F41" s="4"/>
      <c r="G41" s="4">
        <v>2390</v>
      </c>
      <c r="H41" s="4"/>
      <c r="I41" s="4"/>
      <c r="J41" s="4"/>
      <c r="K41" s="4"/>
      <c r="L41" s="4"/>
      <c r="M41" s="4"/>
      <c r="N41" s="4"/>
    </row>
    <row r="42" spans="2:14" s="2" customFormat="1" x14ac:dyDescent="0.2">
      <c r="B42" s="2" t="s">
        <v>50</v>
      </c>
      <c r="C42" s="4"/>
      <c r="D42" s="4"/>
      <c r="E42" s="4"/>
      <c r="F42" s="4"/>
      <c r="G42" s="4">
        <v>2441</v>
      </c>
      <c r="H42" s="4"/>
      <c r="I42" s="4"/>
      <c r="J42" s="4"/>
      <c r="K42" s="4"/>
      <c r="L42" s="4"/>
      <c r="M42" s="4"/>
      <c r="N42" s="4"/>
    </row>
    <row r="43" spans="2:14" s="2" customFormat="1" x14ac:dyDescent="0.2">
      <c r="B43" s="2" t="s">
        <v>38</v>
      </c>
      <c r="C43" s="4"/>
      <c r="D43" s="4"/>
      <c r="E43" s="4"/>
      <c r="F43" s="4"/>
      <c r="G43" s="4">
        <v>38019</v>
      </c>
      <c r="H43" s="4"/>
      <c r="I43" s="4"/>
      <c r="J43" s="4"/>
      <c r="K43" s="4"/>
      <c r="L43" s="4"/>
      <c r="M43" s="4"/>
      <c r="N43" s="4"/>
    </row>
    <row r="44" spans="2:14" s="2" customFormat="1" x14ac:dyDescent="0.2">
      <c r="B44" s="2" t="s">
        <v>51</v>
      </c>
      <c r="C44" s="4"/>
      <c r="D44" s="4"/>
      <c r="E44" s="4"/>
      <c r="F44" s="4"/>
      <c r="G44" s="4">
        <v>37074</v>
      </c>
      <c r="H44" s="4"/>
      <c r="I44" s="4"/>
      <c r="J44" s="4"/>
      <c r="K44" s="4"/>
      <c r="L44" s="4"/>
      <c r="M44" s="4"/>
      <c r="N44" s="4"/>
    </row>
    <row r="45" spans="2:14" s="2" customFormat="1" x14ac:dyDescent="0.2">
      <c r="B45" s="2" t="s">
        <v>52</v>
      </c>
      <c r="C45" s="4"/>
      <c r="D45" s="4"/>
      <c r="E45" s="4"/>
      <c r="F45" s="4"/>
      <c r="G45" s="4">
        <v>19908</v>
      </c>
      <c r="H45" s="4"/>
      <c r="I45" s="4"/>
      <c r="J45" s="4"/>
      <c r="K45" s="4"/>
      <c r="L45" s="4"/>
      <c r="M45" s="4"/>
      <c r="N45" s="4"/>
    </row>
    <row r="46" spans="2:14" s="2" customFormat="1" x14ac:dyDescent="0.2">
      <c r="B46" s="2" t="s">
        <v>53</v>
      </c>
      <c r="C46" s="4"/>
      <c r="D46" s="4"/>
      <c r="E46" s="4"/>
      <c r="F46" s="4"/>
      <c r="G46" s="4">
        <f>SUM(G38:G45)</f>
        <v>220924</v>
      </c>
      <c r="H46" s="4"/>
      <c r="I46" s="4"/>
      <c r="J46" s="4"/>
      <c r="K46" s="4"/>
      <c r="L46" s="4"/>
      <c r="M46" s="4"/>
      <c r="N46" s="4"/>
    </row>
    <row r="47" spans="2:14" s="2" customFormat="1" x14ac:dyDescent="0.2">
      <c r="B47" s="2" t="s">
        <v>54</v>
      </c>
      <c r="C47" s="4"/>
      <c r="D47" s="4"/>
      <c r="E47" s="4"/>
      <c r="F47" s="4"/>
      <c r="G47" s="4">
        <v>87104</v>
      </c>
      <c r="H47" s="4"/>
      <c r="I47" s="4"/>
      <c r="J47" s="4"/>
      <c r="K47" s="4"/>
      <c r="L47" s="4"/>
      <c r="M47" s="4"/>
      <c r="N47" s="4"/>
    </row>
    <row r="48" spans="2:14" s="2" customFormat="1" x14ac:dyDescent="0.2">
      <c r="B48" s="2" t="s">
        <v>55</v>
      </c>
      <c r="C48" s="4"/>
      <c r="D48" s="4"/>
      <c r="E48" s="4"/>
      <c r="F48" s="4"/>
      <c r="G48" s="4">
        <f>G47+G46</f>
        <v>308028</v>
      </c>
      <c r="H48" s="4"/>
      <c r="I48" s="4"/>
      <c r="J48" s="4"/>
      <c r="K48" s="4"/>
      <c r="L48" s="4"/>
      <c r="M48" s="4"/>
      <c r="N48" s="4"/>
    </row>
    <row r="50" spans="2:14" s="5" customFormat="1" x14ac:dyDescent="0.2">
      <c r="B50" s="5" t="s">
        <v>56</v>
      </c>
      <c r="C50" s="6"/>
      <c r="D50" s="6"/>
      <c r="E50" s="6"/>
      <c r="F50" s="6"/>
      <c r="G50" s="6">
        <f>G16</f>
        <v>3200</v>
      </c>
      <c r="H50" s="6"/>
      <c r="I50" s="6"/>
      <c r="J50" s="6"/>
      <c r="K50" s="6"/>
      <c r="L50" s="6"/>
      <c r="M50" s="6"/>
      <c r="N50" s="6"/>
    </row>
    <row r="51" spans="2:14" s="5" customFormat="1" x14ac:dyDescent="0.2">
      <c r="B51" s="5" t="s">
        <v>57</v>
      </c>
      <c r="C51" s="6"/>
      <c r="D51" s="6"/>
      <c r="E51" s="6"/>
      <c r="F51" s="6"/>
      <c r="G51" s="6">
        <v>3276</v>
      </c>
      <c r="H51" s="6"/>
      <c r="I51" s="6"/>
      <c r="J51" s="6"/>
      <c r="K51" s="6"/>
      <c r="L51" s="6"/>
      <c r="M51" s="6"/>
      <c r="N51" s="6"/>
    </row>
    <row r="52" spans="2:14" s="5" customFormat="1" x14ac:dyDescent="0.2">
      <c r="B52" s="5" t="s">
        <v>23</v>
      </c>
      <c r="C52" s="6"/>
      <c r="D52" s="6"/>
      <c r="E52" s="6"/>
      <c r="F52" s="6"/>
      <c r="G52" s="6">
        <v>4578</v>
      </c>
      <c r="H52" s="6"/>
      <c r="I52" s="6"/>
      <c r="J52" s="6"/>
      <c r="K52" s="6"/>
      <c r="L52" s="6"/>
      <c r="M52" s="6"/>
      <c r="N52" s="6"/>
    </row>
    <row r="53" spans="2:14" s="2" customFormat="1" x14ac:dyDescent="0.2">
      <c r="B53" s="2" t="s">
        <v>58</v>
      </c>
      <c r="C53" s="4"/>
      <c r="D53" s="4"/>
      <c r="E53" s="4"/>
      <c r="F53" s="4"/>
      <c r="G53" s="4">
        <v>285</v>
      </c>
      <c r="H53" s="4"/>
      <c r="I53" s="4"/>
      <c r="J53" s="4"/>
      <c r="K53" s="4"/>
      <c r="L53" s="4"/>
      <c r="M53" s="4"/>
      <c r="N53" s="4"/>
    </row>
    <row r="54" spans="2:14" s="2" customFormat="1" x14ac:dyDescent="0.2">
      <c r="B54" s="2" t="s">
        <v>38</v>
      </c>
      <c r="C54" s="4"/>
      <c r="D54" s="4"/>
      <c r="E54" s="4"/>
      <c r="F54" s="4"/>
      <c r="G54" s="4">
        <v>214</v>
      </c>
      <c r="H54" s="4"/>
      <c r="I54" s="4"/>
      <c r="J54" s="4"/>
      <c r="K54" s="4"/>
      <c r="L54" s="4"/>
      <c r="M54" s="4"/>
      <c r="N54" s="4"/>
    </row>
    <row r="55" spans="2:14" s="2" customFormat="1" x14ac:dyDescent="0.2">
      <c r="B55" s="2" t="s">
        <v>43</v>
      </c>
      <c r="C55" s="4"/>
      <c r="D55" s="4"/>
      <c r="E55" s="4"/>
      <c r="F55" s="4"/>
      <c r="G55" s="4">
        <v>-33</v>
      </c>
      <c r="H55" s="4"/>
      <c r="I55" s="4"/>
      <c r="J55" s="4"/>
      <c r="K55" s="4"/>
      <c r="L55" s="4"/>
      <c r="M55" s="4"/>
      <c r="N55" s="4"/>
    </row>
    <row r="56" spans="2:14" s="2" customFormat="1" x14ac:dyDescent="0.2">
      <c r="B56" s="2" t="s">
        <v>36</v>
      </c>
      <c r="C56" s="4"/>
      <c r="D56" s="4"/>
      <c r="E56" s="4"/>
      <c r="F56" s="4"/>
      <c r="G56" s="4">
        <v>739</v>
      </c>
      <c r="H56" s="4"/>
      <c r="I56" s="4"/>
      <c r="J56" s="4"/>
      <c r="K56" s="4"/>
      <c r="L56" s="4"/>
      <c r="M56" s="4"/>
      <c r="N56" s="4"/>
    </row>
    <row r="57" spans="2:14" s="2" customFormat="1" x14ac:dyDescent="0.2">
      <c r="B57" s="2" t="s">
        <v>39</v>
      </c>
      <c r="C57" s="4"/>
      <c r="D57" s="4"/>
      <c r="E57" s="4"/>
      <c r="F57" s="4"/>
      <c r="G57" s="4">
        <v>13</v>
      </c>
      <c r="H57" s="4"/>
      <c r="I57" s="4"/>
      <c r="J57" s="4"/>
      <c r="K57" s="4"/>
      <c r="L57" s="4"/>
      <c r="M57" s="4"/>
      <c r="N57" s="4"/>
    </row>
    <row r="58" spans="2:14" s="2" customFormat="1" x14ac:dyDescent="0.2">
      <c r="B58" s="2" t="s">
        <v>47</v>
      </c>
      <c r="C58" s="4"/>
      <c r="D58" s="4"/>
      <c r="E58" s="4"/>
      <c r="F58" s="4"/>
      <c r="G58" s="4">
        <v>-1817</v>
      </c>
      <c r="H58" s="4"/>
      <c r="I58" s="4"/>
      <c r="J58" s="4"/>
      <c r="K58" s="4"/>
      <c r="L58" s="4"/>
      <c r="M58" s="4"/>
      <c r="N58" s="4"/>
    </row>
    <row r="59" spans="2:14" s="2" customFormat="1" x14ac:dyDescent="0.2">
      <c r="B59" s="2" t="s">
        <v>51</v>
      </c>
      <c r="C59" s="4"/>
      <c r="D59" s="4"/>
      <c r="E59" s="4"/>
      <c r="F59" s="4"/>
      <c r="G59" s="4">
        <v>-140</v>
      </c>
      <c r="H59" s="4"/>
      <c r="I59" s="4"/>
      <c r="J59" s="4"/>
      <c r="K59" s="4"/>
      <c r="L59" s="4"/>
      <c r="M59" s="4"/>
      <c r="N59" s="4"/>
    </row>
    <row r="60" spans="2:14" s="2" customFormat="1" x14ac:dyDescent="0.2">
      <c r="B60" s="2" t="s">
        <v>59</v>
      </c>
      <c r="C60" s="4"/>
      <c r="D60" s="4"/>
      <c r="E60" s="4"/>
      <c r="F60" s="4"/>
      <c r="G60" s="4">
        <v>-377</v>
      </c>
      <c r="H60" s="4"/>
      <c r="I60" s="4"/>
      <c r="J60" s="4"/>
      <c r="K60" s="4"/>
      <c r="L60" s="4"/>
      <c r="M60" s="4"/>
      <c r="N60" s="4"/>
    </row>
    <row r="61" spans="2:14" s="5" customFormat="1" x14ac:dyDescent="0.2">
      <c r="B61" s="5" t="s">
        <v>60</v>
      </c>
      <c r="C61" s="6"/>
      <c r="D61" s="6"/>
      <c r="E61" s="6"/>
      <c r="F61" s="6"/>
      <c r="G61" s="6">
        <f>SUM(G51:G60)</f>
        <v>6738</v>
      </c>
      <c r="H61" s="6"/>
      <c r="I61" s="6"/>
      <c r="J61" s="6"/>
      <c r="K61" s="6"/>
      <c r="L61" s="6"/>
      <c r="M61" s="6"/>
      <c r="N61" s="6"/>
    </row>
    <row r="62" spans="2:14" x14ac:dyDescent="0.2">
      <c r="B62" s="2" t="s">
        <v>62</v>
      </c>
      <c r="G62" s="4">
        <f>-3848-123</f>
        <v>-3971</v>
      </c>
    </row>
    <row r="63" spans="2:14" x14ac:dyDescent="0.2">
      <c r="B63" s="2" t="s">
        <v>63</v>
      </c>
      <c r="G63" s="9">
        <v>-19514</v>
      </c>
    </row>
    <row r="64" spans="2:14" x14ac:dyDescent="0.2">
      <c r="B64" s="2" t="s">
        <v>64</v>
      </c>
      <c r="G64" s="4">
        <v>8</v>
      </c>
    </row>
    <row r="65" spans="2:14" x14ac:dyDescent="0.2">
      <c r="B65" s="2" t="s">
        <v>65</v>
      </c>
      <c r="G65" s="4">
        <v>1890</v>
      </c>
    </row>
    <row r="66" spans="2:14" s="13" customFormat="1" x14ac:dyDescent="0.2">
      <c r="B66" s="5" t="s">
        <v>66</v>
      </c>
      <c r="C66" s="12"/>
      <c r="D66" s="12"/>
      <c r="E66" s="12"/>
      <c r="F66" s="12"/>
      <c r="G66" s="6">
        <f>SUM(G62:G65)</f>
        <v>-21587</v>
      </c>
      <c r="H66" s="12"/>
      <c r="I66" s="12"/>
      <c r="J66" s="12"/>
      <c r="K66" s="12"/>
      <c r="L66" s="12"/>
      <c r="M66" s="12"/>
      <c r="N66" s="12"/>
    </row>
    <row r="67" spans="2:14" s="2" customFormat="1" x14ac:dyDescent="0.2">
      <c r="B67" s="2" t="s">
        <v>4</v>
      </c>
      <c r="C67" s="4"/>
      <c r="D67" s="4"/>
      <c r="E67" s="4"/>
      <c r="F67" s="4"/>
      <c r="G67" s="4">
        <f>16572-596</f>
        <v>15976</v>
      </c>
      <c r="H67" s="4"/>
      <c r="I67" s="4"/>
      <c r="J67" s="4"/>
      <c r="K67" s="4"/>
      <c r="L67" s="4"/>
      <c r="M67" s="4"/>
      <c r="N67" s="4"/>
    </row>
    <row r="68" spans="2:14" s="2" customFormat="1" x14ac:dyDescent="0.2">
      <c r="B68" s="2" t="s">
        <v>67</v>
      </c>
      <c r="C68" s="4"/>
      <c r="D68" s="4"/>
      <c r="E68" s="4"/>
      <c r="F68" s="4"/>
      <c r="G68" s="4">
        <v>8</v>
      </c>
      <c r="H68" s="4"/>
      <c r="I68" s="4"/>
      <c r="J68" s="4"/>
      <c r="K68" s="4"/>
      <c r="L68" s="4"/>
      <c r="M68" s="4"/>
      <c r="N68" s="4"/>
    </row>
    <row r="69" spans="2:14" s="2" customFormat="1" x14ac:dyDescent="0.2">
      <c r="B69" s="2" t="s">
        <v>50</v>
      </c>
      <c r="C69" s="4"/>
      <c r="D69" s="4"/>
      <c r="E69" s="4"/>
      <c r="F69" s="4"/>
      <c r="G69" s="4">
        <v>-2434</v>
      </c>
      <c r="H69" s="4"/>
      <c r="I69" s="4"/>
      <c r="J69" s="4"/>
      <c r="K69" s="4"/>
      <c r="L69" s="4"/>
      <c r="M69" s="4"/>
      <c r="N69" s="4"/>
    </row>
    <row r="70" spans="2:14" s="2" customFormat="1" x14ac:dyDescent="0.2">
      <c r="B70" s="2" t="s">
        <v>59</v>
      </c>
      <c r="C70" s="4"/>
      <c r="D70" s="4"/>
      <c r="E70" s="4"/>
      <c r="F70" s="4"/>
      <c r="G70" s="4">
        <v>-2860</v>
      </c>
      <c r="H70" s="4"/>
      <c r="I70" s="4"/>
      <c r="J70" s="4"/>
      <c r="K70" s="4"/>
      <c r="L70" s="4"/>
      <c r="M70" s="4"/>
      <c r="N70" s="4"/>
    </row>
    <row r="71" spans="2:14" s="5" customFormat="1" x14ac:dyDescent="0.2">
      <c r="B71" s="5" t="s">
        <v>68</v>
      </c>
      <c r="C71" s="6"/>
      <c r="D71" s="6"/>
      <c r="E71" s="6"/>
      <c r="F71" s="6"/>
      <c r="G71" s="6">
        <f>SUM(G67:G70)</f>
        <v>10690</v>
      </c>
      <c r="H71" s="6"/>
      <c r="I71" s="6"/>
      <c r="J71" s="6"/>
      <c r="K71" s="6"/>
      <c r="L71" s="6"/>
      <c r="M71" s="6"/>
      <c r="N71" s="6"/>
    </row>
    <row r="72" spans="2:14" x14ac:dyDescent="0.2">
      <c r="B72" s="2" t="s">
        <v>69</v>
      </c>
      <c r="G72" s="6">
        <f>G71+G66+G61</f>
        <v>-4159</v>
      </c>
    </row>
    <row r="78" spans="2:14" x14ac:dyDescent="0.2">
      <c r="B78" s="2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2016-03-06T01:11:18Z</dcterms:created>
  <dcterms:modified xsi:type="dcterms:W3CDTF">2016-04-25T21:26:36Z</dcterms:modified>
</cp:coreProperties>
</file>