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Desktop\Investing Class\"/>
    </mc:Choice>
  </mc:AlternateContent>
  <bookViews>
    <workbookView xWindow="0" yWindow="0" windowWidth="21570" windowHeight="12000"/>
  </bookViews>
  <sheets>
    <sheet name="Main" sheetId="2" r:id="rId1"/>
    <sheet name="Model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5" i="1" l="1"/>
  <c r="AE5" i="1"/>
  <c r="T61" i="1"/>
  <c r="T46" i="1"/>
  <c r="Z8" i="1"/>
  <c r="AA8" i="1" s="1"/>
  <c r="AB8" i="1" s="1"/>
  <c r="AC8" i="1" s="1"/>
  <c r="AD8" i="1" s="1"/>
  <c r="AE8" i="1" s="1"/>
  <c r="Y8" i="1"/>
  <c r="X8" i="1"/>
  <c r="W8" i="1"/>
  <c r="V8" i="1"/>
  <c r="AC5" i="1"/>
  <c r="AB5" i="1"/>
  <c r="AA5" i="1"/>
  <c r="Z5" i="1"/>
  <c r="Y5" i="1"/>
  <c r="X5" i="1"/>
  <c r="W5" i="1"/>
  <c r="R13" i="1"/>
  <c r="Q13" i="1"/>
  <c r="Q17" i="1"/>
  <c r="P17" i="1"/>
  <c r="Q16" i="1"/>
  <c r="P16" i="1"/>
  <c r="Q15" i="1"/>
  <c r="P15" i="1"/>
  <c r="Q14" i="1"/>
  <c r="P14" i="1"/>
  <c r="P5" i="1"/>
  <c r="P7" i="1" s="1"/>
  <c r="P9" i="1" s="1"/>
  <c r="P11" i="1" s="1"/>
  <c r="Q5" i="1"/>
  <c r="Q7" i="1" s="1"/>
  <c r="Q9" i="1" s="1"/>
  <c r="Q11" i="1" s="1"/>
  <c r="W3" i="1"/>
  <c r="X3" i="1" s="1"/>
  <c r="Y3" i="1" s="1"/>
  <c r="Z3" i="1" s="1"/>
  <c r="AA3" i="1" s="1"/>
  <c r="AB3" i="1" s="1"/>
  <c r="AC3" i="1" s="1"/>
  <c r="AD3" i="1" s="1"/>
  <c r="AE3" i="1" s="1"/>
  <c r="V3" i="1"/>
  <c r="V13" i="1"/>
  <c r="W6" i="1"/>
  <c r="X6" i="1" s="1"/>
  <c r="V6" i="1"/>
  <c r="V5" i="1"/>
  <c r="V7" i="1" s="1"/>
  <c r="U17" i="1"/>
  <c r="U16" i="1"/>
  <c r="U15" i="1"/>
  <c r="U14" i="1"/>
  <c r="T17" i="1"/>
  <c r="T16" i="1"/>
  <c r="T15" i="1"/>
  <c r="T14" i="1"/>
  <c r="S17" i="1"/>
  <c r="S16" i="1"/>
  <c r="S15" i="1"/>
  <c r="S14" i="1"/>
  <c r="R17" i="1"/>
  <c r="R16" i="1"/>
  <c r="R15" i="1"/>
  <c r="R14" i="1"/>
  <c r="U13" i="1"/>
  <c r="U11" i="1"/>
  <c r="U10" i="1"/>
  <c r="U8" i="1"/>
  <c r="U6" i="1"/>
  <c r="U5" i="1"/>
  <c r="U4" i="1"/>
  <c r="U3" i="1"/>
  <c r="J17" i="1"/>
  <c r="J16" i="1"/>
  <c r="J15" i="1"/>
  <c r="J11" i="1"/>
  <c r="J10" i="1"/>
  <c r="J9" i="1"/>
  <c r="J8" i="1"/>
  <c r="J7" i="1"/>
  <c r="J6" i="1"/>
  <c r="J4" i="1"/>
  <c r="J5" i="1"/>
  <c r="J14" i="1"/>
  <c r="J3" i="1"/>
  <c r="J13" i="1"/>
  <c r="T13" i="1"/>
  <c r="S13" i="1"/>
  <c r="S5" i="1"/>
  <c r="S7" i="1" s="1"/>
  <c r="S9" i="1" s="1"/>
  <c r="S11" i="1" s="1"/>
  <c r="R5" i="1"/>
  <c r="R7" i="1" s="1"/>
  <c r="R9" i="1" s="1"/>
  <c r="R11" i="1" s="1"/>
  <c r="T10" i="1"/>
  <c r="T8" i="1"/>
  <c r="T6" i="1"/>
  <c r="T5" i="1"/>
  <c r="T7" i="1" s="1"/>
  <c r="T9" i="1" s="1"/>
  <c r="T11" i="1" s="1"/>
  <c r="T4" i="1"/>
  <c r="T3" i="1"/>
  <c r="T2" i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S2" i="1"/>
  <c r="F17" i="1"/>
  <c r="F16" i="1"/>
  <c r="F15" i="1"/>
  <c r="F10" i="1"/>
  <c r="F8" i="1"/>
  <c r="F9" i="1"/>
  <c r="F11" i="1" s="1"/>
  <c r="F7" i="1"/>
  <c r="F6" i="1"/>
  <c r="F14" i="1"/>
  <c r="F5" i="1"/>
  <c r="F4" i="1"/>
  <c r="F3" i="1"/>
  <c r="H13" i="1"/>
  <c r="G13" i="1"/>
  <c r="I13" i="1"/>
  <c r="C5" i="1"/>
  <c r="C14" i="1" s="1"/>
  <c r="D5" i="1"/>
  <c r="D7" i="1" s="1"/>
  <c r="G5" i="1"/>
  <c r="G7" i="1" s="1"/>
  <c r="G39" i="1"/>
  <c r="G36" i="1"/>
  <c r="G33" i="1"/>
  <c r="G41" i="1" s="1"/>
  <c r="G43" i="1" s="1"/>
  <c r="G25" i="1"/>
  <c r="G20" i="1"/>
  <c r="G24" i="1"/>
  <c r="G23" i="1"/>
  <c r="H5" i="1"/>
  <c r="H14" i="1" s="1"/>
  <c r="H39" i="1"/>
  <c r="H38" i="1"/>
  <c r="H36" i="1"/>
  <c r="H33" i="1"/>
  <c r="H25" i="1"/>
  <c r="H24" i="1"/>
  <c r="H23" i="1"/>
  <c r="H20" i="1"/>
  <c r="I38" i="1"/>
  <c r="I39" i="1"/>
  <c r="I33" i="1"/>
  <c r="I41" i="1" s="1"/>
  <c r="I43" i="1" s="1"/>
  <c r="I36" i="1"/>
  <c r="I25" i="1"/>
  <c r="I24" i="1"/>
  <c r="I20" i="1"/>
  <c r="I30" i="1" s="1"/>
  <c r="I23" i="1"/>
  <c r="AE4" i="1" l="1"/>
  <c r="AE14" i="1"/>
  <c r="V9" i="1"/>
  <c r="V10" i="1" s="1"/>
  <c r="V16" i="1" s="1"/>
  <c r="V15" i="1"/>
  <c r="Z13" i="1"/>
  <c r="AA13" i="1"/>
  <c r="AB13" i="1"/>
  <c r="V4" i="1"/>
  <c r="AC13" i="1"/>
  <c r="AE13" i="1"/>
  <c r="AD13" i="1"/>
  <c r="Y4" i="1"/>
  <c r="AC4" i="1"/>
  <c r="Z14" i="1"/>
  <c r="W13" i="1"/>
  <c r="V14" i="1"/>
  <c r="X14" i="1"/>
  <c r="Y14" i="1"/>
  <c r="AA14" i="1"/>
  <c r="X13" i="1"/>
  <c r="AC14" i="1"/>
  <c r="AA4" i="1"/>
  <c r="AB14" i="1"/>
  <c r="Y13" i="1"/>
  <c r="Y6" i="1"/>
  <c r="U7" i="1"/>
  <c r="U9" i="1" s="1"/>
  <c r="G30" i="1"/>
  <c r="D14" i="1"/>
  <c r="C7" i="1"/>
  <c r="D9" i="1"/>
  <c r="D15" i="1"/>
  <c r="G14" i="1"/>
  <c r="G9" i="1"/>
  <c r="G15" i="1"/>
  <c r="H7" i="1"/>
  <c r="H15" i="1" s="1"/>
  <c r="H41" i="1"/>
  <c r="H43" i="1" s="1"/>
  <c r="H30" i="1"/>
  <c r="H6" i="2"/>
  <c r="H5" i="2"/>
  <c r="H3" i="2"/>
  <c r="H4" i="2" s="1"/>
  <c r="H7" i="2" s="1"/>
  <c r="E5" i="1"/>
  <c r="E7" i="1" s="1"/>
  <c r="I5" i="1"/>
  <c r="Z4" i="1" l="1"/>
  <c r="AD4" i="1"/>
  <c r="AD14" i="1"/>
  <c r="W7" i="1"/>
  <c r="W14" i="1"/>
  <c r="AB4" i="1"/>
  <c r="X7" i="1"/>
  <c r="V11" i="1"/>
  <c r="V17" i="1" s="1"/>
  <c r="X4" i="1"/>
  <c r="W4" i="1"/>
  <c r="Y7" i="1"/>
  <c r="Y15" i="1" s="1"/>
  <c r="Z6" i="1"/>
  <c r="I7" i="1"/>
  <c r="I15" i="1" s="1"/>
  <c r="I14" i="1"/>
  <c r="C15" i="1"/>
  <c r="C9" i="1"/>
  <c r="D16" i="1"/>
  <c r="D11" i="1"/>
  <c r="D17" i="1" s="1"/>
  <c r="G16" i="1"/>
  <c r="G11" i="1"/>
  <c r="G17" i="1" s="1"/>
  <c r="H9" i="1"/>
  <c r="E9" i="1"/>
  <c r="E15" i="1"/>
  <c r="E14" i="1"/>
  <c r="I9" i="1"/>
  <c r="I16" i="1" s="1"/>
  <c r="Y9" i="1" l="1"/>
  <c r="X15" i="1"/>
  <c r="X9" i="1"/>
  <c r="X10" i="1" s="1"/>
  <c r="W9" i="1"/>
  <c r="W15" i="1"/>
  <c r="Y10" i="1"/>
  <c r="Z7" i="1"/>
  <c r="Z15" i="1" s="1"/>
  <c r="AA6" i="1"/>
  <c r="E11" i="1"/>
  <c r="E17" i="1" s="1"/>
  <c r="E16" i="1"/>
  <c r="C16" i="1"/>
  <c r="C11" i="1"/>
  <c r="C17" i="1" s="1"/>
  <c r="H16" i="1"/>
  <c r="H11" i="1"/>
  <c r="H17" i="1" s="1"/>
  <c r="I11" i="1"/>
  <c r="I17" i="1" s="1"/>
  <c r="Y11" i="1" l="1"/>
  <c r="Y17" i="1" s="1"/>
  <c r="Y16" i="1"/>
  <c r="Z9" i="1"/>
  <c r="W10" i="1"/>
  <c r="W16" i="1" s="1"/>
  <c r="X11" i="1"/>
  <c r="X17" i="1" s="1"/>
  <c r="X16" i="1"/>
  <c r="Z10" i="1"/>
  <c r="AA7" i="1"/>
  <c r="AA15" i="1" s="1"/>
  <c r="AB6" i="1"/>
  <c r="AA9" i="1" l="1"/>
  <c r="Z11" i="1"/>
  <c r="Z17" i="1" s="1"/>
  <c r="Z16" i="1"/>
  <c r="W11" i="1"/>
  <c r="AA10" i="1"/>
  <c r="AB7" i="1"/>
  <c r="AB15" i="1" s="1"/>
  <c r="AC6" i="1"/>
  <c r="AA11" i="1" l="1"/>
  <c r="AA17" i="1" s="1"/>
  <c r="AA16" i="1"/>
  <c r="AB9" i="1"/>
  <c r="W17" i="1"/>
  <c r="AB10" i="1"/>
  <c r="AC7" i="1"/>
  <c r="AC15" i="1" s="1"/>
  <c r="AD6" i="1"/>
  <c r="AC9" i="1" l="1"/>
  <c r="AC10" i="1" s="1"/>
  <c r="AB11" i="1"/>
  <c r="AB16" i="1"/>
  <c r="AD7" i="1"/>
  <c r="AD15" i="1" s="1"/>
  <c r="AE6" i="1"/>
  <c r="AE7" i="1" s="1"/>
  <c r="AE15" i="1" s="1"/>
  <c r="AC11" i="1" l="1"/>
  <c r="AC17" i="1" s="1"/>
  <c r="AC16" i="1"/>
  <c r="AE9" i="1"/>
  <c r="AD9" i="1"/>
  <c r="AB17" i="1"/>
  <c r="AE10" i="1"/>
  <c r="AD10" i="1"/>
  <c r="AD16" i="1" s="1"/>
  <c r="AD11" i="1" l="1"/>
  <c r="AE11" i="1"/>
  <c r="AE16" i="1"/>
  <c r="AF11" i="1" l="1"/>
  <c r="AG11" i="1" s="1"/>
  <c r="AH11" i="1" s="1"/>
  <c r="AI11" i="1" s="1"/>
  <c r="AJ11" i="1" s="1"/>
  <c r="AK11" i="1" s="1"/>
  <c r="AL11" i="1" s="1"/>
  <c r="AM11" i="1" s="1"/>
  <c r="AN11" i="1" s="1"/>
  <c r="AO11" i="1" s="1"/>
  <c r="AP11" i="1" s="1"/>
  <c r="AQ11" i="1" s="1"/>
  <c r="AR11" i="1" s="1"/>
  <c r="AS11" i="1" s="1"/>
  <c r="AT11" i="1" s="1"/>
  <c r="AU11" i="1" s="1"/>
  <c r="AV11" i="1" s="1"/>
  <c r="AW11" i="1" s="1"/>
  <c r="AX11" i="1" s="1"/>
  <c r="AY11" i="1" s="1"/>
  <c r="AZ11" i="1" s="1"/>
  <c r="BA11" i="1" s="1"/>
  <c r="BB11" i="1" s="1"/>
  <c r="BC11" i="1" s="1"/>
  <c r="BD11" i="1" s="1"/>
  <c r="BE11" i="1" s="1"/>
  <c r="BF11" i="1" s="1"/>
  <c r="BG11" i="1" s="1"/>
  <c r="BH11" i="1" s="1"/>
  <c r="BI11" i="1" s="1"/>
  <c r="BJ11" i="1" s="1"/>
  <c r="BK11" i="1" s="1"/>
  <c r="BL11" i="1" s="1"/>
  <c r="BM11" i="1" s="1"/>
  <c r="BN11" i="1" s="1"/>
  <c r="BO11" i="1" s="1"/>
  <c r="BP11" i="1" s="1"/>
  <c r="BQ11" i="1" s="1"/>
  <c r="BR11" i="1" s="1"/>
  <c r="BS11" i="1" s="1"/>
  <c r="BT11" i="1" s="1"/>
  <c r="BU11" i="1" s="1"/>
  <c r="BV11" i="1" s="1"/>
  <c r="BW11" i="1" s="1"/>
  <c r="BX11" i="1" s="1"/>
  <c r="BY11" i="1" s="1"/>
  <c r="BZ11" i="1" s="1"/>
  <c r="CA11" i="1" s="1"/>
  <c r="CB11" i="1" s="1"/>
  <c r="CC11" i="1" s="1"/>
  <c r="CD11" i="1" s="1"/>
  <c r="CE11" i="1" s="1"/>
  <c r="CF11" i="1" s="1"/>
  <c r="CG11" i="1" s="1"/>
  <c r="CH11" i="1" s="1"/>
  <c r="CI11" i="1" s="1"/>
  <c r="CJ11" i="1" s="1"/>
  <c r="CK11" i="1" s="1"/>
  <c r="CL11" i="1" s="1"/>
  <c r="CM11" i="1" s="1"/>
  <c r="CN11" i="1" s="1"/>
  <c r="CO11" i="1" s="1"/>
  <c r="CP11" i="1" s="1"/>
  <c r="CQ11" i="1" s="1"/>
  <c r="CR11" i="1" s="1"/>
  <c r="CS11" i="1" s="1"/>
  <c r="CT11" i="1" s="1"/>
  <c r="CU11" i="1" s="1"/>
  <c r="CV11" i="1" s="1"/>
  <c r="CW11" i="1" s="1"/>
  <c r="CX11" i="1" s="1"/>
  <c r="CY11" i="1" s="1"/>
  <c r="CZ11" i="1" s="1"/>
  <c r="DA11" i="1" s="1"/>
  <c r="DB11" i="1" s="1"/>
  <c r="DC11" i="1" s="1"/>
  <c r="DD11" i="1" s="1"/>
  <c r="DE11" i="1" s="1"/>
  <c r="DF11" i="1" s="1"/>
  <c r="DG11" i="1" s="1"/>
  <c r="DH11" i="1" s="1"/>
  <c r="DI11" i="1" s="1"/>
  <c r="DJ11" i="1" s="1"/>
  <c r="DK11" i="1" s="1"/>
  <c r="DL11" i="1" s="1"/>
  <c r="DM11" i="1" s="1"/>
  <c r="DN11" i="1" s="1"/>
  <c r="DO11" i="1" s="1"/>
  <c r="DP11" i="1" s="1"/>
  <c r="DQ11" i="1" s="1"/>
  <c r="DR11" i="1" s="1"/>
  <c r="DS11" i="1" s="1"/>
  <c r="DT11" i="1" s="1"/>
  <c r="DU11" i="1" s="1"/>
  <c r="DV11" i="1" s="1"/>
  <c r="DW11" i="1" s="1"/>
  <c r="DX11" i="1" s="1"/>
  <c r="DY11" i="1" s="1"/>
  <c r="DZ11" i="1" s="1"/>
  <c r="EA11" i="1" s="1"/>
  <c r="EB11" i="1" s="1"/>
  <c r="EC11" i="1" s="1"/>
  <c r="ED11" i="1" s="1"/>
  <c r="EE11" i="1" s="1"/>
  <c r="EF11" i="1" s="1"/>
  <c r="EG11" i="1" s="1"/>
  <c r="EH11" i="1" s="1"/>
  <c r="EI11" i="1" s="1"/>
  <c r="EJ11" i="1" s="1"/>
  <c r="EK11" i="1" s="1"/>
  <c r="EL11" i="1" s="1"/>
  <c r="EM11" i="1" s="1"/>
  <c r="EN11" i="1" s="1"/>
  <c r="EO11" i="1" s="1"/>
  <c r="EP11" i="1" s="1"/>
  <c r="EQ11" i="1" s="1"/>
  <c r="ER11" i="1" s="1"/>
  <c r="ES11" i="1" s="1"/>
  <c r="ET11" i="1" s="1"/>
  <c r="EU11" i="1" s="1"/>
  <c r="EV11" i="1" s="1"/>
  <c r="EW11" i="1" s="1"/>
  <c r="EX11" i="1" s="1"/>
  <c r="EY11" i="1" s="1"/>
  <c r="EZ11" i="1" s="1"/>
  <c r="FA11" i="1" s="1"/>
  <c r="FB11" i="1" s="1"/>
  <c r="FC11" i="1" s="1"/>
  <c r="FD11" i="1" s="1"/>
  <c r="FE11" i="1" s="1"/>
  <c r="FF11" i="1" s="1"/>
  <c r="FG11" i="1" s="1"/>
  <c r="FH11" i="1" s="1"/>
  <c r="FI11" i="1" s="1"/>
  <c r="FJ11" i="1" s="1"/>
  <c r="FK11" i="1" s="1"/>
  <c r="FL11" i="1" s="1"/>
  <c r="FM11" i="1" s="1"/>
  <c r="FN11" i="1" s="1"/>
  <c r="FO11" i="1" s="1"/>
  <c r="FP11" i="1" s="1"/>
  <c r="FQ11" i="1" s="1"/>
  <c r="FR11" i="1" s="1"/>
  <c r="FS11" i="1" s="1"/>
  <c r="FT11" i="1" s="1"/>
  <c r="FU11" i="1" s="1"/>
  <c r="FV11" i="1" s="1"/>
  <c r="FW11" i="1" s="1"/>
  <c r="FX11" i="1" s="1"/>
  <c r="AE17" i="1"/>
  <c r="AD17" i="1"/>
  <c r="AH16" i="1" l="1"/>
  <c r="AH17" i="1" s="1"/>
</calcChain>
</file>

<file path=xl/sharedStrings.xml><?xml version="1.0" encoding="utf-8"?>
<sst xmlns="http://schemas.openxmlformats.org/spreadsheetml/2006/main" count="70" uniqueCount="63">
  <si>
    <t>Revenue</t>
  </si>
  <si>
    <t>Q315</t>
  </si>
  <si>
    <t>Gross Profit</t>
  </si>
  <si>
    <t>COGS</t>
  </si>
  <si>
    <t>S&amp;MA</t>
  </si>
  <si>
    <t>Operating Income</t>
  </si>
  <si>
    <t>Operating Margin</t>
  </si>
  <si>
    <t>Interest Expense</t>
  </si>
  <si>
    <t>Pretax Income</t>
  </si>
  <si>
    <t>Taxes</t>
  </si>
  <si>
    <t>Tax Rate</t>
  </si>
  <si>
    <t>Net Income</t>
  </si>
  <si>
    <t>Net Margin</t>
  </si>
  <si>
    <t>Shares</t>
  </si>
  <si>
    <t>INCOME STATEMENT</t>
  </si>
  <si>
    <t>Q314</t>
  </si>
  <si>
    <t>Price</t>
  </si>
  <si>
    <t>MC</t>
  </si>
  <si>
    <t>Cash</t>
  </si>
  <si>
    <t>Debt</t>
  </si>
  <si>
    <t>EV</t>
  </si>
  <si>
    <t>BALANCE SHEET</t>
  </si>
  <si>
    <t>A/R</t>
  </si>
  <si>
    <t>O/R</t>
  </si>
  <si>
    <t>Inventories</t>
  </si>
  <si>
    <t>D/T</t>
  </si>
  <si>
    <t>Prepaids</t>
  </si>
  <si>
    <t>PP&amp;E</t>
  </si>
  <si>
    <t>Goodwill</t>
  </si>
  <si>
    <t>Trademarks</t>
  </si>
  <si>
    <t>Insurance</t>
  </si>
  <si>
    <t>Assets</t>
  </si>
  <si>
    <t>A/P</t>
  </si>
  <si>
    <t>Dividends</t>
  </si>
  <si>
    <t>A/L</t>
  </si>
  <si>
    <t>Pension</t>
  </si>
  <si>
    <t>Uncertain Taxes</t>
  </si>
  <si>
    <t>Deferred Compensation</t>
  </si>
  <si>
    <t>S/E</t>
  </si>
  <si>
    <t>L</t>
  </si>
  <si>
    <t>L+S/E</t>
  </si>
  <si>
    <t>Q215</t>
  </si>
  <si>
    <t>Q115</t>
  </si>
  <si>
    <t>Q414</t>
  </si>
  <si>
    <t>Q214</t>
  </si>
  <si>
    <t>Gross Margin</t>
  </si>
  <si>
    <t>Q415</t>
  </si>
  <si>
    <t>Q116</t>
  </si>
  <si>
    <t>Q216</t>
  </si>
  <si>
    <t>Q316</t>
  </si>
  <si>
    <t>Q416</t>
  </si>
  <si>
    <t>Q114</t>
  </si>
  <si>
    <t>Revenue Growth</t>
  </si>
  <si>
    <t>Discount</t>
  </si>
  <si>
    <t>Maturity</t>
  </si>
  <si>
    <t>NPV</t>
  </si>
  <si>
    <t>Share</t>
  </si>
  <si>
    <t>CASH FLOW STATEMENT</t>
  </si>
  <si>
    <t>Model NI</t>
  </si>
  <si>
    <t>Reported NI</t>
  </si>
  <si>
    <t>D&amp;A</t>
  </si>
  <si>
    <t>CFFO</t>
  </si>
  <si>
    <t>Capital Expenditures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</si>
</sst>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\x"/>
    <numFmt numFmtId="165" formatCode="0.0%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0" fontId="1" fillId="0" borderId="0" xfId="0" applyFont="1"/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164" fontId="0" fillId="0" borderId="0" xfId="0" applyNumberFormat="1"/>
    <xf numFmtId="9" fontId="1" fillId="0" borderId="0" xfId="0" applyNumberFormat="1" applyFont="1"/>
    <xf numFmtId="3" fontId="0" fillId="0" borderId="0" xfId="0" applyNumberFormat="1" applyFont="1"/>
    <xf numFmtId="9" fontId="0" fillId="0" borderId="0" xfId="0" applyNumberFormat="1"/>
    <xf numFmtId="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0</xdr:row>
      <xdr:rowOff>0</xdr:rowOff>
    </xdr:from>
    <xdr:to>
      <xdr:col>9</xdr:col>
      <xdr:colOff>38100</xdr:colOff>
      <xdr:row>61</xdr:row>
      <xdr:rowOff>9525</xdr:rowOff>
    </xdr:to>
    <xdr:cxnSp macro="">
      <xdr:nvCxnSpPr>
        <xdr:cNvPr id="3" name="Straight Connector 2"/>
        <xdr:cNvCxnSpPr/>
      </xdr:nvCxnSpPr>
      <xdr:spPr>
        <a:xfrm>
          <a:off x="6543675" y="0"/>
          <a:ext cx="0" cy="9886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0</xdr:row>
      <xdr:rowOff>0</xdr:rowOff>
    </xdr:from>
    <xdr:to>
      <xdr:col>20</xdr:col>
      <xdr:colOff>9525</xdr:colOff>
      <xdr:row>66</xdr:row>
      <xdr:rowOff>0</xdr:rowOff>
    </xdr:to>
    <xdr:cxnSp macro="">
      <xdr:nvCxnSpPr>
        <xdr:cNvPr id="4" name="Straight Connector 3"/>
        <xdr:cNvCxnSpPr/>
      </xdr:nvCxnSpPr>
      <xdr:spPr>
        <a:xfrm>
          <a:off x="13220700" y="0"/>
          <a:ext cx="0" cy="10687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I17"/>
  <sheetViews>
    <sheetView tabSelected="1" zoomScaleNormal="100" workbookViewId="0">
      <selection activeCell="H7" sqref="H7"/>
    </sheetView>
  </sheetViews>
  <sheetFormatPr defaultRowHeight="12.75" x14ac:dyDescent="0.2"/>
  <cols>
    <col min="1" max="6" width="9.5703125" customWidth="1"/>
    <col min="7" max="9" width="9.42578125" customWidth="1"/>
  </cols>
  <sheetData>
    <row r="2" spans="5:9" x14ac:dyDescent="0.2">
      <c r="G2" t="s">
        <v>16</v>
      </c>
      <c r="H2">
        <v>32.71</v>
      </c>
    </row>
    <row r="3" spans="5:9" x14ac:dyDescent="0.2">
      <c r="G3" t="s">
        <v>13</v>
      </c>
      <c r="H3" s="6">
        <f>37.687773+23.554967</f>
        <v>61.242739999999998</v>
      </c>
      <c r="I3" s="1" t="s">
        <v>1</v>
      </c>
    </row>
    <row r="4" spans="5:9" x14ac:dyDescent="0.2">
      <c r="G4" t="s">
        <v>17</v>
      </c>
      <c r="H4" s="6">
        <f>+H3*H2</f>
        <v>2003.2500253999999</v>
      </c>
      <c r="I4" s="1"/>
    </row>
    <row r="5" spans="5:9" x14ac:dyDescent="0.2">
      <c r="G5" t="s">
        <v>18</v>
      </c>
      <c r="H5" s="6">
        <f>70.726+53.422+152.491</f>
        <v>276.63900000000001</v>
      </c>
      <c r="I5" s="1" t="s">
        <v>1</v>
      </c>
    </row>
    <row r="6" spans="5:9" x14ac:dyDescent="0.2">
      <c r="G6" t="s">
        <v>19</v>
      </c>
      <c r="H6" s="6">
        <f>7.5+0.253+0.43</f>
        <v>8.1829999999999998</v>
      </c>
      <c r="I6" s="1" t="s">
        <v>1</v>
      </c>
    </row>
    <row r="7" spans="5:9" x14ac:dyDescent="0.2">
      <c r="G7" t="s">
        <v>20</v>
      </c>
      <c r="H7" s="6">
        <f>+H4-H5+H6</f>
        <v>1734.7940254</v>
      </c>
    </row>
    <row r="8" spans="5:9" x14ac:dyDescent="0.2">
      <c r="H8" s="6"/>
    </row>
    <row r="9" spans="5:9" x14ac:dyDescent="0.2">
      <c r="G9" s="3"/>
      <c r="H9" s="12"/>
    </row>
    <row r="11" spans="5:9" x14ac:dyDescent="0.2">
      <c r="H11" s="11"/>
    </row>
    <row r="12" spans="5:9" x14ac:dyDescent="0.2">
      <c r="H12" s="11"/>
    </row>
    <row r="16" spans="5:9" x14ac:dyDescent="0.2">
      <c r="E16" s="3"/>
      <c r="F16" s="3"/>
    </row>
    <row r="17" spans="5:6" x14ac:dyDescent="0.2">
      <c r="E17" s="3"/>
      <c r="F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X62"/>
  <sheetViews>
    <sheetView zoomScaleNormal="100"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C3" sqref="C3"/>
    </sheetView>
  </sheetViews>
  <sheetFormatPr defaultRowHeight="12.75" x14ac:dyDescent="0.2"/>
  <cols>
    <col min="2" max="2" width="24.42578125" bestFit="1" customWidth="1"/>
    <col min="3" max="12" width="9.140625" style="1"/>
    <col min="33" max="33" width="9.85546875" customWidth="1"/>
    <col min="34" max="34" width="9.7109375" customWidth="1"/>
  </cols>
  <sheetData>
    <row r="2" spans="2:180" x14ac:dyDescent="0.2">
      <c r="B2" t="s">
        <v>14</v>
      </c>
      <c r="C2" s="1" t="s">
        <v>51</v>
      </c>
      <c r="D2" s="1" t="s">
        <v>44</v>
      </c>
      <c r="E2" s="1" t="s">
        <v>15</v>
      </c>
      <c r="F2" s="1" t="s">
        <v>43</v>
      </c>
      <c r="G2" s="1" t="s">
        <v>42</v>
      </c>
      <c r="H2" s="1" t="s">
        <v>41</v>
      </c>
      <c r="I2" s="1" t="s">
        <v>1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P2">
        <v>2010</v>
      </c>
      <c r="Q2">
        <v>2011</v>
      </c>
      <c r="R2">
        <v>2012</v>
      </c>
      <c r="S2">
        <f>+R2+1</f>
        <v>2013</v>
      </c>
      <c r="T2">
        <f t="shared" ref="T2:AE2" si="0">+S2+1</f>
        <v>2014</v>
      </c>
      <c r="U2">
        <f t="shared" si="0"/>
        <v>2015</v>
      </c>
      <c r="V2">
        <f t="shared" si="0"/>
        <v>2016</v>
      </c>
      <c r="W2">
        <f t="shared" si="0"/>
        <v>2017</v>
      </c>
      <c r="X2">
        <f t="shared" si="0"/>
        <v>2018</v>
      </c>
      <c r="Y2">
        <f t="shared" si="0"/>
        <v>2019</v>
      </c>
      <c r="Z2">
        <f t="shared" si="0"/>
        <v>2020</v>
      </c>
      <c r="AA2">
        <f t="shared" si="0"/>
        <v>2021</v>
      </c>
      <c r="AB2">
        <f t="shared" si="0"/>
        <v>2022</v>
      </c>
      <c r="AC2">
        <f t="shared" si="0"/>
        <v>2023</v>
      </c>
      <c r="AD2">
        <f t="shared" si="0"/>
        <v>2024</v>
      </c>
      <c r="AE2">
        <f t="shared" si="0"/>
        <v>2025</v>
      </c>
    </row>
    <row r="3" spans="2:180" s="4" customFormat="1" x14ac:dyDescent="0.2">
      <c r="B3" s="4" t="s">
        <v>0</v>
      </c>
      <c r="C3" s="5">
        <v>107782</v>
      </c>
      <c r="D3" s="5">
        <v>104930</v>
      </c>
      <c r="E3" s="5">
        <v>192014</v>
      </c>
      <c r="F3" s="5">
        <f>543525-SUM(C3:E3)</f>
        <v>138799</v>
      </c>
      <c r="G3" s="5">
        <v>106321</v>
      </c>
      <c r="H3" s="5">
        <v>108436</v>
      </c>
      <c r="I3" s="5">
        <v>184625</v>
      </c>
      <c r="J3" s="5">
        <f>+F3</f>
        <v>138799</v>
      </c>
      <c r="K3" s="5"/>
      <c r="L3" s="5"/>
      <c r="P3" s="4">
        <v>521448</v>
      </c>
      <c r="Q3" s="4">
        <v>532505</v>
      </c>
      <c r="R3" s="4">
        <v>549870</v>
      </c>
      <c r="S3" s="4">
        <v>543383</v>
      </c>
      <c r="T3" s="4">
        <f>SUM(C3:F3)</f>
        <v>543525</v>
      </c>
      <c r="U3" s="4">
        <f>SUM(G3:J3)</f>
        <v>538181</v>
      </c>
      <c r="V3" s="4">
        <f>+U3*1.02</f>
        <v>548944.62</v>
      </c>
      <c r="W3" s="4">
        <f t="shared" ref="W3:AE3" si="1">+V3*1.02</f>
        <v>559923.51240000001</v>
      </c>
      <c r="X3" s="4">
        <f t="shared" si="1"/>
        <v>571121.982648</v>
      </c>
      <c r="Y3" s="4">
        <f t="shared" si="1"/>
        <v>582544.42230096005</v>
      </c>
      <c r="Z3" s="4">
        <f t="shared" si="1"/>
        <v>594195.31074697932</v>
      </c>
      <c r="AA3" s="4">
        <f t="shared" si="1"/>
        <v>606079.21696191886</v>
      </c>
      <c r="AB3" s="4">
        <f t="shared" si="1"/>
        <v>618200.80130115722</v>
      </c>
      <c r="AC3" s="4">
        <f t="shared" si="1"/>
        <v>630564.81732718041</v>
      </c>
      <c r="AD3" s="4">
        <f t="shared" si="1"/>
        <v>643176.113673724</v>
      </c>
      <c r="AE3" s="4">
        <f t="shared" si="1"/>
        <v>656039.63594719849</v>
      </c>
    </row>
    <row r="4" spans="2:180" s="6" customFormat="1" x14ac:dyDescent="0.2">
      <c r="B4" s="6" t="s">
        <v>3</v>
      </c>
      <c r="C4" s="7">
        <v>67123</v>
      </c>
      <c r="D4" s="7">
        <v>66405</v>
      </c>
      <c r="E4" s="7">
        <v>123415</v>
      </c>
      <c r="F4" s="7">
        <f>341880-SUM(C4:E4)</f>
        <v>84937</v>
      </c>
      <c r="G4" s="7">
        <v>67373</v>
      </c>
      <c r="H4" s="7">
        <v>68963</v>
      </c>
      <c r="I4" s="7">
        <v>117259</v>
      </c>
      <c r="J4" s="7">
        <f>J3-J5</f>
        <v>87443.37</v>
      </c>
      <c r="K4" s="8"/>
      <c r="L4" s="7"/>
      <c r="P4" s="13">
        <v>350422</v>
      </c>
      <c r="Q4" s="13">
        <v>366263</v>
      </c>
      <c r="R4" s="13">
        <v>366549</v>
      </c>
      <c r="S4" s="13">
        <v>351897</v>
      </c>
      <c r="T4" s="13">
        <f>SUM(C4:F4)</f>
        <v>341880</v>
      </c>
      <c r="U4" s="13">
        <f>SUM(G4:J4)</f>
        <v>341038.37</v>
      </c>
      <c r="V4" s="6">
        <f>+V3-V5</f>
        <v>345835.11060000001</v>
      </c>
      <c r="W4" s="6">
        <f t="shared" ref="W4:AE4" si="2">+W3-W5</f>
        <v>349952.19524999999</v>
      </c>
      <c r="X4" s="6">
        <f t="shared" si="2"/>
        <v>356951.23915500002</v>
      </c>
      <c r="Y4" s="6">
        <f t="shared" si="2"/>
        <v>364090.26393810002</v>
      </c>
      <c r="Z4" s="6">
        <f t="shared" si="2"/>
        <v>368401.09266312717</v>
      </c>
      <c r="AA4" s="6">
        <f t="shared" si="2"/>
        <v>375769.11451638967</v>
      </c>
      <c r="AB4" s="6">
        <f t="shared" si="2"/>
        <v>383284.49680671748</v>
      </c>
      <c r="AC4" s="6">
        <f t="shared" si="2"/>
        <v>390950.18674285186</v>
      </c>
      <c r="AD4" s="6">
        <f t="shared" si="2"/>
        <v>395553.30990934023</v>
      </c>
      <c r="AE4" s="6">
        <f t="shared" si="2"/>
        <v>403464.37610752706</v>
      </c>
    </row>
    <row r="5" spans="2:180" s="6" customFormat="1" x14ac:dyDescent="0.2">
      <c r="B5" s="6" t="s">
        <v>2</v>
      </c>
      <c r="C5" s="7">
        <f>+C3-C4</f>
        <v>40659</v>
      </c>
      <c r="D5" s="7">
        <f>+D3-D4</f>
        <v>38525</v>
      </c>
      <c r="E5" s="7">
        <f>+E3-E4</f>
        <v>68599</v>
      </c>
      <c r="F5" s="7">
        <f>+F3-F4</f>
        <v>53862</v>
      </c>
      <c r="G5" s="7">
        <f>+G3-G4</f>
        <v>38948</v>
      </c>
      <c r="H5" s="7">
        <f>+H3-H4</f>
        <v>39473</v>
      </c>
      <c r="I5" s="7">
        <f>+I3-I4</f>
        <v>67366</v>
      </c>
      <c r="J5" s="7">
        <f>+J3*0.37</f>
        <v>51355.63</v>
      </c>
      <c r="K5" s="7"/>
      <c r="L5" s="7"/>
      <c r="P5" s="6">
        <f t="shared" ref="P5:S5" si="3">P3-P4</f>
        <v>171026</v>
      </c>
      <c r="Q5" s="6">
        <f t="shared" si="3"/>
        <v>166242</v>
      </c>
      <c r="R5" s="6">
        <f t="shared" si="3"/>
        <v>183321</v>
      </c>
      <c r="S5" s="6">
        <f t="shared" si="3"/>
        <v>191486</v>
      </c>
      <c r="T5" s="6">
        <f>T3-T4</f>
        <v>201645</v>
      </c>
      <c r="U5" s="6">
        <f>U3-U4</f>
        <v>197142.63</v>
      </c>
      <c r="V5" s="6">
        <f>+V3*0.37</f>
        <v>203109.50940000001</v>
      </c>
      <c r="W5" s="6">
        <f>+W3*0.375</f>
        <v>209971.31715000002</v>
      </c>
      <c r="X5" s="6">
        <f>+X3*0.375</f>
        <v>214170.74349299999</v>
      </c>
      <c r="Y5" s="6">
        <f>+Y3*0.375</f>
        <v>218454.15836286003</v>
      </c>
      <c r="Z5" s="6">
        <f>+Z3*0.38</f>
        <v>225794.21808385215</v>
      </c>
      <c r="AA5" s="6">
        <f t="shared" ref="AA5:AE5" si="4">+AA3*0.38</f>
        <v>230310.10244552916</v>
      </c>
      <c r="AB5" s="6">
        <f t="shared" si="4"/>
        <v>234916.30449443974</v>
      </c>
      <c r="AC5" s="6">
        <f t="shared" si="4"/>
        <v>239614.63058432855</v>
      </c>
      <c r="AD5" s="6">
        <f>+AD3*0.385</f>
        <v>247622.80376438375</v>
      </c>
      <c r="AE5" s="6">
        <f>+AE3*0.385</f>
        <v>252575.25983967143</v>
      </c>
    </row>
    <row r="6" spans="2:180" x14ac:dyDescent="0.2">
      <c r="B6" t="s">
        <v>4</v>
      </c>
      <c r="C6" s="7">
        <v>25631</v>
      </c>
      <c r="D6" s="7">
        <v>28296</v>
      </c>
      <c r="E6" s="7">
        <v>31840</v>
      </c>
      <c r="F6" s="7">
        <f>117722-SUM(C6:E6)</f>
        <v>31955</v>
      </c>
      <c r="G6" s="7">
        <v>25984</v>
      </c>
      <c r="H6" s="7">
        <v>25839</v>
      </c>
      <c r="I6" s="7">
        <v>26338</v>
      </c>
      <c r="J6" s="7">
        <f>+F6</f>
        <v>31955</v>
      </c>
      <c r="P6" s="13">
        <v>106316</v>
      </c>
      <c r="Q6" s="13">
        <v>108276</v>
      </c>
      <c r="R6" s="13">
        <v>113842</v>
      </c>
      <c r="S6" s="13">
        <v>119133</v>
      </c>
      <c r="T6" s="13">
        <f>SUM(C6:F6)</f>
        <v>117722</v>
      </c>
      <c r="U6" s="13">
        <f>SUM(G6:J6)</f>
        <v>110116</v>
      </c>
      <c r="V6" s="6">
        <f>+U6*0.99</f>
        <v>109014.84</v>
      </c>
      <c r="W6" s="6">
        <f t="shared" ref="W6:AE6" si="5">+V6*0.99</f>
        <v>107924.69159999999</v>
      </c>
      <c r="X6" s="6">
        <f t="shared" si="5"/>
        <v>106845.44468399999</v>
      </c>
      <c r="Y6" s="6">
        <f t="shared" si="5"/>
        <v>105776.99023715999</v>
      </c>
      <c r="Z6" s="6">
        <f t="shared" si="5"/>
        <v>104719.22033478839</v>
      </c>
      <c r="AA6" s="6">
        <f t="shared" si="5"/>
        <v>103672.0281314405</v>
      </c>
      <c r="AB6" s="6">
        <f t="shared" si="5"/>
        <v>102635.30785012609</v>
      </c>
      <c r="AC6" s="6">
        <f t="shared" si="5"/>
        <v>101608.95477162483</v>
      </c>
      <c r="AD6" s="6">
        <f t="shared" si="5"/>
        <v>100592.86522390858</v>
      </c>
      <c r="AE6" s="6">
        <f t="shared" si="5"/>
        <v>99586.936571669488</v>
      </c>
    </row>
    <row r="7" spans="2:180" x14ac:dyDescent="0.2">
      <c r="B7" t="s">
        <v>5</v>
      </c>
      <c r="C7" s="7">
        <f>C5-C6</f>
        <v>15028</v>
      </c>
      <c r="D7" s="7">
        <f>D5-D6</f>
        <v>10229</v>
      </c>
      <c r="E7" s="7">
        <f>+E5-E6</f>
        <v>36759</v>
      </c>
      <c r="F7" s="7">
        <f>+F5-F6</f>
        <v>21907</v>
      </c>
      <c r="G7" s="7">
        <f>G5-G6</f>
        <v>12964</v>
      </c>
      <c r="H7" s="7">
        <f>H5-H6</f>
        <v>13634</v>
      </c>
      <c r="I7" s="7">
        <f>I5-I6</f>
        <v>41028</v>
      </c>
      <c r="J7" s="7">
        <f>J5-J6</f>
        <v>19400.629999999997</v>
      </c>
      <c r="K7" s="9"/>
      <c r="P7" s="7">
        <f t="shared" ref="P7:S7" si="6">P5-P6</f>
        <v>64710</v>
      </c>
      <c r="Q7" s="7">
        <f t="shared" si="6"/>
        <v>57966</v>
      </c>
      <c r="R7" s="7">
        <f t="shared" si="6"/>
        <v>69479</v>
      </c>
      <c r="S7" s="7">
        <f t="shared" si="6"/>
        <v>72353</v>
      </c>
      <c r="T7" s="7">
        <f>T5-T6</f>
        <v>83923</v>
      </c>
      <c r="U7" s="7">
        <f>U5-U6</f>
        <v>87026.63</v>
      </c>
      <c r="V7" s="7">
        <f>V5-V6</f>
        <v>94094.669400000013</v>
      </c>
      <c r="W7" s="7">
        <f t="shared" ref="W7:AE7" si="7">W5-W6</f>
        <v>102046.62555000003</v>
      </c>
      <c r="X7" s="7">
        <f t="shared" si="7"/>
        <v>107325.298809</v>
      </c>
      <c r="Y7" s="7">
        <f t="shared" si="7"/>
        <v>112677.16812570005</v>
      </c>
      <c r="Z7" s="7">
        <f t="shared" si="7"/>
        <v>121074.99774906375</v>
      </c>
      <c r="AA7" s="7">
        <f t="shared" si="7"/>
        <v>126638.07431408866</v>
      </c>
      <c r="AB7" s="7">
        <f t="shared" si="7"/>
        <v>132280.99664431365</v>
      </c>
      <c r="AC7" s="7">
        <f t="shared" si="7"/>
        <v>138005.67581270373</v>
      </c>
      <c r="AD7" s="7">
        <f t="shared" si="7"/>
        <v>147029.93854047515</v>
      </c>
      <c r="AE7" s="7">
        <f t="shared" si="7"/>
        <v>152988.32326800196</v>
      </c>
    </row>
    <row r="8" spans="2:180" x14ac:dyDescent="0.2">
      <c r="B8" t="s">
        <v>7</v>
      </c>
      <c r="C8" s="7">
        <v>-1666</v>
      </c>
      <c r="D8" s="7">
        <v>-3033</v>
      </c>
      <c r="E8" s="7">
        <v>-166</v>
      </c>
      <c r="F8" s="7">
        <f>-7371-SUM(C8:E8)</f>
        <v>-2506</v>
      </c>
      <c r="G8" s="7">
        <v>-473</v>
      </c>
      <c r="H8" s="7">
        <v>-1321</v>
      </c>
      <c r="I8" s="7">
        <v>2879</v>
      </c>
      <c r="J8" s="7">
        <f>+F8</f>
        <v>-2506</v>
      </c>
      <c r="P8" s="13">
        <v>-8358</v>
      </c>
      <c r="Q8" s="13">
        <v>-2946</v>
      </c>
      <c r="R8" s="13">
        <v>-4685</v>
      </c>
      <c r="S8" s="13">
        <v>-12130</v>
      </c>
      <c r="T8" s="13">
        <f>SUM(C8:F8)</f>
        <v>-7371</v>
      </c>
      <c r="U8" s="13">
        <f>SUM(G8:J8)</f>
        <v>-1421</v>
      </c>
      <c r="V8" s="6">
        <f>+U8*2</f>
        <v>-2842</v>
      </c>
      <c r="W8" s="6">
        <f>+V8*2</f>
        <v>-5684</v>
      </c>
      <c r="X8" s="6">
        <f>+W8*1.5</f>
        <v>-8526</v>
      </c>
      <c r="Y8" s="6">
        <f>+X8*1.05</f>
        <v>-8952.3000000000011</v>
      </c>
      <c r="Z8" s="6">
        <f t="shared" ref="Z8:AE8" si="8">+Y8*1.05</f>
        <v>-9399.9150000000009</v>
      </c>
      <c r="AA8" s="6">
        <f t="shared" si="8"/>
        <v>-9869.9107500000009</v>
      </c>
      <c r="AB8" s="6">
        <f t="shared" si="8"/>
        <v>-10363.406287500002</v>
      </c>
      <c r="AC8" s="6">
        <f t="shared" si="8"/>
        <v>-10881.576601875002</v>
      </c>
      <c r="AD8" s="6">
        <f t="shared" si="8"/>
        <v>-11425.655431968753</v>
      </c>
      <c r="AE8" s="6">
        <f t="shared" si="8"/>
        <v>-11996.938203567192</v>
      </c>
    </row>
    <row r="9" spans="2:180" x14ac:dyDescent="0.2">
      <c r="B9" t="s">
        <v>8</v>
      </c>
      <c r="C9" s="7">
        <f>C7-C8</f>
        <v>16694</v>
      </c>
      <c r="D9" s="7">
        <f>D7-D8</f>
        <v>13262</v>
      </c>
      <c r="E9" s="7">
        <f>E7-E8</f>
        <v>36925</v>
      </c>
      <c r="F9" s="7">
        <f>F7-F8</f>
        <v>24413</v>
      </c>
      <c r="G9" s="7">
        <f>G7-G8</f>
        <v>13437</v>
      </c>
      <c r="H9" s="7">
        <f>H7-H8</f>
        <v>14955</v>
      </c>
      <c r="I9" s="7">
        <f>I7-I8</f>
        <v>38149</v>
      </c>
      <c r="J9" s="7">
        <f>J7-J8</f>
        <v>21906.629999999997</v>
      </c>
      <c r="K9" s="9"/>
      <c r="P9" s="7">
        <f t="shared" ref="P9:S9" si="9">P7-P8</f>
        <v>73068</v>
      </c>
      <c r="Q9" s="7">
        <f t="shared" si="9"/>
        <v>60912</v>
      </c>
      <c r="R9" s="7">
        <f t="shared" si="9"/>
        <v>74164</v>
      </c>
      <c r="S9" s="7">
        <f t="shared" si="9"/>
        <v>84483</v>
      </c>
      <c r="T9" s="7">
        <f>T7-T8</f>
        <v>91294</v>
      </c>
      <c r="U9" s="7">
        <f>U7-U8</f>
        <v>88447.63</v>
      </c>
      <c r="V9" s="7">
        <f>V7-V8</f>
        <v>96936.669400000013</v>
      </c>
      <c r="W9" s="7">
        <f t="shared" ref="W9:AE9" si="10">W7-W8</f>
        <v>107730.62555000003</v>
      </c>
      <c r="X9" s="7">
        <f t="shared" si="10"/>
        <v>115851.298809</v>
      </c>
      <c r="Y9" s="7">
        <f t="shared" si="10"/>
        <v>121629.46812570005</v>
      </c>
      <c r="Z9" s="7">
        <f t="shared" si="10"/>
        <v>130474.91274906375</v>
      </c>
      <c r="AA9" s="7">
        <f t="shared" si="10"/>
        <v>136507.98506408866</v>
      </c>
      <c r="AB9" s="7">
        <f t="shared" si="10"/>
        <v>142644.40293181365</v>
      </c>
      <c r="AC9" s="7">
        <f t="shared" si="10"/>
        <v>148887.25241457875</v>
      </c>
      <c r="AD9" s="7">
        <f t="shared" si="10"/>
        <v>158455.59397244389</v>
      </c>
      <c r="AE9" s="7">
        <f t="shared" si="10"/>
        <v>164985.26147156916</v>
      </c>
    </row>
    <row r="10" spans="2:180" x14ac:dyDescent="0.2">
      <c r="B10" t="s">
        <v>9</v>
      </c>
      <c r="C10" s="7">
        <v>7337</v>
      </c>
      <c r="D10" s="7">
        <v>4305</v>
      </c>
      <c r="E10" s="7">
        <v>10316</v>
      </c>
      <c r="F10" s="7">
        <f>28434-SUM(C10:E10)</f>
        <v>6476</v>
      </c>
      <c r="G10" s="7">
        <v>4334</v>
      </c>
      <c r="H10" s="7">
        <v>3735</v>
      </c>
      <c r="I10" s="7">
        <v>12008</v>
      </c>
      <c r="J10" s="7">
        <f>+J9*0.3</f>
        <v>6571.9889999999987</v>
      </c>
      <c r="P10" s="13">
        <v>20005</v>
      </c>
      <c r="Q10" s="13">
        <v>16974</v>
      </c>
      <c r="R10" s="13">
        <v>22160</v>
      </c>
      <c r="S10" s="13">
        <v>23634</v>
      </c>
      <c r="T10" s="13">
        <f>SUM(C10:F10)</f>
        <v>28434</v>
      </c>
      <c r="U10" s="13">
        <f>SUM(G10:J10)</f>
        <v>26648.988999999998</v>
      </c>
      <c r="V10" s="6">
        <f>+V9*0.3</f>
        <v>29081.000820000005</v>
      </c>
      <c r="W10" s="6">
        <f t="shared" ref="W10:AE10" si="11">+W9*0.3</f>
        <v>32319.187665000005</v>
      </c>
      <c r="X10" s="6">
        <f t="shared" si="11"/>
        <v>34755.3896427</v>
      </c>
      <c r="Y10" s="6">
        <f t="shared" si="11"/>
        <v>36488.840437710016</v>
      </c>
      <c r="Z10" s="6">
        <f t="shared" si="11"/>
        <v>39142.47382471912</v>
      </c>
      <c r="AA10" s="6">
        <f t="shared" si="11"/>
        <v>40952.395519226593</v>
      </c>
      <c r="AB10" s="6">
        <f t="shared" si="11"/>
        <v>42793.320879544095</v>
      </c>
      <c r="AC10" s="6">
        <f t="shared" si="11"/>
        <v>44666.175724373621</v>
      </c>
      <c r="AD10" s="6">
        <f t="shared" si="11"/>
        <v>47536.678191733168</v>
      </c>
      <c r="AE10" s="6">
        <f t="shared" si="11"/>
        <v>49495.578441470745</v>
      </c>
    </row>
    <row r="11" spans="2:180" x14ac:dyDescent="0.2">
      <c r="B11" s="3" t="s">
        <v>11</v>
      </c>
      <c r="C11" s="5">
        <f>+C9-C10</f>
        <v>9357</v>
      </c>
      <c r="D11" s="5">
        <f>+D9-D10</f>
        <v>8957</v>
      </c>
      <c r="E11" s="5">
        <f>+E9-E10</f>
        <v>26609</v>
      </c>
      <c r="F11" s="5">
        <f>+F9-F10</f>
        <v>17937</v>
      </c>
      <c r="G11" s="5">
        <f>+G9-G10</f>
        <v>9103</v>
      </c>
      <c r="H11" s="5">
        <f>+H9-H10</f>
        <v>11220</v>
      </c>
      <c r="I11" s="5">
        <f>+I9-I10</f>
        <v>26141</v>
      </c>
      <c r="J11" s="5">
        <f>+J9-J10</f>
        <v>15334.641</v>
      </c>
      <c r="P11" s="5">
        <f t="shared" ref="P11:S11" si="12">+P9-P10</f>
        <v>53063</v>
      </c>
      <c r="Q11" s="5">
        <f t="shared" si="12"/>
        <v>43938</v>
      </c>
      <c r="R11" s="5">
        <f t="shared" si="12"/>
        <v>52004</v>
      </c>
      <c r="S11" s="5">
        <f t="shared" si="12"/>
        <v>60849</v>
      </c>
      <c r="T11" s="5">
        <f>+T9-T10</f>
        <v>62860</v>
      </c>
      <c r="U11" s="5">
        <f>+U9-U10</f>
        <v>61798.641000000003</v>
      </c>
      <c r="V11" s="5">
        <f>+V9-V10</f>
        <v>67855.668580000012</v>
      </c>
      <c r="W11" s="5">
        <f t="shared" ref="W11:AE11" si="13">+W9-W10</f>
        <v>75411.437885000021</v>
      </c>
      <c r="X11" s="5">
        <f t="shared" si="13"/>
        <v>81095.9091663</v>
      </c>
      <c r="Y11" s="5">
        <f t="shared" si="13"/>
        <v>85140.627687990025</v>
      </c>
      <c r="Z11" s="5">
        <f t="shared" si="13"/>
        <v>91332.438924344635</v>
      </c>
      <c r="AA11" s="5">
        <f t="shared" si="13"/>
        <v>95555.589544862072</v>
      </c>
      <c r="AB11" s="5">
        <f t="shared" si="13"/>
        <v>99851.082052269543</v>
      </c>
      <c r="AC11" s="5">
        <f t="shared" si="13"/>
        <v>104221.07669020513</v>
      </c>
      <c r="AD11" s="5">
        <f t="shared" si="13"/>
        <v>110918.91578071073</v>
      </c>
      <c r="AE11" s="5">
        <f t="shared" si="13"/>
        <v>115489.68303009841</v>
      </c>
      <c r="AF11" s="4">
        <f>+AE11*(1+$AH$15)</f>
        <v>114334.78619979743</v>
      </c>
      <c r="AG11" s="4">
        <f t="shared" ref="AG11:CR11" si="14">+AF11*(1+$AH$15)</f>
        <v>113191.43833779945</v>
      </c>
      <c r="AH11" s="4">
        <f t="shared" si="14"/>
        <v>112059.52395442146</v>
      </c>
      <c r="AI11" s="4">
        <f t="shared" si="14"/>
        <v>110938.92871487724</v>
      </c>
      <c r="AJ11" s="4">
        <f t="shared" si="14"/>
        <v>109829.53942772846</v>
      </c>
      <c r="AK11" s="4">
        <f t="shared" si="14"/>
        <v>108731.24403345118</v>
      </c>
      <c r="AL11" s="4">
        <f t="shared" si="14"/>
        <v>107643.93159311666</v>
      </c>
      <c r="AM11" s="4">
        <f t="shared" si="14"/>
        <v>106567.49227718549</v>
      </c>
      <c r="AN11" s="4">
        <f t="shared" si="14"/>
        <v>105501.81735441364</v>
      </c>
      <c r="AO11" s="4">
        <f t="shared" si="14"/>
        <v>104446.79918086949</v>
      </c>
      <c r="AP11" s="4">
        <f t="shared" si="14"/>
        <v>103402.3311890608</v>
      </c>
      <c r="AQ11" s="4">
        <f t="shared" si="14"/>
        <v>102368.3078771702</v>
      </c>
      <c r="AR11" s="4">
        <f t="shared" si="14"/>
        <v>101344.62479839849</v>
      </c>
      <c r="AS11" s="4">
        <f t="shared" si="14"/>
        <v>100331.17855041451</v>
      </c>
      <c r="AT11" s="4">
        <f t="shared" si="14"/>
        <v>99327.866764910359</v>
      </c>
      <c r="AU11" s="4">
        <f t="shared" si="14"/>
        <v>98334.58809726125</v>
      </c>
      <c r="AV11" s="4">
        <f t="shared" si="14"/>
        <v>97351.242216288636</v>
      </c>
      <c r="AW11" s="4">
        <f t="shared" si="14"/>
        <v>96377.729794125742</v>
      </c>
      <c r="AX11" s="4">
        <f t="shared" si="14"/>
        <v>95413.952496184487</v>
      </c>
      <c r="AY11" s="4">
        <f t="shared" si="14"/>
        <v>94459.812971222636</v>
      </c>
      <c r="AZ11" s="4">
        <f t="shared" si="14"/>
        <v>93515.214841510402</v>
      </c>
      <c r="BA11" s="4">
        <f t="shared" si="14"/>
        <v>92580.0626930953</v>
      </c>
      <c r="BB11" s="4">
        <f t="shared" si="14"/>
        <v>91654.262066164345</v>
      </c>
      <c r="BC11" s="4">
        <f t="shared" si="14"/>
        <v>90737.719445502706</v>
      </c>
      <c r="BD11" s="4">
        <f t="shared" si="14"/>
        <v>89830.342251047681</v>
      </c>
      <c r="BE11" s="4">
        <f t="shared" si="14"/>
        <v>88932.038828537203</v>
      </c>
      <c r="BF11" s="4">
        <f t="shared" si="14"/>
        <v>88042.718440251832</v>
      </c>
      <c r="BG11" s="4">
        <f t="shared" si="14"/>
        <v>87162.291255849312</v>
      </c>
      <c r="BH11" s="4">
        <f t="shared" si="14"/>
        <v>86290.668343290818</v>
      </c>
      <c r="BI11" s="4">
        <f t="shared" si="14"/>
        <v>85427.761659857904</v>
      </c>
      <c r="BJ11" s="4">
        <f t="shared" si="14"/>
        <v>84573.484043259319</v>
      </c>
      <c r="BK11" s="4">
        <f t="shared" si="14"/>
        <v>83727.74920282673</v>
      </c>
      <c r="BL11" s="4">
        <f t="shared" si="14"/>
        <v>82890.471710798462</v>
      </c>
      <c r="BM11" s="4">
        <f t="shared" si="14"/>
        <v>82061.566993690474</v>
      </c>
      <c r="BN11" s="4">
        <f t="shared" si="14"/>
        <v>81240.951323753572</v>
      </c>
      <c r="BO11" s="4">
        <f t="shared" si="14"/>
        <v>80428.541810516035</v>
      </c>
      <c r="BP11" s="4">
        <f t="shared" si="14"/>
        <v>79624.256392410869</v>
      </c>
      <c r="BQ11" s="4">
        <f t="shared" si="14"/>
        <v>78828.013828486757</v>
      </c>
      <c r="BR11" s="4">
        <f t="shared" si="14"/>
        <v>78039.733690201887</v>
      </c>
      <c r="BS11" s="4">
        <f t="shared" si="14"/>
        <v>77259.336353299863</v>
      </c>
      <c r="BT11" s="4">
        <f t="shared" si="14"/>
        <v>76486.742989766863</v>
      </c>
      <c r="BU11" s="4">
        <f t="shared" si="14"/>
        <v>75721.875559869193</v>
      </c>
      <c r="BV11" s="4">
        <f t="shared" si="14"/>
        <v>74964.656804270504</v>
      </c>
      <c r="BW11" s="4">
        <f t="shared" si="14"/>
        <v>74215.010236227798</v>
      </c>
      <c r="BX11" s="4">
        <f t="shared" si="14"/>
        <v>73472.860133865513</v>
      </c>
      <c r="BY11" s="4">
        <f t="shared" si="14"/>
        <v>72738.131532526852</v>
      </c>
      <c r="BZ11" s="4">
        <f t="shared" si="14"/>
        <v>72010.750217201581</v>
      </c>
      <c r="CA11" s="4">
        <f t="shared" si="14"/>
        <v>71290.642715029564</v>
      </c>
      <c r="CB11" s="4">
        <f t="shared" si="14"/>
        <v>70577.736287879263</v>
      </c>
      <c r="CC11" s="4">
        <f t="shared" si="14"/>
        <v>69871.958925000465</v>
      </c>
      <c r="CD11" s="4">
        <f t="shared" si="14"/>
        <v>69173.239335750462</v>
      </c>
      <c r="CE11" s="4">
        <f t="shared" si="14"/>
        <v>68481.506942392953</v>
      </c>
      <c r="CF11" s="4">
        <f t="shared" si="14"/>
        <v>67796.691872969022</v>
      </c>
      <c r="CG11" s="4">
        <f t="shared" si="14"/>
        <v>67118.724954239326</v>
      </c>
      <c r="CH11" s="4">
        <f t="shared" si="14"/>
        <v>66447.537704696937</v>
      </c>
      <c r="CI11" s="4">
        <f t="shared" si="14"/>
        <v>65783.062327649968</v>
      </c>
      <c r="CJ11" s="4">
        <f t="shared" si="14"/>
        <v>65125.231704373466</v>
      </c>
      <c r="CK11" s="4">
        <f t="shared" si="14"/>
        <v>64473.979387329731</v>
      </c>
      <c r="CL11" s="4">
        <f t="shared" si="14"/>
        <v>63829.239593456434</v>
      </c>
      <c r="CM11" s="4">
        <f t="shared" si="14"/>
        <v>63190.947197521869</v>
      </c>
      <c r="CN11" s="4">
        <f t="shared" si="14"/>
        <v>62559.037725546652</v>
      </c>
      <c r="CO11" s="4">
        <f t="shared" si="14"/>
        <v>61933.447348291185</v>
      </c>
      <c r="CP11" s="4">
        <f t="shared" si="14"/>
        <v>61314.11287480827</v>
      </c>
      <c r="CQ11" s="4">
        <f t="shared" si="14"/>
        <v>60700.97174606019</v>
      </c>
      <c r="CR11" s="4">
        <f t="shared" si="14"/>
        <v>60093.962028599584</v>
      </c>
      <c r="CS11" s="4">
        <f t="shared" ref="CS11:FD11" si="15">+CR11*(1+$AH$15)</f>
        <v>59493.022408313591</v>
      </c>
      <c r="CT11" s="4">
        <f t="shared" si="15"/>
        <v>58898.092184230452</v>
      </c>
      <c r="CU11" s="4">
        <f t="shared" si="15"/>
        <v>58309.111262388149</v>
      </c>
      <c r="CV11" s="4">
        <f t="shared" si="15"/>
        <v>57726.02014976427</v>
      </c>
      <c r="CW11" s="4">
        <f t="shared" si="15"/>
        <v>57148.759948266626</v>
      </c>
      <c r="CX11" s="4">
        <f t="shared" si="15"/>
        <v>56577.272348783961</v>
      </c>
      <c r="CY11" s="4">
        <f t="shared" si="15"/>
        <v>56011.499625296121</v>
      </c>
      <c r="CZ11" s="4">
        <f t="shared" si="15"/>
        <v>55451.384629043161</v>
      </c>
      <c r="DA11" s="4">
        <f t="shared" si="15"/>
        <v>54896.870782752732</v>
      </c>
      <c r="DB11" s="4">
        <f t="shared" si="15"/>
        <v>54347.902074925201</v>
      </c>
      <c r="DC11" s="4">
        <f t="shared" si="15"/>
        <v>53804.423054175946</v>
      </c>
      <c r="DD11" s="4">
        <f t="shared" si="15"/>
        <v>53266.378823634186</v>
      </c>
      <c r="DE11" s="4">
        <f t="shared" si="15"/>
        <v>52733.715035397843</v>
      </c>
      <c r="DF11" s="4">
        <f t="shared" si="15"/>
        <v>52206.377885043861</v>
      </c>
      <c r="DG11" s="4">
        <f t="shared" si="15"/>
        <v>51684.314106193422</v>
      </c>
      <c r="DH11" s="4">
        <f t="shared" si="15"/>
        <v>51167.470965131484</v>
      </c>
      <c r="DI11" s="4">
        <f t="shared" si="15"/>
        <v>50655.796255480171</v>
      </c>
      <c r="DJ11" s="4">
        <f t="shared" si="15"/>
        <v>50149.238292925365</v>
      </c>
      <c r="DK11" s="4">
        <f t="shared" si="15"/>
        <v>49647.745909996112</v>
      </c>
      <c r="DL11" s="4">
        <f t="shared" si="15"/>
        <v>49151.268450896154</v>
      </c>
      <c r="DM11" s="4">
        <f t="shared" si="15"/>
        <v>48659.755766387192</v>
      </c>
      <c r="DN11" s="4">
        <f t="shared" si="15"/>
        <v>48173.158208723318</v>
      </c>
      <c r="DO11" s="4">
        <f t="shared" si="15"/>
        <v>47691.426626636086</v>
      </c>
      <c r="DP11" s="4">
        <f t="shared" si="15"/>
        <v>47214.512360369728</v>
      </c>
      <c r="DQ11" s="4">
        <f t="shared" si="15"/>
        <v>46742.367236766033</v>
      </c>
      <c r="DR11" s="4">
        <f t="shared" si="15"/>
        <v>46274.943564398374</v>
      </c>
      <c r="DS11" s="4">
        <f t="shared" si="15"/>
        <v>45812.194128754389</v>
      </c>
      <c r="DT11" s="4">
        <f t="shared" si="15"/>
        <v>45354.072187466845</v>
      </c>
      <c r="DU11" s="4">
        <f t="shared" si="15"/>
        <v>44900.531465592176</v>
      </c>
      <c r="DV11" s="4">
        <f t="shared" si="15"/>
        <v>44451.526150936254</v>
      </c>
      <c r="DW11" s="4">
        <f t="shared" si="15"/>
        <v>44007.010889426892</v>
      </c>
      <c r="DX11" s="4">
        <f t="shared" si="15"/>
        <v>43566.940780532626</v>
      </c>
      <c r="DY11" s="4">
        <f t="shared" si="15"/>
        <v>43131.2713727273</v>
      </c>
      <c r="DZ11" s="4">
        <f t="shared" si="15"/>
        <v>42699.958659000025</v>
      </c>
      <c r="EA11" s="4">
        <f t="shared" si="15"/>
        <v>42272.959072410027</v>
      </c>
      <c r="EB11" s="4">
        <f t="shared" si="15"/>
        <v>41850.229481685928</v>
      </c>
      <c r="EC11" s="4">
        <f t="shared" si="15"/>
        <v>41431.727186869066</v>
      </c>
      <c r="ED11" s="4">
        <f t="shared" si="15"/>
        <v>41017.409915000375</v>
      </c>
      <c r="EE11" s="4">
        <f t="shared" si="15"/>
        <v>40607.23581585037</v>
      </c>
      <c r="EF11" s="4">
        <f t="shared" si="15"/>
        <v>40201.163457691866</v>
      </c>
      <c r="EG11" s="4">
        <f t="shared" si="15"/>
        <v>39799.151823114946</v>
      </c>
      <c r="EH11" s="4">
        <f t="shared" si="15"/>
        <v>39401.160304883793</v>
      </c>
      <c r="EI11" s="4">
        <f t="shared" si="15"/>
        <v>39007.148701834958</v>
      </c>
      <c r="EJ11" s="4">
        <f t="shared" si="15"/>
        <v>38617.077214816607</v>
      </c>
      <c r="EK11" s="4">
        <f t="shared" si="15"/>
        <v>38230.906442668442</v>
      </c>
      <c r="EL11" s="4">
        <f t="shared" si="15"/>
        <v>37848.597378241757</v>
      </c>
      <c r="EM11" s="4">
        <f t="shared" si="15"/>
        <v>37470.111404459341</v>
      </c>
      <c r="EN11" s="4">
        <f t="shared" si="15"/>
        <v>37095.410290414751</v>
      </c>
      <c r="EO11" s="4">
        <f t="shared" si="15"/>
        <v>36724.456187510601</v>
      </c>
      <c r="EP11" s="4">
        <f t="shared" si="15"/>
        <v>36357.211625635493</v>
      </c>
      <c r="EQ11" s="4">
        <f t="shared" si="15"/>
        <v>35993.639509379136</v>
      </c>
      <c r="ER11" s="4">
        <f t="shared" si="15"/>
        <v>35633.703114285345</v>
      </c>
      <c r="ES11" s="4">
        <f t="shared" si="15"/>
        <v>35277.366083142493</v>
      </c>
      <c r="ET11" s="4">
        <f t="shared" si="15"/>
        <v>34924.592422311071</v>
      </c>
      <c r="EU11" s="4">
        <f t="shared" si="15"/>
        <v>34575.346498087958</v>
      </c>
      <c r="EV11" s="4">
        <f t="shared" si="15"/>
        <v>34229.593033107078</v>
      </c>
      <c r="EW11" s="4">
        <f t="shared" si="15"/>
        <v>33887.297102776007</v>
      </c>
      <c r="EX11" s="4">
        <f t="shared" si="15"/>
        <v>33548.424131748245</v>
      </c>
      <c r="EY11" s="4">
        <f t="shared" si="15"/>
        <v>33212.93989043076</v>
      </c>
      <c r="EZ11" s="4">
        <f t="shared" si="15"/>
        <v>32880.810491526448</v>
      </c>
      <c r="FA11" s="4">
        <f t="shared" si="15"/>
        <v>32552.002386611184</v>
      </c>
      <c r="FB11" s="4">
        <f t="shared" si="15"/>
        <v>32226.482362745071</v>
      </c>
      <c r="FC11" s="4">
        <f t="shared" si="15"/>
        <v>31904.217539117621</v>
      </c>
      <c r="FD11" s="4">
        <f t="shared" si="15"/>
        <v>31585.175363726445</v>
      </c>
      <c r="FE11" s="4">
        <f t="shared" ref="FE11:FX11" si="16">+FD11*(1+$AH$15)</f>
        <v>31269.323610089181</v>
      </c>
      <c r="FF11" s="4">
        <f t="shared" si="16"/>
        <v>30956.63037398829</v>
      </c>
      <c r="FG11" s="4">
        <f t="shared" si="16"/>
        <v>30647.064070248405</v>
      </c>
      <c r="FH11" s="4">
        <f t="shared" si="16"/>
        <v>30340.593429545919</v>
      </c>
      <c r="FI11" s="4">
        <f t="shared" si="16"/>
        <v>30037.187495250459</v>
      </c>
      <c r="FJ11" s="4">
        <f t="shared" si="16"/>
        <v>29736.815620297955</v>
      </c>
      <c r="FK11" s="4">
        <f t="shared" si="16"/>
        <v>29439.447464094974</v>
      </c>
      <c r="FL11" s="4">
        <f t="shared" si="16"/>
        <v>29145.052989454023</v>
      </c>
      <c r="FM11" s="4">
        <f t="shared" si="16"/>
        <v>28853.602459559483</v>
      </c>
      <c r="FN11" s="4">
        <f t="shared" si="16"/>
        <v>28565.066434963886</v>
      </c>
      <c r="FO11" s="4">
        <f t="shared" si="16"/>
        <v>28279.415770614247</v>
      </c>
      <c r="FP11" s="4">
        <f t="shared" si="16"/>
        <v>27996.621612908104</v>
      </c>
      <c r="FQ11" s="4">
        <f t="shared" si="16"/>
        <v>27716.655396779024</v>
      </c>
      <c r="FR11" s="4">
        <f t="shared" si="16"/>
        <v>27439.488842811235</v>
      </c>
      <c r="FS11" s="4">
        <f t="shared" si="16"/>
        <v>27165.093954383123</v>
      </c>
      <c r="FT11" s="4">
        <f t="shared" si="16"/>
        <v>26893.443014839293</v>
      </c>
      <c r="FU11" s="4">
        <f t="shared" si="16"/>
        <v>26624.508584690899</v>
      </c>
      <c r="FV11" s="4">
        <f t="shared" si="16"/>
        <v>26358.26349884399</v>
      </c>
      <c r="FW11" s="4">
        <f t="shared" si="16"/>
        <v>26094.680863855549</v>
      </c>
      <c r="FX11" s="4">
        <f t="shared" si="16"/>
        <v>25833.734055216992</v>
      </c>
    </row>
    <row r="12" spans="2:180" x14ac:dyDescent="0.2">
      <c r="C12" s="10"/>
      <c r="D12" s="10"/>
      <c r="E12" s="10"/>
      <c r="F12" s="10"/>
      <c r="G12" s="10"/>
      <c r="H12" s="10"/>
      <c r="I12" s="10"/>
    </row>
    <row r="13" spans="2:180" x14ac:dyDescent="0.2">
      <c r="B13" t="s">
        <v>52</v>
      </c>
      <c r="C13" s="10"/>
      <c r="D13" s="10"/>
      <c r="E13" s="10"/>
      <c r="F13" s="10"/>
      <c r="G13" s="2">
        <f t="shared" ref="G13:H13" si="17">+G3/C3-1</f>
        <v>-1.355513907702588E-2</v>
      </c>
      <c r="H13" s="2">
        <f t="shared" si="17"/>
        <v>3.341275135804822E-2</v>
      </c>
      <c r="I13" s="2">
        <f>+I3/E3-1</f>
        <v>-3.8481569052256637E-2</v>
      </c>
      <c r="J13" s="2">
        <f>+J3/F3-1</f>
        <v>0</v>
      </c>
      <c r="Q13" s="14">
        <f t="shared" ref="Q13:S13" si="18">Q3/P3-1</f>
        <v>2.1204415397124921E-2</v>
      </c>
      <c r="R13" s="14">
        <f t="shared" si="18"/>
        <v>3.2610022441103892E-2</v>
      </c>
      <c r="S13" s="14">
        <f>S3/R3-1</f>
        <v>-1.1797333915289032E-2</v>
      </c>
      <c r="T13" s="14">
        <f>T3/S3-1</f>
        <v>2.6132580518711812E-4</v>
      </c>
      <c r="U13" s="14">
        <f>U3/T3-1</f>
        <v>-9.8321144381583458E-3</v>
      </c>
      <c r="V13" s="14">
        <f t="shared" ref="V13:AE13" si="19">V3/U3-1</f>
        <v>2.0000000000000018E-2</v>
      </c>
      <c r="W13" s="14">
        <f t="shared" si="19"/>
        <v>2.0000000000000018E-2</v>
      </c>
      <c r="X13" s="14">
        <f t="shared" si="19"/>
        <v>2.0000000000000018E-2</v>
      </c>
      <c r="Y13" s="14">
        <f t="shared" si="19"/>
        <v>2.0000000000000018E-2</v>
      </c>
      <c r="Z13" s="14">
        <f t="shared" si="19"/>
        <v>2.0000000000000018E-2</v>
      </c>
      <c r="AA13" s="14">
        <f t="shared" si="19"/>
        <v>2.0000000000000018E-2</v>
      </c>
      <c r="AB13" s="14">
        <f t="shared" si="19"/>
        <v>2.0000000000000018E-2</v>
      </c>
      <c r="AC13" s="14">
        <f t="shared" si="19"/>
        <v>2.0000000000000018E-2</v>
      </c>
      <c r="AD13" s="14">
        <f t="shared" si="19"/>
        <v>2.0000000000000018E-2</v>
      </c>
      <c r="AE13" s="14">
        <f t="shared" si="19"/>
        <v>2.0000000000000018E-2</v>
      </c>
    </row>
    <row r="14" spans="2:180" x14ac:dyDescent="0.2">
      <c r="B14" t="s">
        <v>45</v>
      </c>
      <c r="C14" s="2">
        <f>C5/C3</f>
        <v>0.37723367538178915</v>
      </c>
      <c r="D14" s="2">
        <f>D5/D3</f>
        <v>0.3671495282569332</v>
      </c>
      <c r="E14" s="2">
        <f>E5/E3</f>
        <v>0.35726040809524306</v>
      </c>
      <c r="F14" s="2">
        <f>F5/F3</f>
        <v>0.38805755084690813</v>
      </c>
      <c r="G14" s="2">
        <f>G5/G3</f>
        <v>0.36632462072403382</v>
      </c>
      <c r="H14" s="2">
        <f>H5/H3</f>
        <v>0.36402117377992549</v>
      </c>
      <c r="I14" s="2">
        <f>I5/I3</f>
        <v>0.36488016249153687</v>
      </c>
      <c r="J14" s="2">
        <f t="shared" ref="J14" si="20">J5/J3</f>
        <v>0.37</v>
      </c>
      <c r="P14" s="2">
        <f t="shared" ref="P14:R14" si="21">P5/P3</f>
        <v>0.32798284776238473</v>
      </c>
      <c r="Q14" s="2">
        <f t="shared" si="21"/>
        <v>0.31218861794724934</v>
      </c>
      <c r="R14" s="2">
        <f t="shared" ref="R14:U14" si="22">R5/R3</f>
        <v>0.33338971029516068</v>
      </c>
      <c r="S14" s="2">
        <f t="shared" si="22"/>
        <v>0.35239600797227738</v>
      </c>
      <c r="T14" s="2">
        <f t="shared" si="22"/>
        <v>0.37099489443907824</v>
      </c>
      <c r="U14" s="2">
        <f t="shared" si="22"/>
        <v>0.36631287615133201</v>
      </c>
      <c r="V14" s="2">
        <f t="shared" ref="V14:AE14" si="23">V5/V3</f>
        <v>0.37</v>
      </c>
      <c r="W14" s="2">
        <f t="shared" si="23"/>
        <v>0.375</v>
      </c>
      <c r="X14" s="2">
        <f t="shared" si="23"/>
        <v>0.375</v>
      </c>
      <c r="Y14" s="2">
        <f t="shared" si="23"/>
        <v>0.375</v>
      </c>
      <c r="Z14" s="2">
        <f t="shared" si="23"/>
        <v>0.38</v>
      </c>
      <c r="AA14" s="2">
        <f t="shared" si="23"/>
        <v>0.38</v>
      </c>
      <c r="AB14" s="2">
        <f t="shared" si="23"/>
        <v>0.38</v>
      </c>
      <c r="AC14" s="2">
        <f t="shared" si="23"/>
        <v>0.38</v>
      </c>
      <c r="AD14" s="2">
        <f t="shared" si="23"/>
        <v>0.38500000000000001</v>
      </c>
      <c r="AE14" s="2">
        <f t="shared" si="23"/>
        <v>0.38500000000000001</v>
      </c>
      <c r="AG14" t="s">
        <v>53</v>
      </c>
      <c r="AH14" s="16">
        <v>0.05</v>
      </c>
    </row>
    <row r="15" spans="2:180" x14ac:dyDescent="0.2">
      <c r="B15" t="s">
        <v>6</v>
      </c>
      <c r="C15" s="2">
        <f>C7/C3</f>
        <v>0.13942958935629327</v>
      </c>
      <c r="D15" s="2">
        <f>D7/D3</f>
        <v>9.7484036977032312E-2</v>
      </c>
      <c r="E15" s="2">
        <f>E7/E3</f>
        <v>0.19143916589415355</v>
      </c>
      <c r="F15" s="2">
        <f>F7/F3</f>
        <v>0.15783254922585899</v>
      </c>
      <c r="G15" s="2">
        <f>G7/G3</f>
        <v>0.12193263795487251</v>
      </c>
      <c r="H15" s="2">
        <f>H7/H3</f>
        <v>0.12573315135194954</v>
      </c>
      <c r="I15" s="2">
        <f>I7/I3</f>
        <v>0.22222342586323629</v>
      </c>
      <c r="J15" s="2">
        <f t="shared" ref="J15" si="24">J7/J3</f>
        <v>0.13977499837895083</v>
      </c>
      <c r="P15" s="2">
        <f t="shared" ref="P15:R15" si="25">P7/P3</f>
        <v>0.12409674598425921</v>
      </c>
      <c r="Q15" s="2">
        <f t="shared" si="25"/>
        <v>0.10885531591252665</v>
      </c>
      <c r="R15" s="2">
        <f t="shared" ref="R15:U15" si="26">R7/R3</f>
        <v>0.12635532034844599</v>
      </c>
      <c r="S15" s="2">
        <f t="shared" si="26"/>
        <v>0.13315285903313132</v>
      </c>
      <c r="T15" s="2">
        <f t="shared" si="26"/>
        <v>0.15440504116645967</v>
      </c>
      <c r="U15" s="2">
        <f t="shared" si="26"/>
        <v>0.16170513265983005</v>
      </c>
      <c r="V15" s="2">
        <f t="shared" ref="V15:AE15" si="27">V7/V3</f>
        <v>0.1714101313170717</v>
      </c>
      <c r="W15" s="2">
        <f t="shared" si="27"/>
        <v>0.18225100980774606</v>
      </c>
      <c r="X15" s="2">
        <f t="shared" si="27"/>
        <v>0.18792009775457702</v>
      </c>
      <c r="Y15" s="2">
        <f t="shared" si="27"/>
        <v>0.19342244782061893</v>
      </c>
      <c r="Z15" s="2">
        <f t="shared" si="27"/>
        <v>0.20376296406118896</v>
      </c>
      <c r="AA15" s="2">
        <f t="shared" si="27"/>
        <v>0.20894640629468339</v>
      </c>
      <c r="AB15" s="2">
        <f t="shared" si="27"/>
        <v>0.21397739434483976</v>
      </c>
      <c r="AC15" s="2">
        <f t="shared" si="27"/>
        <v>0.21886041215822685</v>
      </c>
      <c r="AD15" s="2">
        <f t="shared" si="27"/>
        <v>0.22859981180063194</v>
      </c>
      <c r="AE15" s="2">
        <f t="shared" si="27"/>
        <v>0.23319981733590753</v>
      </c>
      <c r="AG15" t="s">
        <v>54</v>
      </c>
      <c r="AH15" s="16">
        <v>-0.01</v>
      </c>
    </row>
    <row r="16" spans="2:180" x14ac:dyDescent="0.2">
      <c r="B16" t="s">
        <v>10</v>
      </c>
      <c r="C16" s="2">
        <f>C10/C9</f>
        <v>0.43949922127710556</v>
      </c>
      <c r="D16" s="2">
        <f>D10/D9</f>
        <v>0.32461167244759465</v>
      </c>
      <c r="E16" s="2">
        <f>E10/E9</f>
        <v>0.27937711577522006</v>
      </c>
      <c r="F16" s="2">
        <f>F10/F9</f>
        <v>0.26526850448531519</v>
      </c>
      <c r="G16" s="2">
        <f>G10/G9</f>
        <v>0.32254223412964206</v>
      </c>
      <c r="H16" s="2">
        <f>H10/H9</f>
        <v>0.24974924774322968</v>
      </c>
      <c r="I16" s="2">
        <f>I10/I9</f>
        <v>0.31476578678340195</v>
      </c>
      <c r="J16" s="2">
        <f t="shared" ref="J16" si="28">J10/J9</f>
        <v>0.3</v>
      </c>
      <c r="P16" s="2">
        <f t="shared" ref="P16:R16" si="29">P10/P9</f>
        <v>0.27378606229813324</v>
      </c>
      <c r="Q16" s="2">
        <f t="shared" si="29"/>
        <v>0.27866430260047281</v>
      </c>
      <c r="R16" s="2">
        <f t="shared" ref="R16:U16" si="30">R10/R9</f>
        <v>0.29879726012620678</v>
      </c>
      <c r="S16" s="2">
        <f t="shared" si="30"/>
        <v>0.27974858847342071</v>
      </c>
      <c r="T16" s="2">
        <f t="shared" si="30"/>
        <v>0.31145529826713692</v>
      </c>
      <c r="U16" s="2">
        <f t="shared" si="30"/>
        <v>0.30129681258842095</v>
      </c>
      <c r="V16" s="2">
        <f t="shared" ref="V16:AE16" si="31">V10/V9</f>
        <v>0.3</v>
      </c>
      <c r="W16" s="2">
        <f t="shared" si="31"/>
        <v>0.3</v>
      </c>
      <c r="X16" s="2">
        <f t="shared" si="31"/>
        <v>0.3</v>
      </c>
      <c r="Y16" s="2">
        <f t="shared" si="31"/>
        <v>0.3</v>
      </c>
      <c r="Z16" s="2">
        <f t="shared" si="31"/>
        <v>0.3</v>
      </c>
      <c r="AA16" s="2">
        <f t="shared" si="31"/>
        <v>0.3</v>
      </c>
      <c r="AB16" s="2">
        <f t="shared" si="31"/>
        <v>0.3</v>
      </c>
      <c r="AC16" s="2">
        <f t="shared" si="31"/>
        <v>0.3</v>
      </c>
      <c r="AD16" s="2">
        <f t="shared" si="31"/>
        <v>0.3</v>
      </c>
      <c r="AE16" s="2">
        <f t="shared" si="31"/>
        <v>0.3</v>
      </c>
      <c r="AG16" t="s">
        <v>55</v>
      </c>
      <c r="AH16" s="6">
        <f>NPV(AH14,V11:FX11)+(Main!H5-Main!H6)*1000</f>
        <v>2138028.0142072798</v>
      </c>
    </row>
    <row r="17" spans="2:34" x14ac:dyDescent="0.2">
      <c r="B17" t="s">
        <v>12</v>
      </c>
      <c r="C17" s="2">
        <f>C11/C3</f>
        <v>8.6814124807481768E-2</v>
      </c>
      <c r="D17" s="2">
        <f>D11/D3</f>
        <v>8.5361669684551611E-2</v>
      </c>
      <c r="E17" s="2">
        <f>E11/E3</f>
        <v>0.13857843698896954</v>
      </c>
      <c r="F17" s="2">
        <f>F11/F3</f>
        <v>0.12923003768038674</v>
      </c>
      <c r="G17" s="2">
        <f>G11/G3</f>
        <v>8.5618081094045395E-2</v>
      </c>
      <c r="H17" s="2">
        <f>H11/H3</f>
        <v>0.10347117193551957</v>
      </c>
      <c r="I17" s="2">
        <f>I11/I3</f>
        <v>0.14158970886932973</v>
      </c>
      <c r="J17" s="2">
        <f t="shared" ref="J17" si="32">J11/J3</f>
        <v>0.11048091845042111</v>
      </c>
      <c r="P17" s="2">
        <f t="shared" ref="P17:R17" si="33">P11/P3</f>
        <v>0.10176086589650359</v>
      </c>
      <c r="Q17" s="2">
        <f t="shared" si="33"/>
        <v>8.251190129670144E-2</v>
      </c>
      <c r="R17" s="2">
        <f t="shared" ref="R17:U17" si="34">R11/R3</f>
        <v>9.4575081382872309E-2</v>
      </c>
      <c r="S17" s="2">
        <f t="shared" si="34"/>
        <v>0.11198178816783005</v>
      </c>
      <c r="T17" s="2">
        <f t="shared" si="34"/>
        <v>0.11565245388896554</v>
      </c>
      <c r="U17" s="2">
        <f t="shared" si="34"/>
        <v>0.11482873048286729</v>
      </c>
      <c r="V17" s="2">
        <f t="shared" ref="V17:AE17" si="35">V11/V3</f>
        <v>0.12361113691213517</v>
      </c>
      <c r="W17" s="2">
        <f t="shared" si="35"/>
        <v>0.13468167743441242</v>
      </c>
      <c r="X17" s="2">
        <f t="shared" si="35"/>
        <v>0.14199402514730711</v>
      </c>
      <c r="Y17" s="2">
        <f t="shared" si="35"/>
        <v>0.14615302186174534</v>
      </c>
      <c r="Z17" s="2">
        <f t="shared" si="35"/>
        <v>0.15370777465330063</v>
      </c>
      <c r="AA17" s="2">
        <f t="shared" si="35"/>
        <v>0.15766188126999578</v>
      </c>
      <c r="AB17" s="2">
        <f t="shared" si="35"/>
        <v>0.16151884928344987</v>
      </c>
      <c r="AC17" s="2">
        <f t="shared" si="35"/>
        <v>0.16528209920111681</v>
      </c>
      <c r="AD17" s="2">
        <f t="shared" si="35"/>
        <v>0.17245496750051673</v>
      </c>
      <c r="AE17" s="2">
        <f t="shared" si="35"/>
        <v>0.17604070958815304</v>
      </c>
      <c r="AG17" t="s">
        <v>56</v>
      </c>
      <c r="AH17" s="15">
        <f>AH16/(Main!H3*1000)</f>
        <v>34.910717812548555</v>
      </c>
    </row>
    <row r="19" spans="2:34" x14ac:dyDescent="0.2">
      <c r="B19" t="s">
        <v>21</v>
      </c>
    </row>
    <row r="20" spans="2:34" s="6" customFormat="1" x14ac:dyDescent="0.2">
      <c r="B20" s="6" t="s">
        <v>18</v>
      </c>
      <c r="C20" s="7"/>
      <c r="D20" s="7"/>
      <c r="E20" s="7"/>
      <c r="F20" s="7"/>
      <c r="G20" s="7">
        <f>85430+52530+156053+1225</f>
        <v>295238</v>
      </c>
      <c r="H20" s="7">
        <f>87005+1272+51210+158111</f>
        <v>297598</v>
      </c>
      <c r="I20" s="7">
        <f>70726+1273+53422+152491</f>
        <v>277912</v>
      </c>
      <c r="J20" s="7"/>
      <c r="K20" s="7"/>
      <c r="L20" s="7"/>
    </row>
    <row r="21" spans="2:34" s="6" customFormat="1" x14ac:dyDescent="0.2">
      <c r="B21" s="6" t="s">
        <v>22</v>
      </c>
      <c r="C21" s="7"/>
      <c r="D21" s="7"/>
      <c r="E21" s="7"/>
      <c r="F21" s="7"/>
      <c r="G21" s="7">
        <v>41511</v>
      </c>
      <c r="H21" s="7">
        <v>27909</v>
      </c>
      <c r="I21" s="7">
        <v>98088</v>
      </c>
      <c r="J21" s="7"/>
      <c r="K21" s="7"/>
      <c r="L21" s="7"/>
    </row>
    <row r="22" spans="2:34" s="6" customFormat="1" x14ac:dyDescent="0.2">
      <c r="B22" s="6" t="s">
        <v>23</v>
      </c>
      <c r="C22" s="7"/>
      <c r="D22" s="7"/>
      <c r="E22" s="7"/>
      <c r="F22" s="7"/>
      <c r="G22" s="7">
        <v>3965</v>
      </c>
      <c r="H22" s="7">
        <v>3673</v>
      </c>
      <c r="I22" s="7">
        <v>4549</v>
      </c>
      <c r="J22" s="7"/>
      <c r="K22" s="7"/>
      <c r="L22" s="7"/>
    </row>
    <row r="23" spans="2:34" s="6" customFormat="1" x14ac:dyDescent="0.2">
      <c r="B23" s="6" t="s">
        <v>24</v>
      </c>
      <c r="C23" s="7"/>
      <c r="D23" s="7"/>
      <c r="E23" s="7"/>
      <c r="F23" s="7"/>
      <c r="G23" s="7">
        <f>52591+28262</f>
        <v>80853</v>
      </c>
      <c r="H23" s="7">
        <f>70598+31357</f>
        <v>101955</v>
      </c>
      <c r="I23" s="7">
        <f>45929+31644</f>
        <v>77573</v>
      </c>
      <c r="J23" s="7"/>
      <c r="K23" s="7"/>
      <c r="L23" s="7"/>
    </row>
    <row r="24" spans="2:34" s="6" customFormat="1" x14ac:dyDescent="0.2">
      <c r="B24" s="6" t="s">
        <v>26</v>
      </c>
      <c r="C24" s="7"/>
      <c r="D24" s="7"/>
      <c r="E24" s="7"/>
      <c r="F24" s="7"/>
      <c r="G24" s="7">
        <f>6198+5889</f>
        <v>12087</v>
      </c>
      <c r="H24" s="7">
        <f>6310+4930</f>
        <v>11240</v>
      </c>
      <c r="I24" s="7">
        <f>5401+3722</f>
        <v>9123</v>
      </c>
      <c r="J24" s="7"/>
      <c r="K24" s="7"/>
      <c r="L24" s="7"/>
    </row>
    <row r="25" spans="2:34" s="6" customFormat="1" x14ac:dyDescent="0.2">
      <c r="B25" s="6" t="s">
        <v>25</v>
      </c>
      <c r="C25" s="7"/>
      <c r="D25" s="7"/>
      <c r="E25" s="7"/>
      <c r="F25" s="7"/>
      <c r="G25" s="7">
        <f>7094+1575</f>
        <v>8669</v>
      </c>
      <c r="H25" s="7">
        <f>7130+1616</f>
        <v>8746</v>
      </c>
      <c r="I25" s="7">
        <f>6776+1505</f>
        <v>8281</v>
      </c>
      <c r="J25" s="7"/>
      <c r="K25" s="7"/>
      <c r="L25" s="7"/>
    </row>
    <row r="26" spans="2:34" s="6" customFormat="1" x14ac:dyDescent="0.2">
      <c r="B26" s="6" t="s">
        <v>27</v>
      </c>
      <c r="C26" s="7"/>
      <c r="D26" s="7"/>
      <c r="E26" s="7"/>
      <c r="F26" s="7"/>
      <c r="G26" s="7">
        <v>186715</v>
      </c>
      <c r="H26" s="7">
        <v>187041</v>
      </c>
      <c r="I26" s="7">
        <v>187568</v>
      </c>
      <c r="J26" s="7"/>
      <c r="K26" s="7"/>
      <c r="L26" s="7"/>
    </row>
    <row r="27" spans="2:34" s="6" customFormat="1" x14ac:dyDescent="0.2">
      <c r="B27" s="6" t="s">
        <v>28</v>
      </c>
      <c r="C27" s="7"/>
      <c r="D27" s="7"/>
      <c r="E27" s="7"/>
      <c r="F27" s="7"/>
      <c r="G27" s="7">
        <v>73237</v>
      </c>
      <c r="H27" s="7">
        <v>73237</v>
      </c>
      <c r="I27" s="7">
        <v>73237</v>
      </c>
      <c r="J27" s="7"/>
      <c r="K27" s="7"/>
      <c r="L27" s="7"/>
    </row>
    <row r="28" spans="2:34" s="6" customFormat="1" x14ac:dyDescent="0.2">
      <c r="B28" s="6" t="s">
        <v>29</v>
      </c>
      <c r="C28" s="7"/>
      <c r="D28" s="7"/>
      <c r="E28" s="7"/>
      <c r="F28" s="7"/>
      <c r="G28" s="7">
        <v>175024</v>
      </c>
      <c r="H28" s="7">
        <v>175024</v>
      </c>
      <c r="I28" s="7">
        <v>175024</v>
      </c>
      <c r="J28" s="7"/>
      <c r="K28" s="7"/>
      <c r="L28" s="7"/>
    </row>
    <row r="29" spans="2:34" s="6" customFormat="1" x14ac:dyDescent="0.2">
      <c r="B29" s="6" t="s">
        <v>30</v>
      </c>
      <c r="C29" s="7"/>
      <c r="D29" s="7"/>
      <c r="E29" s="7"/>
      <c r="F29" s="7"/>
      <c r="G29" s="7">
        <v>33632</v>
      </c>
      <c r="H29" s="7">
        <v>30813</v>
      </c>
      <c r="I29" s="7">
        <v>26042</v>
      </c>
      <c r="J29" s="7"/>
      <c r="K29" s="7"/>
      <c r="L29" s="7"/>
    </row>
    <row r="30" spans="2:34" s="6" customFormat="1" x14ac:dyDescent="0.2">
      <c r="B30" s="6" t="s">
        <v>31</v>
      </c>
      <c r="C30" s="7"/>
      <c r="D30" s="7"/>
      <c r="E30" s="7"/>
      <c r="F30" s="7"/>
      <c r="G30" s="7">
        <f>SUM(G20:G29)</f>
        <v>910931</v>
      </c>
      <c r="H30" s="7">
        <f>SUM(H20:H29)</f>
        <v>917236</v>
      </c>
      <c r="I30" s="7">
        <f>SUM(I20:I29)</f>
        <v>937397</v>
      </c>
      <c r="J30" s="7"/>
      <c r="K30" s="7"/>
      <c r="L30" s="7"/>
    </row>
    <row r="32" spans="2:34" s="6" customFormat="1" x14ac:dyDescent="0.2">
      <c r="B32" s="6" t="s">
        <v>32</v>
      </c>
      <c r="C32" s="7"/>
      <c r="D32" s="7"/>
      <c r="E32" s="7"/>
      <c r="F32" s="7"/>
      <c r="G32" s="7">
        <v>14432</v>
      </c>
      <c r="H32" s="7">
        <v>15494</v>
      </c>
      <c r="I32" s="7">
        <v>16592</v>
      </c>
      <c r="J32" s="7"/>
      <c r="K32" s="7"/>
      <c r="L32" s="7"/>
    </row>
    <row r="33" spans="2:20" s="6" customFormat="1" x14ac:dyDescent="0.2">
      <c r="B33" s="6" t="s">
        <v>19</v>
      </c>
      <c r="C33" s="7"/>
      <c r="D33" s="7"/>
      <c r="E33" s="7"/>
      <c r="F33" s="7"/>
      <c r="G33" s="7">
        <f>179+484+7500</f>
        <v>8163</v>
      </c>
      <c r="H33" s="7">
        <f>153+467+7500</f>
        <v>8120</v>
      </c>
      <c r="I33" s="7">
        <f>253+430+7500</f>
        <v>8183</v>
      </c>
      <c r="J33" s="7"/>
      <c r="K33" s="7"/>
      <c r="L33" s="7"/>
    </row>
    <row r="34" spans="2:20" s="6" customFormat="1" x14ac:dyDescent="0.2">
      <c r="B34" s="6" t="s">
        <v>33</v>
      </c>
      <c r="C34" s="7"/>
      <c r="D34" s="7"/>
      <c r="E34" s="7"/>
      <c r="F34" s="7"/>
      <c r="G34" s="7">
        <v>130</v>
      </c>
      <c r="H34" s="7">
        <v>5544</v>
      </c>
      <c r="I34" s="7">
        <v>5512</v>
      </c>
      <c r="J34" s="7"/>
      <c r="K34" s="7"/>
      <c r="L34" s="7"/>
    </row>
    <row r="35" spans="2:20" s="6" customFormat="1" x14ac:dyDescent="0.2">
      <c r="B35" s="6" t="s">
        <v>34</v>
      </c>
      <c r="C35" s="7"/>
      <c r="D35" s="7"/>
      <c r="E35" s="7"/>
      <c r="F35" s="7"/>
      <c r="G35" s="7">
        <v>43551</v>
      </c>
      <c r="H35" s="7">
        <v>46891</v>
      </c>
      <c r="I35" s="7">
        <v>53119</v>
      </c>
      <c r="J35" s="7"/>
      <c r="K35" s="7"/>
      <c r="L35" s="7"/>
    </row>
    <row r="36" spans="2:20" s="6" customFormat="1" x14ac:dyDescent="0.2">
      <c r="B36" s="6" t="s">
        <v>35</v>
      </c>
      <c r="C36" s="7"/>
      <c r="D36" s="7"/>
      <c r="E36" s="7"/>
      <c r="F36" s="7"/>
      <c r="G36" s="7">
        <f>328+12154</f>
        <v>12482</v>
      </c>
      <c r="H36" s="7">
        <f>328+12319</f>
        <v>12647</v>
      </c>
      <c r="I36" s="7">
        <f>328+12475</f>
        <v>12803</v>
      </c>
      <c r="J36" s="7"/>
      <c r="K36" s="7"/>
      <c r="L36" s="7"/>
    </row>
    <row r="37" spans="2:20" s="6" customFormat="1" x14ac:dyDescent="0.2">
      <c r="B37" s="6" t="s">
        <v>9</v>
      </c>
      <c r="C37" s="7"/>
      <c r="D37" s="7"/>
      <c r="E37" s="7"/>
      <c r="F37" s="7"/>
      <c r="G37" s="7">
        <v>2807</v>
      </c>
      <c r="H37" s="7">
        <v>550</v>
      </c>
      <c r="I37" s="7">
        <v>10737</v>
      </c>
      <c r="J37" s="7"/>
      <c r="K37" s="7"/>
      <c r="L37" s="7"/>
    </row>
    <row r="38" spans="2:20" s="6" customFormat="1" x14ac:dyDescent="0.2">
      <c r="B38" s="6" t="s">
        <v>36</v>
      </c>
      <c r="C38" s="7"/>
      <c r="D38" s="7"/>
      <c r="E38" s="7"/>
      <c r="F38" s="7"/>
      <c r="G38" s="7">
        <v>8453</v>
      </c>
      <c r="H38" s="7">
        <f>1001+6639</f>
        <v>7640</v>
      </c>
      <c r="I38" s="7">
        <f>1001+6109</f>
        <v>7110</v>
      </c>
      <c r="J38" s="7"/>
      <c r="K38" s="7"/>
      <c r="L38" s="7"/>
    </row>
    <row r="39" spans="2:20" s="6" customFormat="1" x14ac:dyDescent="0.2">
      <c r="B39" s="6" t="s">
        <v>37</v>
      </c>
      <c r="C39" s="7"/>
      <c r="D39" s="7"/>
      <c r="E39" s="7"/>
      <c r="F39" s="7"/>
      <c r="G39" s="7">
        <f>14284+66678</f>
        <v>80962</v>
      </c>
      <c r="H39" s="7">
        <f>14347+67558</f>
        <v>81905</v>
      </c>
      <c r="I39" s="7">
        <f>13514+64701</f>
        <v>78215</v>
      </c>
      <c r="J39" s="7"/>
      <c r="K39" s="7"/>
      <c r="L39" s="7"/>
    </row>
    <row r="40" spans="2:20" s="6" customFormat="1" x14ac:dyDescent="0.2">
      <c r="B40" s="6" t="s">
        <v>25</v>
      </c>
      <c r="C40" s="7"/>
      <c r="D40" s="7"/>
      <c r="E40" s="7"/>
      <c r="F40" s="7"/>
      <c r="G40" s="7">
        <v>51844</v>
      </c>
      <c r="H40" s="7">
        <v>52154</v>
      </c>
      <c r="I40" s="7">
        <v>51608</v>
      </c>
      <c r="J40" s="7"/>
      <c r="K40" s="7"/>
      <c r="L40" s="7"/>
    </row>
    <row r="41" spans="2:20" s="6" customFormat="1" x14ac:dyDescent="0.2">
      <c r="B41" s="6" t="s">
        <v>39</v>
      </c>
      <c r="C41" s="7"/>
      <c r="D41" s="7"/>
      <c r="E41" s="7"/>
      <c r="F41" s="7"/>
      <c r="G41" s="7">
        <f>SUM(G32:G40)</f>
        <v>222824</v>
      </c>
      <c r="H41" s="7">
        <f>SUM(H32:H40)</f>
        <v>230945</v>
      </c>
      <c r="I41" s="7">
        <f>SUM(I32:I40)</f>
        <v>243879</v>
      </c>
      <c r="J41" s="7"/>
      <c r="K41" s="7"/>
      <c r="L41" s="7"/>
    </row>
    <row r="42" spans="2:20" s="6" customFormat="1" x14ac:dyDescent="0.2">
      <c r="B42" s="6" t="s">
        <v>38</v>
      </c>
      <c r="C42" s="7"/>
      <c r="D42" s="7"/>
      <c r="E42" s="7"/>
      <c r="F42" s="7"/>
      <c r="G42" s="7">
        <v>688107</v>
      </c>
      <c r="H42" s="7">
        <v>686291</v>
      </c>
      <c r="I42" s="7">
        <v>693518</v>
      </c>
      <c r="J42" s="7"/>
      <c r="K42" s="7"/>
      <c r="L42" s="7"/>
    </row>
    <row r="43" spans="2:20" s="6" customFormat="1" x14ac:dyDescent="0.2">
      <c r="B43" s="6" t="s">
        <v>40</v>
      </c>
      <c r="C43" s="7"/>
      <c r="D43" s="7"/>
      <c r="E43" s="7"/>
      <c r="F43" s="7"/>
      <c r="G43" s="7">
        <f>G42+G41</f>
        <v>910931</v>
      </c>
      <c r="H43" s="7">
        <f>H42+H41</f>
        <v>917236</v>
      </c>
      <c r="I43" s="7">
        <f>I42+I41</f>
        <v>937397</v>
      </c>
      <c r="J43" s="7"/>
      <c r="K43" s="7"/>
      <c r="L43" s="7"/>
    </row>
    <row r="45" spans="2:20" x14ac:dyDescent="0.2">
      <c r="B45" s="6" t="s">
        <v>57</v>
      </c>
    </row>
    <row r="46" spans="2:20" x14ac:dyDescent="0.2">
      <c r="B46" s="6" t="s">
        <v>58</v>
      </c>
      <c r="T46" s="6">
        <f>T11</f>
        <v>62860</v>
      </c>
    </row>
    <row r="47" spans="2:20" x14ac:dyDescent="0.2">
      <c r="B47" s="6" t="s">
        <v>59</v>
      </c>
      <c r="T47" s="6">
        <v>62860</v>
      </c>
    </row>
    <row r="48" spans="2:20" x14ac:dyDescent="0.2">
      <c r="B48" s="6" t="s">
        <v>60</v>
      </c>
      <c r="T48" s="6">
        <v>20758</v>
      </c>
    </row>
    <row r="49" spans="2:20" x14ac:dyDescent="0.2">
      <c r="T49" s="6">
        <v>529</v>
      </c>
    </row>
    <row r="50" spans="2:20" x14ac:dyDescent="0.2">
      <c r="T50" s="6">
        <v>0</v>
      </c>
    </row>
    <row r="51" spans="2:20" x14ac:dyDescent="0.2">
      <c r="T51" s="6">
        <v>0</v>
      </c>
    </row>
    <row r="52" spans="2:20" x14ac:dyDescent="0.2">
      <c r="T52" s="6">
        <v>3261</v>
      </c>
    </row>
    <row r="53" spans="2:20" x14ac:dyDescent="0.2">
      <c r="T53" s="6">
        <v>-2007</v>
      </c>
    </row>
    <row r="54" spans="2:20" x14ac:dyDescent="0.2">
      <c r="T54" s="6">
        <v>1289</v>
      </c>
    </row>
    <row r="55" spans="2:20" x14ac:dyDescent="0.2">
      <c r="T55" s="6">
        <v>-7329</v>
      </c>
    </row>
    <row r="56" spans="2:20" x14ac:dyDescent="0.2">
      <c r="T56" s="6">
        <v>9524</v>
      </c>
    </row>
    <row r="57" spans="2:20" x14ac:dyDescent="0.2">
      <c r="T57" s="6">
        <v>-1268</v>
      </c>
    </row>
    <row r="58" spans="2:20" x14ac:dyDescent="0.2">
      <c r="T58" s="6">
        <v>-1024</v>
      </c>
    </row>
    <row r="59" spans="2:20" x14ac:dyDescent="0.2">
      <c r="T59" s="6">
        <v>-1289</v>
      </c>
    </row>
    <row r="60" spans="2:20" x14ac:dyDescent="0.2">
      <c r="T60" s="6">
        <v>3465</v>
      </c>
    </row>
    <row r="61" spans="2:20" x14ac:dyDescent="0.2">
      <c r="B61" t="s">
        <v>61</v>
      </c>
      <c r="T61" s="6">
        <f>SUM(T47:T60)</f>
        <v>88769</v>
      </c>
    </row>
    <row r="62" spans="2:20" x14ac:dyDescent="0.2">
      <c r="B62" t="s">
        <v>62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2015-11-27T23:52:57Z</dcterms:created>
  <dcterms:modified xsi:type="dcterms:W3CDTF">2015-11-29T00:01:43Z</dcterms:modified>
</cp:coreProperties>
</file>