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"/>
    </mc:Choice>
  </mc:AlternateContent>
  <bookViews>
    <workbookView xWindow="0" yWindow="0" windowWidth="14115" windowHeight="12105" activeTab="2"/>
  </bookViews>
  <sheets>
    <sheet name="Main" sheetId="1" r:id="rId1"/>
    <sheet name="Auto Industry" sheetId="4" r:id="rId2"/>
    <sheet name="Model" sheetId="2" r:id="rId3"/>
    <sheet name="Model 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K3" i="4" s="1"/>
  <c r="J7" i="4"/>
  <c r="I7" i="4"/>
  <c r="H7" i="4"/>
  <c r="H3" i="4" s="1"/>
  <c r="F7" i="4"/>
  <c r="F3" i="4" s="1"/>
  <c r="J3" i="4"/>
  <c r="I3" i="4"/>
  <c r="G3" i="4"/>
  <c r="E3" i="4"/>
  <c r="D3" i="4"/>
  <c r="C3" i="4"/>
  <c r="I5" i="4"/>
  <c r="J5" i="4"/>
  <c r="K6" i="4"/>
  <c r="K5" i="4"/>
  <c r="C5" i="4"/>
  <c r="F5" i="4"/>
  <c r="D5" i="4"/>
  <c r="E5" i="4"/>
  <c r="F6" i="4"/>
  <c r="K4" i="4"/>
  <c r="F4" i="4"/>
  <c r="M2" i="4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L2" i="4"/>
  <c r="V35" i="2" l="1"/>
  <c r="U35" i="2"/>
  <c r="T37" i="2"/>
  <c r="U37" i="2"/>
  <c r="R37" i="2"/>
  <c r="V37" i="2"/>
  <c r="U36" i="2"/>
  <c r="V36" i="2"/>
  <c r="M104" i="2"/>
  <c r="L104" i="2"/>
  <c r="K104" i="2"/>
  <c r="J104" i="2"/>
  <c r="J103" i="2"/>
  <c r="J101" i="2"/>
  <c r="J100" i="2"/>
  <c r="J95" i="2"/>
  <c r="J99" i="2"/>
  <c r="J98" i="2"/>
  <c r="J97" i="2"/>
  <c r="J94" i="2"/>
  <c r="J93" i="2"/>
  <c r="J89" i="2"/>
  <c r="J88" i="2"/>
  <c r="J86" i="2"/>
  <c r="J85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T25" i="2"/>
  <c r="T23" i="2"/>
  <c r="T19" i="2"/>
  <c r="T16" i="2"/>
  <c r="U25" i="2"/>
  <c r="U19" i="2"/>
  <c r="V19" i="2"/>
  <c r="U20" i="2"/>
  <c r="U23" i="2"/>
  <c r="U16" i="2"/>
  <c r="J65" i="2"/>
  <c r="J63" i="2"/>
  <c r="J61" i="2"/>
  <c r="J60" i="2"/>
  <c r="J54" i="2"/>
  <c r="J59" i="2"/>
  <c r="J57" i="2"/>
  <c r="J53" i="2"/>
  <c r="J49" i="2"/>
  <c r="J42" i="2"/>
  <c r="J40" i="2" s="1"/>
  <c r="I104" i="2"/>
  <c r="I103" i="2"/>
  <c r="I101" i="2"/>
  <c r="I100" i="2"/>
  <c r="I99" i="2"/>
  <c r="I98" i="2"/>
  <c r="I96" i="2"/>
  <c r="I95" i="2"/>
  <c r="I94" i="2"/>
  <c r="I97" i="2"/>
  <c r="I93" i="2"/>
  <c r="I88" i="2"/>
  <c r="I86" i="2"/>
  <c r="I85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3" i="2"/>
  <c r="I61" i="2"/>
  <c r="I60" i="2"/>
  <c r="I59" i="2"/>
  <c r="I57" i="2"/>
  <c r="I54" i="2"/>
  <c r="I53" i="2"/>
  <c r="I49" i="2"/>
  <c r="I42" i="2"/>
  <c r="H104" i="2"/>
  <c r="H103" i="2"/>
  <c r="H101" i="2"/>
  <c r="H100" i="2"/>
  <c r="H99" i="2"/>
  <c r="H98" i="2"/>
  <c r="H94" i="2"/>
  <c r="H95" i="2"/>
  <c r="H96" i="2"/>
  <c r="H97" i="2"/>
  <c r="H93" i="2"/>
  <c r="H89" i="2"/>
  <c r="H88" i="2"/>
  <c r="H86" i="2"/>
  <c r="H85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3" i="2"/>
  <c r="H61" i="2"/>
  <c r="H60" i="2"/>
  <c r="H59" i="2"/>
  <c r="H57" i="2"/>
  <c r="H54" i="2"/>
  <c r="H53" i="2"/>
  <c r="H49" i="2"/>
  <c r="H42" i="2"/>
  <c r="H40" i="2"/>
  <c r="I40" i="2"/>
  <c r="G40" i="2"/>
  <c r="G103" i="2"/>
  <c r="G101" i="2"/>
  <c r="G99" i="2"/>
  <c r="G89" i="2"/>
  <c r="G78" i="2"/>
  <c r="G83" i="2"/>
  <c r="G65" i="2"/>
  <c r="G63" i="2"/>
  <c r="G61" i="2"/>
  <c r="G60" i="2"/>
  <c r="G54" i="2"/>
  <c r="G59" i="2"/>
  <c r="G57" i="2"/>
  <c r="G53" i="2"/>
  <c r="G42" i="2"/>
  <c r="G49" i="2"/>
  <c r="M99" i="2"/>
  <c r="M101" i="2"/>
  <c r="M100" i="2"/>
  <c r="M96" i="2"/>
  <c r="M95" i="2"/>
  <c r="M94" i="2"/>
  <c r="M93" i="2"/>
  <c r="M92" i="2"/>
  <c r="M91" i="2"/>
  <c r="L101" i="2"/>
  <c r="L100" i="2"/>
  <c r="L99" i="2"/>
  <c r="L96" i="2"/>
  <c r="L95" i="2"/>
  <c r="L94" i="2"/>
  <c r="L93" i="2"/>
  <c r="L91" i="2"/>
  <c r="K101" i="2"/>
  <c r="K99" i="2"/>
  <c r="M103" i="2"/>
  <c r="M89" i="2"/>
  <c r="M87" i="2"/>
  <c r="M86" i="2"/>
  <c r="M85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37" i="2"/>
  <c r="L37" i="2"/>
  <c r="K37" i="2"/>
  <c r="M67" i="2"/>
  <c r="M66" i="2"/>
  <c r="L103" i="2"/>
  <c r="L89" i="2"/>
  <c r="L87" i="2"/>
  <c r="L86" i="2"/>
  <c r="L85" i="2"/>
  <c r="L32" i="2"/>
  <c r="K32" i="2"/>
  <c r="K103" i="2"/>
  <c r="K89" i="2"/>
  <c r="L83" i="2"/>
  <c r="L78" i="2"/>
  <c r="L79" i="2"/>
  <c r="L80" i="2"/>
  <c r="L81" i="2"/>
  <c r="L82" i="2"/>
  <c r="L77" i="2"/>
  <c r="L76" i="2"/>
  <c r="L75" i="2"/>
  <c r="L74" i="2"/>
  <c r="L73" i="2"/>
  <c r="L72" i="2"/>
  <c r="L71" i="2"/>
  <c r="L70" i="2"/>
  <c r="L69" i="2"/>
  <c r="L68" i="2"/>
  <c r="L67" i="2"/>
  <c r="L66" i="2"/>
  <c r="M60" i="2"/>
  <c r="M61" i="2" s="1"/>
  <c r="M54" i="2"/>
  <c r="M53" i="2"/>
  <c r="M55" i="2"/>
  <c r="M59" i="2"/>
  <c r="M57" i="2"/>
  <c r="M42" i="2"/>
  <c r="M49" i="2" s="1"/>
  <c r="T20" i="2" l="1"/>
  <c r="T24" i="2" s="1"/>
  <c r="T26" i="2" s="1"/>
  <c r="T28" i="2" s="1"/>
  <c r="T29" i="2" s="1"/>
  <c r="U24" i="2"/>
  <c r="U26" i="2" s="1"/>
  <c r="U28" i="2" s="1"/>
  <c r="U29" i="2" s="1"/>
  <c r="I89" i="2"/>
  <c r="W8" i="2"/>
  <c r="W7" i="2"/>
  <c r="P11" i="2"/>
  <c r="Q11" i="2" s="1"/>
  <c r="R11" i="2" s="1"/>
  <c r="O11" i="2"/>
  <c r="W5" i="2"/>
  <c r="M5" i="2"/>
  <c r="M6" i="2" s="1"/>
  <c r="M35" i="2"/>
  <c r="K83" i="2"/>
  <c r="K60" i="2"/>
  <c r="K57" i="2"/>
  <c r="K54" i="2"/>
  <c r="K53" i="2"/>
  <c r="K59" i="2" s="1"/>
  <c r="K42" i="2"/>
  <c r="K49" i="2"/>
  <c r="K40" i="2"/>
  <c r="L60" i="2"/>
  <c r="L57" i="2"/>
  <c r="L55" i="2"/>
  <c r="L54" i="2"/>
  <c r="L53" i="2"/>
  <c r="L59" i="2" s="1"/>
  <c r="L61" i="2" s="1"/>
  <c r="L42" i="2"/>
  <c r="L40" i="2" s="1"/>
  <c r="W11" i="2"/>
  <c r="V11" i="2"/>
  <c r="M32" i="2"/>
  <c r="N32" i="2" s="1"/>
  <c r="Z27" i="2"/>
  <c r="Y27" i="2"/>
  <c r="V30" i="2"/>
  <c r="V27" i="2"/>
  <c r="V22" i="2"/>
  <c r="V23" i="2" s="1"/>
  <c r="V21" i="2"/>
  <c r="V18" i="2"/>
  <c r="V17" i="2"/>
  <c r="V15" i="2"/>
  <c r="V16" i="2" s="1"/>
  <c r="V14" i="2"/>
  <c r="W18" i="2"/>
  <c r="W21" i="2"/>
  <c r="X27" i="2"/>
  <c r="X18" i="2"/>
  <c r="X17" i="2"/>
  <c r="R21" i="2"/>
  <c r="Q22" i="2"/>
  <c r="P22" i="2"/>
  <c r="O22" i="2"/>
  <c r="N22" i="2"/>
  <c r="R22" i="2" s="1"/>
  <c r="Q21" i="2"/>
  <c r="Q23" i="2" s="1"/>
  <c r="P21" i="2"/>
  <c r="X21" i="2" s="1"/>
  <c r="O21" i="2"/>
  <c r="N21" i="2"/>
  <c r="N15" i="2"/>
  <c r="O15" i="2" s="1"/>
  <c r="P15" i="2" s="1"/>
  <c r="Q15" i="2" s="1"/>
  <c r="L35" i="2"/>
  <c r="K35" i="2"/>
  <c r="J35" i="2"/>
  <c r="J36" i="2"/>
  <c r="F25" i="2"/>
  <c r="F23" i="2"/>
  <c r="F19" i="2"/>
  <c r="F16" i="2"/>
  <c r="F20" i="2" s="1"/>
  <c r="J25" i="2"/>
  <c r="J23" i="2"/>
  <c r="J19" i="2"/>
  <c r="J16" i="2"/>
  <c r="K36" i="2"/>
  <c r="I25" i="2"/>
  <c r="I23" i="2"/>
  <c r="I19" i="2"/>
  <c r="I16" i="2"/>
  <c r="M36" i="2" s="1"/>
  <c r="M25" i="2"/>
  <c r="N25" i="2" s="1"/>
  <c r="O25" i="2" s="1"/>
  <c r="M23" i="2"/>
  <c r="M19" i="2"/>
  <c r="M16" i="2"/>
  <c r="L63" i="2" s="1"/>
  <c r="N30" i="2"/>
  <c r="O30" i="2" s="1"/>
  <c r="W27" i="2"/>
  <c r="W17" i="2"/>
  <c r="W15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G25" i="2"/>
  <c r="V25" i="2" s="1"/>
  <c r="G23" i="2"/>
  <c r="G19" i="2"/>
  <c r="V20" i="2" s="1"/>
  <c r="V24" i="2" s="1"/>
  <c r="V26" i="2" s="1"/>
  <c r="V28" i="2" s="1"/>
  <c r="V29" i="2" s="1"/>
  <c r="G16" i="2"/>
  <c r="K25" i="2"/>
  <c r="K23" i="2"/>
  <c r="K19" i="2"/>
  <c r="K16" i="2"/>
  <c r="K20" i="2" s="1"/>
  <c r="K24" i="2" s="1"/>
  <c r="K26" i="2" s="1"/>
  <c r="K28" i="2" s="1"/>
  <c r="K29" i="2" s="1"/>
  <c r="H25" i="2"/>
  <c r="H23" i="2"/>
  <c r="H19" i="2"/>
  <c r="H16" i="2"/>
  <c r="L25" i="2"/>
  <c r="W25" i="2" s="1"/>
  <c r="L23" i="2"/>
  <c r="L19" i="2"/>
  <c r="L16" i="2"/>
  <c r="L20" i="2" s="1"/>
  <c r="K7" i="1"/>
  <c r="K6" i="1"/>
  <c r="K5" i="1"/>
  <c r="K4" i="1"/>
  <c r="X22" i="2" l="1"/>
  <c r="Y22" i="2" s="1"/>
  <c r="Z22" i="2" s="1"/>
  <c r="AA22" i="2" s="1"/>
  <c r="AB22" i="2" s="1"/>
  <c r="AC22" i="2" s="1"/>
  <c r="AD22" i="2" s="1"/>
  <c r="AE22" i="2" s="1"/>
  <c r="AF22" i="2" s="1"/>
  <c r="P30" i="2"/>
  <c r="Q30" i="2" s="1"/>
  <c r="R30" i="2" s="1"/>
  <c r="X30" i="2" s="1"/>
  <c r="Y30" i="2" s="1"/>
  <c r="Z30" i="2" s="1"/>
  <c r="AA30" i="2" s="1"/>
  <c r="AB30" i="2" s="1"/>
  <c r="AC30" i="2" s="1"/>
  <c r="AD30" i="2" s="1"/>
  <c r="AE30" i="2" s="1"/>
  <c r="AF30" i="2" s="1"/>
  <c r="N14" i="2"/>
  <c r="N35" i="2" s="1"/>
  <c r="W32" i="2"/>
  <c r="O32" i="2"/>
  <c r="P32" i="2" s="1"/>
  <c r="Q32" i="2" s="1"/>
  <c r="R32" i="2" s="1"/>
  <c r="X32" i="2" s="1"/>
  <c r="Y32" i="2" s="1"/>
  <c r="Z32" i="2" s="1"/>
  <c r="AA32" i="2" s="1"/>
  <c r="AB32" i="2" s="1"/>
  <c r="AC32" i="2" s="1"/>
  <c r="AD32" i="2" s="1"/>
  <c r="AE32" i="2" s="1"/>
  <c r="AF32" i="2" s="1"/>
  <c r="P25" i="2"/>
  <c r="Q25" i="2" s="1"/>
  <c r="R25" i="2" s="1"/>
  <c r="X23" i="2"/>
  <c r="Y21" i="2"/>
  <c r="L24" i="2"/>
  <c r="L26" i="2" s="1"/>
  <c r="L28" i="2" s="1"/>
  <c r="W23" i="2"/>
  <c r="K63" i="2"/>
  <c r="L49" i="2"/>
  <c r="L36" i="2"/>
  <c r="W22" i="2"/>
  <c r="R23" i="2"/>
  <c r="K65" i="2"/>
  <c r="P23" i="2"/>
  <c r="O23" i="2"/>
  <c r="J20" i="2"/>
  <c r="N23" i="2"/>
  <c r="W14" i="2"/>
  <c r="W35" i="2" s="1"/>
  <c r="G20" i="2"/>
  <c r="X11" i="2"/>
  <c r="Y11" i="2" s="1"/>
  <c r="Z11" i="2" s="1"/>
  <c r="AA11" i="2" s="1"/>
  <c r="K61" i="2"/>
  <c r="R15" i="2"/>
  <c r="X15" i="2" s="1"/>
  <c r="Y15" i="2" s="1"/>
  <c r="Z15" i="2" s="1"/>
  <c r="AA15" i="2" s="1"/>
  <c r="AB15" i="2" s="1"/>
  <c r="AC15" i="2" s="1"/>
  <c r="AD15" i="2" s="1"/>
  <c r="AE15" i="2" s="1"/>
  <c r="AF15" i="2" s="1"/>
  <c r="N16" i="2"/>
  <c r="M63" i="2" s="1"/>
  <c r="F37" i="2"/>
  <c r="F24" i="2"/>
  <c r="F26" i="2" s="1"/>
  <c r="F28" i="2" s="1"/>
  <c r="F29" i="2" s="1"/>
  <c r="J37" i="2"/>
  <c r="J24" i="2"/>
  <c r="J26" i="2" s="1"/>
  <c r="J28" i="2" s="1"/>
  <c r="J29" i="2" s="1"/>
  <c r="I20" i="2"/>
  <c r="I24" i="2"/>
  <c r="I26" i="2" s="1"/>
  <c r="I28" i="2" s="1"/>
  <c r="I29" i="2" s="1"/>
  <c r="I37" i="2"/>
  <c r="M20" i="2"/>
  <c r="W30" i="2"/>
  <c r="H20" i="2"/>
  <c r="Z21" i="2" l="1"/>
  <c r="Y23" i="2"/>
  <c r="Q14" i="2"/>
  <c r="X25" i="2"/>
  <c r="G24" i="2"/>
  <c r="G26" i="2" s="1"/>
  <c r="G28" i="2" s="1"/>
  <c r="G29" i="2" s="1"/>
  <c r="G37" i="2"/>
  <c r="P14" i="2"/>
  <c r="P16" i="2" s="1"/>
  <c r="H24" i="2"/>
  <c r="H26" i="2" s="1"/>
  <c r="H28" i="2" s="1"/>
  <c r="H29" i="2" s="1"/>
  <c r="H37" i="2"/>
  <c r="R14" i="2"/>
  <c r="R35" i="2" s="1"/>
  <c r="O14" i="2"/>
  <c r="O35" i="2" s="1"/>
  <c r="L29" i="2"/>
  <c r="L65" i="2"/>
  <c r="W16" i="2"/>
  <c r="W36" i="2" s="1"/>
  <c r="X14" i="2"/>
  <c r="X35" i="2" s="1"/>
  <c r="N36" i="2"/>
  <c r="N20" i="2"/>
  <c r="N19" i="2" s="1"/>
  <c r="W19" i="2" s="1"/>
  <c r="M24" i="2"/>
  <c r="M26" i="2" s="1"/>
  <c r="M28" i="2" s="1"/>
  <c r="W20" i="2" l="1"/>
  <c r="M29" i="2"/>
  <c r="M65" i="2"/>
  <c r="M40" i="2"/>
  <c r="R16" i="2"/>
  <c r="R36" i="2" s="1"/>
  <c r="P35" i="2"/>
  <c r="O16" i="2"/>
  <c r="O20" i="2" s="1"/>
  <c r="Q35" i="2"/>
  <c r="Q16" i="2"/>
  <c r="AA21" i="2"/>
  <c r="Z23" i="2"/>
  <c r="X16" i="2"/>
  <c r="X36" i="2" s="1"/>
  <c r="P36" i="2"/>
  <c r="P20" i="2"/>
  <c r="R20" i="2"/>
  <c r="R19" i="2" s="1"/>
  <c r="O36" i="2"/>
  <c r="Y14" i="2"/>
  <c r="Y35" i="2" s="1"/>
  <c r="W24" i="2"/>
  <c r="W26" i="2" s="1"/>
  <c r="W28" i="2" s="1"/>
  <c r="W29" i="2" s="1"/>
  <c r="W37" i="2"/>
  <c r="N37" i="2"/>
  <c r="N24" i="2"/>
  <c r="N26" i="2" s="1"/>
  <c r="N28" i="2" s="1"/>
  <c r="N29" i="2" s="1"/>
  <c r="R24" i="2" l="1"/>
  <c r="R26" i="2" s="1"/>
  <c r="R28" i="2" s="1"/>
  <c r="R29" i="2" s="1"/>
  <c r="AB21" i="2"/>
  <c r="AA23" i="2"/>
  <c r="Q20" i="2"/>
  <c r="Q36" i="2"/>
  <c r="Q19" i="2"/>
  <c r="N40" i="2"/>
  <c r="Y16" i="2"/>
  <c r="Y36" i="2" s="1"/>
  <c r="Z14" i="2"/>
  <c r="Z35" i="2" s="1"/>
  <c r="O37" i="2"/>
  <c r="O24" i="2"/>
  <c r="O26" i="2" s="1"/>
  <c r="O28" i="2" s="1"/>
  <c r="O19" i="2"/>
  <c r="P24" i="2"/>
  <c r="P26" i="2" s="1"/>
  <c r="P28" i="2" s="1"/>
  <c r="P29" i="2" s="1"/>
  <c r="P19" i="2"/>
  <c r="P37" i="2"/>
  <c r="Y20" i="2" l="1"/>
  <c r="AC21" i="2"/>
  <c r="AB23" i="2"/>
  <c r="X19" i="2"/>
  <c r="Q37" i="2"/>
  <c r="Q24" i="2"/>
  <c r="Q26" i="2" s="1"/>
  <c r="Q28" i="2" s="1"/>
  <c r="Q29" i="2" s="1"/>
  <c r="Z16" i="2"/>
  <c r="Z36" i="2" s="1"/>
  <c r="X20" i="2"/>
  <c r="O29" i="2"/>
  <c r="O40" i="2"/>
  <c r="P40" i="2" s="1"/>
  <c r="Q40" i="2" s="1"/>
  <c r="R40" i="2" s="1"/>
  <c r="X40" i="2" s="1"/>
  <c r="AB11" i="2"/>
  <c r="AA14" i="2"/>
  <c r="AA35" i="2" s="1"/>
  <c r="Y37" i="2"/>
  <c r="Y24" i="2"/>
  <c r="Y26" i="2" s="1"/>
  <c r="Y28" i="2" s="1"/>
  <c r="Z20" i="2"/>
  <c r="X37" i="2" l="1"/>
  <c r="X24" i="2"/>
  <c r="X26" i="2" s="1"/>
  <c r="X28" i="2" s="1"/>
  <c r="X29" i="2" s="1"/>
  <c r="AD21" i="2"/>
  <c r="AC23" i="2"/>
  <c r="AA16" i="2"/>
  <c r="Y29" i="2"/>
  <c r="Y40" i="2"/>
  <c r="AC11" i="2"/>
  <c r="AB14" i="2"/>
  <c r="AB35" i="2" s="1"/>
  <c r="AA36" i="2"/>
  <c r="AA20" i="2"/>
  <c r="Z37" i="2"/>
  <c r="Z24" i="2"/>
  <c r="Z26" i="2" s="1"/>
  <c r="Z28" i="2" s="1"/>
  <c r="AB16" i="2"/>
  <c r="AE21" i="2" l="1"/>
  <c r="AD23" i="2"/>
  <c r="Z40" i="2"/>
  <c r="AD11" i="2"/>
  <c r="AC14" i="2"/>
  <c r="AC35" i="2" s="1"/>
  <c r="AB20" i="2"/>
  <c r="AB36" i="2"/>
  <c r="Z29" i="2"/>
  <c r="AA37" i="2"/>
  <c r="AA24" i="2"/>
  <c r="AA26" i="2" s="1"/>
  <c r="AF21" i="2" l="1"/>
  <c r="AF23" i="2" s="1"/>
  <c r="AE23" i="2"/>
  <c r="AC16" i="2"/>
  <c r="AE11" i="2"/>
  <c r="AD14" i="2"/>
  <c r="AD35" i="2" s="1"/>
  <c r="AA27" i="2"/>
  <c r="AA28" i="2" s="1"/>
  <c r="AA40" i="2" s="1"/>
  <c r="AB37" i="2"/>
  <c r="AB24" i="2"/>
  <c r="AB26" i="2" s="1"/>
  <c r="AC36" i="2"/>
  <c r="AC20" i="2"/>
  <c r="AD16" i="2"/>
  <c r="AF11" i="2" l="1"/>
  <c r="AF14" i="2" s="1"/>
  <c r="AE14" i="2"/>
  <c r="AF35" i="2" s="1"/>
  <c r="AB27" i="2"/>
  <c r="AB28" i="2" s="1"/>
  <c r="AB29" i="2" s="1"/>
  <c r="AD36" i="2"/>
  <c r="AD20" i="2"/>
  <c r="AF16" i="2"/>
  <c r="AE16" i="2"/>
  <c r="AC37" i="2"/>
  <c r="AC24" i="2"/>
  <c r="AA29" i="2"/>
  <c r="AE35" i="2" l="1"/>
  <c r="AB40" i="2"/>
  <c r="AC25" i="2" s="1"/>
  <c r="AC26" i="2" s="1"/>
  <c r="AC27" i="2" s="1"/>
  <c r="AC28" i="2" s="1"/>
  <c r="AC40" i="2" s="1"/>
  <c r="AD37" i="2"/>
  <c r="AD24" i="2"/>
  <c r="AE36" i="2"/>
  <c r="AE20" i="2"/>
  <c r="AF36" i="2"/>
  <c r="AF20" i="2"/>
  <c r="AD25" i="2" l="1"/>
  <c r="AD26" i="2" s="1"/>
  <c r="AD27" i="2" s="1"/>
  <c r="AD28" i="2" s="1"/>
  <c r="AF37" i="2"/>
  <c r="AF24" i="2"/>
  <c r="AE37" i="2"/>
  <c r="AE24" i="2"/>
  <c r="AC29" i="2"/>
  <c r="AD29" i="2" l="1"/>
  <c r="AD40" i="2"/>
  <c r="AE25" i="2" l="1"/>
  <c r="AE26" i="2" s="1"/>
  <c r="AE27" i="2" l="1"/>
  <c r="AE28" i="2" s="1"/>
  <c r="AE40" i="2" l="1"/>
  <c r="AE29" i="2"/>
  <c r="AF25" i="2" l="1"/>
  <c r="AF26" i="2" s="1"/>
  <c r="AF27" i="2" s="1"/>
  <c r="AF28" i="2" s="1"/>
  <c r="AG28" i="2" l="1"/>
  <c r="AF29" i="2"/>
  <c r="AF40" i="2"/>
  <c r="AH28" i="2" l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AK38" i="2" l="1"/>
  <c r="AK39" i="2" s="1"/>
  <c r="AK40" i="2" s="1"/>
</calcChain>
</file>

<file path=xl/comments1.xml><?xml version="1.0" encoding="utf-8"?>
<comments xmlns="http://schemas.openxmlformats.org/spreadsheetml/2006/main">
  <authors>
    <author>Martin Shkreli</author>
  </authors>
  <commentList>
    <comment ref="O1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Model 3 Launch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Model S released 6/2012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Mistake by TSLA
later corrected in the 10-K</t>
        </r>
      </text>
    </comment>
    <comment ref="M10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Grew 50% in Q3</t>
        </r>
      </text>
    </comment>
  </commentList>
</comments>
</file>

<file path=xl/sharedStrings.xml><?xml version="1.0" encoding="utf-8"?>
<sst xmlns="http://schemas.openxmlformats.org/spreadsheetml/2006/main" count="145" uniqueCount="131">
  <si>
    <t>Price</t>
  </si>
  <si>
    <t>Shares</t>
  </si>
  <si>
    <t>MC</t>
  </si>
  <si>
    <t>Cash</t>
  </si>
  <si>
    <t>Debt</t>
  </si>
  <si>
    <t>EV</t>
  </si>
  <si>
    <t>92% of sales are "automotive".</t>
  </si>
  <si>
    <t>8% of sales are "services and other".</t>
  </si>
  <si>
    <t>Main</t>
  </si>
  <si>
    <t>Automotive</t>
  </si>
  <si>
    <t>Q114</t>
  </si>
  <si>
    <t>Q314</t>
  </si>
  <si>
    <t>Q214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</si>
  <si>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</si>
  <si>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</si>
  <si>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</si>
  <si>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</si>
  <si>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</si>
  <si>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</si>
  <si>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</si>
  <si>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</si>
  <si>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</si>
  <si>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</si>
  <si>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</si>
  <si>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</si>
  <si>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</si>
  <si>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</si>
  <si>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</si>
  <si>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</si>
  <si>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</si>
  <si>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</si>
  <si>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Gross Profit</t>
  </si>
  <si>
    <t>Total COGS</t>
  </si>
  <si>
    <t>Services COGS</t>
  </si>
  <si>
    <t>Automotive COGS</t>
  </si>
  <si>
    <t xml:space="preserve">Revenue </t>
  </si>
  <si>
    <t>Services</t>
  </si>
  <si>
    <t>Q113</t>
  </si>
  <si>
    <t>Q213</t>
  </si>
  <si>
    <t>Q313</t>
  </si>
  <si>
    <t>Q413</t>
  </si>
  <si>
    <t>Revenue Growth</t>
  </si>
  <si>
    <t>Gross Margin</t>
  </si>
  <si>
    <t>Automotive Growth</t>
  </si>
  <si>
    <t>Maturity</t>
  </si>
  <si>
    <t>Discount</t>
  </si>
  <si>
    <t>NPV</t>
  </si>
  <si>
    <t>Share</t>
  </si>
  <si>
    <t>Difference</t>
  </si>
  <si>
    <t>IS</t>
  </si>
  <si>
    <t>ROIC</t>
  </si>
  <si>
    <t>Autopilot</t>
  </si>
  <si>
    <t>Production</t>
  </si>
  <si>
    <t>ASP</t>
  </si>
  <si>
    <t>Deliveries</t>
  </si>
  <si>
    <t>Gigafactory?</t>
  </si>
  <si>
    <t>Model 3?</t>
  </si>
  <si>
    <t>Autonomous driving?</t>
  </si>
  <si>
    <t>Model X = SUV?</t>
  </si>
  <si>
    <t>WW Auto Production/Deliveries</t>
  </si>
  <si>
    <t>US Auto Production/Deliveries</t>
  </si>
  <si>
    <t>A/R</t>
  </si>
  <si>
    <t>Inventory</t>
  </si>
  <si>
    <t>Prepaids</t>
  </si>
  <si>
    <t>Operating Lease Vehicles</t>
  </si>
  <si>
    <t>PP&amp;E</t>
  </si>
  <si>
    <t>Other</t>
  </si>
  <si>
    <t>Assets</t>
  </si>
  <si>
    <t>L+SE</t>
  </si>
  <si>
    <t>SE</t>
  </si>
  <si>
    <t>Liabilities</t>
  </si>
  <si>
    <t>OLTL</t>
  </si>
  <si>
    <t>Deposits</t>
  </si>
  <si>
    <t>Resale Guarantee</t>
  </si>
  <si>
    <t>Capital Lease</t>
  </si>
  <si>
    <t>D/R</t>
  </si>
  <si>
    <t>Accrued Liabilities</t>
  </si>
  <si>
    <t>A/P</t>
  </si>
  <si>
    <t>Net Cash</t>
  </si>
  <si>
    <t>DSO</t>
  </si>
  <si>
    <t>Model NI</t>
  </si>
  <si>
    <t>Reported NI</t>
  </si>
  <si>
    <t>D&amp;A</t>
  </si>
  <si>
    <t>CFFO</t>
  </si>
  <si>
    <t>Resale Value Guarantee</t>
  </si>
  <si>
    <t>Customer Deposits</t>
  </si>
  <si>
    <t>Other Assets</t>
  </si>
  <si>
    <t>Prepaid Expenses</t>
  </si>
  <si>
    <t>Inventories</t>
  </si>
  <si>
    <t>FX Loss</t>
  </si>
  <si>
    <t>Other Non-Cash Operating Activities</t>
  </si>
  <si>
    <t>Fixed Asset Disposal</t>
  </si>
  <si>
    <t>Inventory Write Down</t>
  </si>
  <si>
    <t>Amort on Convert</t>
  </si>
  <si>
    <t>SBC</t>
  </si>
  <si>
    <t>Ford ASP</t>
  </si>
  <si>
    <t>Ford US Deliveries</t>
  </si>
  <si>
    <t>Ford WW Revenue</t>
  </si>
  <si>
    <t>Ford NA Revenue</t>
  </si>
  <si>
    <t>Capital Expenditures</t>
  </si>
  <si>
    <t>CFFI</t>
  </si>
  <si>
    <t>Purchases of ST</t>
  </si>
  <si>
    <t>Increase in Restricted Cash</t>
  </si>
  <si>
    <t>FCF</t>
  </si>
  <si>
    <t>Acquisition</t>
  </si>
  <si>
    <t>CIC</t>
  </si>
  <si>
    <t>Collateralized Lease Borrowing</t>
  </si>
  <si>
    <t>Stock Offering</t>
  </si>
  <si>
    <t>Convertible &amp; Debt Offering</t>
  </si>
  <si>
    <t>Options Exercise</t>
  </si>
  <si>
    <t>Capital Lease Principal Payments</t>
  </si>
  <si>
    <t>Common Stock/Debt Issuance</t>
  </si>
  <si>
    <t>Warrant Issuance</t>
  </si>
  <si>
    <t>Convertible Note Hedges</t>
  </si>
  <si>
    <t>CFFF</t>
  </si>
  <si>
    <t>ForEx</t>
  </si>
  <si>
    <t>Reported CIC</t>
  </si>
  <si>
    <t>Model S</t>
  </si>
  <si>
    <t>Name</t>
  </si>
  <si>
    <t>4-dour, 5-passenger premium sedan</t>
  </si>
  <si>
    <t>Release</t>
  </si>
  <si>
    <t>Roadster</t>
  </si>
  <si>
    <t>6/2012 -- 2nd vehicle after the Roadster</t>
  </si>
  <si>
    <t>Model S Deliveries (Cumulative)</t>
  </si>
  <si>
    <t>Toyota Revenue</t>
  </si>
  <si>
    <t>GM Revenue</t>
  </si>
  <si>
    <t>DCX Revenue</t>
  </si>
  <si>
    <t>Ford Auto Revenue</t>
  </si>
  <si>
    <t>$ in million</t>
  </si>
  <si>
    <t>Industry Revenue</t>
  </si>
  <si>
    <t>Model S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</si>
</sst>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3" fontId="0" fillId="0" borderId="0" xfId="0" applyNumberFormat="1" applyFont="1"/>
    <xf numFmtId="0" fontId="0" fillId="0" borderId="0" xfId="0" applyFont="1"/>
    <xf numFmtId="9" fontId="0" fillId="0" borderId="0" xfId="0" applyNumberFormat="1" applyFont="1"/>
    <xf numFmtId="9" fontId="0" fillId="0" borderId="0" xfId="0" applyNumberFormat="1"/>
    <xf numFmtId="9" fontId="0" fillId="2" borderId="0" xfId="0" applyNumberForma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0" fontId="0" fillId="2" borderId="0" xfId="0" applyFill="1"/>
    <xf numFmtId="9" fontId="1" fillId="2" borderId="0" xfId="0" applyNumberFormat="1" applyFont="1" applyFill="1"/>
    <xf numFmtId="9" fontId="0" fillId="2" borderId="0" xfId="0" applyNumberFormat="1" applyFill="1"/>
    <xf numFmtId="3" fontId="0" fillId="0" borderId="0" xfId="0" applyNumberFormat="1" applyFill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0" fontId="4" fillId="0" borderId="0" xfId="1"/>
    <xf numFmtId="0" fontId="4" fillId="0" borderId="0" xfId="1" applyFill="1"/>
    <xf numFmtId="0" fontId="0" fillId="2" borderId="0" xfId="0" applyFill="1" applyBorder="1"/>
    <xf numFmtId="9" fontId="1" fillId="0" borderId="0" xfId="0" applyNumberFormat="1" applyFont="1" applyFill="1"/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10" fontId="0" fillId="0" borderId="0" xfId="0" applyNumberFormat="1"/>
    <xf numFmtId="16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19050</xdr:rowOff>
    </xdr:from>
    <xdr:to>
      <xdr:col>13</xdr:col>
      <xdr:colOff>19050</xdr:colOff>
      <xdr:row>113</xdr:row>
      <xdr:rowOff>38100</xdr:rowOff>
    </xdr:to>
    <xdr:cxnSp macro="">
      <xdr:nvCxnSpPr>
        <xdr:cNvPr id="3" name="Straight Connector 2"/>
        <xdr:cNvCxnSpPr/>
      </xdr:nvCxnSpPr>
      <xdr:spPr>
        <a:xfrm>
          <a:off x="9248775" y="19050"/>
          <a:ext cx="0" cy="1621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0</xdr:row>
      <xdr:rowOff>0</xdr:rowOff>
    </xdr:from>
    <xdr:to>
      <xdr:col>22</xdr:col>
      <xdr:colOff>19050</xdr:colOff>
      <xdr:row>114</xdr:row>
      <xdr:rowOff>123825</xdr:rowOff>
    </xdr:to>
    <xdr:cxnSp macro="">
      <xdr:nvCxnSpPr>
        <xdr:cNvPr id="4" name="Straight Connector 3"/>
        <xdr:cNvCxnSpPr/>
      </xdr:nvCxnSpPr>
      <xdr:spPr>
        <a:xfrm>
          <a:off x="15201900" y="0"/>
          <a:ext cx="0" cy="18583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7" sqref="C7"/>
    </sheetView>
  </sheetViews>
  <sheetFormatPr defaultRowHeight="12.75" x14ac:dyDescent="0.2"/>
  <cols>
    <col min="1" max="5" width="9.42578125" customWidth="1"/>
  </cols>
  <sheetData>
    <row r="2" spans="2:11" x14ac:dyDescent="0.2">
      <c r="B2" t="s">
        <v>6</v>
      </c>
      <c r="J2" t="s">
        <v>0</v>
      </c>
      <c r="K2" s="1">
        <v>208</v>
      </c>
    </row>
    <row r="3" spans="2:11" x14ac:dyDescent="0.2">
      <c r="B3" t="s">
        <v>7</v>
      </c>
      <c r="J3" t="s">
        <v>1</v>
      </c>
      <c r="K3" s="2">
        <v>127.14214699999999</v>
      </c>
    </row>
    <row r="4" spans="2:11" x14ac:dyDescent="0.2">
      <c r="J4" t="s">
        <v>2</v>
      </c>
      <c r="K4" s="2">
        <f>+K3*K2</f>
        <v>26445.566575999997</v>
      </c>
    </row>
    <row r="5" spans="2:11" x14ac:dyDescent="0.2">
      <c r="B5" s="18" t="s">
        <v>55</v>
      </c>
      <c r="C5" s="18"/>
      <c r="J5" t="s">
        <v>3</v>
      </c>
      <c r="K5" s="2">
        <f>1150.673+20.591+19.774</f>
        <v>1191.038</v>
      </c>
    </row>
    <row r="6" spans="2:11" x14ac:dyDescent="0.2">
      <c r="B6" s="18" t="s">
        <v>56</v>
      </c>
      <c r="C6" s="18"/>
      <c r="J6" t="s">
        <v>4</v>
      </c>
      <c r="K6" s="2">
        <f>632.162+1988.089</f>
        <v>2620.2510000000002</v>
      </c>
    </row>
    <row r="7" spans="2:11" x14ac:dyDescent="0.2">
      <c r="B7" s="32" t="s">
        <v>58</v>
      </c>
      <c r="C7" s="32"/>
      <c r="J7" t="s">
        <v>5</v>
      </c>
      <c r="K7" s="2">
        <f>+K4-K5+K6</f>
        <v>27874.779575999997</v>
      </c>
    </row>
    <row r="8" spans="2:11" x14ac:dyDescent="0.2">
      <c r="B8" s="18" t="s">
        <v>57</v>
      </c>
      <c r="C8" s="18"/>
    </row>
    <row r="10" spans="2:11" x14ac:dyDescent="0.2">
      <c r="B10" s="25" t="s">
        <v>117</v>
      </c>
    </row>
    <row r="11" spans="2:11" x14ac:dyDescent="0.2">
      <c r="B11" s="26" t="s">
        <v>121</v>
      </c>
    </row>
  </sheetData>
  <hyperlinks>
    <hyperlink ref="B10" location="'Model S'!A1" display="Model 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bestFit="1" customWidth="1"/>
    <col min="2" max="2" width="18.28515625" customWidth="1"/>
    <col min="3" max="19" width="9.140625" style="3"/>
  </cols>
  <sheetData>
    <row r="1" spans="1:26" x14ac:dyDescent="0.2">
      <c r="A1" t="s">
        <v>8</v>
      </c>
    </row>
    <row r="2" spans="1:26" x14ac:dyDescent="0.2">
      <c r="B2" t="s">
        <v>128</v>
      </c>
      <c r="C2" s="3" t="s">
        <v>14</v>
      </c>
      <c r="D2" s="3" t="s">
        <v>15</v>
      </c>
      <c r="E2" s="3" t="s">
        <v>16</v>
      </c>
      <c r="F2" s="3" t="s">
        <v>17</v>
      </c>
      <c r="H2" s="3">
        <v>2012</v>
      </c>
      <c r="I2" s="3">
        <v>2013</v>
      </c>
      <c r="J2" s="3">
        <v>2014</v>
      </c>
      <c r="K2" s="3">
        <v>2015</v>
      </c>
      <c r="L2" s="3">
        <f>+K2+1</f>
        <v>2016</v>
      </c>
      <c r="M2" s="3">
        <f t="shared" ref="M2:Z2" si="0">+L2+1</f>
        <v>2017</v>
      </c>
      <c r="N2" s="3">
        <f t="shared" si="0"/>
        <v>2018</v>
      </c>
      <c r="O2" s="3">
        <f t="shared" si="0"/>
        <v>2019</v>
      </c>
      <c r="P2" s="3">
        <f t="shared" si="0"/>
        <v>2020</v>
      </c>
      <c r="Q2" s="3">
        <f t="shared" si="0"/>
        <v>2021</v>
      </c>
      <c r="R2" s="3">
        <f t="shared" si="0"/>
        <v>2022</v>
      </c>
      <c r="S2" s="3">
        <f t="shared" si="0"/>
        <v>2023</v>
      </c>
      <c r="T2" s="3">
        <f t="shared" si="0"/>
        <v>2024</v>
      </c>
      <c r="U2" s="3">
        <f t="shared" si="0"/>
        <v>2025</v>
      </c>
      <c r="V2" s="3">
        <f t="shared" si="0"/>
        <v>2026</v>
      </c>
      <c r="W2" s="3">
        <f t="shared" si="0"/>
        <v>2027</v>
      </c>
      <c r="X2" s="3">
        <f t="shared" si="0"/>
        <v>2028</v>
      </c>
      <c r="Y2" s="3">
        <f t="shared" si="0"/>
        <v>2029</v>
      </c>
      <c r="Z2" s="3">
        <f t="shared" si="0"/>
        <v>2030</v>
      </c>
    </row>
    <row r="3" spans="1:26" x14ac:dyDescent="0.2">
      <c r="B3" t="s">
        <v>129</v>
      </c>
      <c r="C3" s="7">
        <f>SUM(C4:C8)</f>
        <v>125488.16666666666</v>
      </c>
      <c r="D3" s="7">
        <f t="shared" ref="D3:K3" si="1">SUM(D4:D8)</f>
        <v>130005</v>
      </c>
      <c r="E3" s="7">
        <f t="shared" si="1"/>
        <v>132156.33333333334</v>
      </c>
      <c r="F3" s="7">
        <f t="shared" si="1"/>
        <v>173214.93333333335</v>
      </c>
      <c r="G3" s="7">
        <f t="shared" si="1"/>
        <v>0</v>
      </c>
      <c r="H3" s="7">
        <f t="shared" si="1"/>
        <v>402588.7</v>
      </c>
      <c r="I3" s="7">
        <f t="shared" si="1"/>
        <v>635340.3666666667</v>
      </c>
      <c r="J3" s="7">
        <f t="shared" si="1"/>
        <v>656687.3666666667</v>
      </c>
      <c r="K3" s="7">
        <f t="shared" si="1"/>
        <v>662665.03333333344</v>
      </c>
      <c r="T3" s="3"/>
      <c r="U3" s="3"/>
      <c r="V3" s="3"/>
      <c r="W3" s="3"/>
      <c r="X3" s="3"/>
      <c r="Y3" s="3"/>
      <c r="Z3" s="3"/>
    </row>
    <row r="4" spans="1:26" s="2" customFormat="1" x14ac:dyDescent="0.2">
      <c r="B4" s="2" t="s">
        <v>127</v>
      </c>
      <c r="C4" s="4">
        <v>31800</v>
      </c>
      <c r="D4" s="4">
        <v>35105</v>
      </c>
      <c r="E4" s="4">
        <v>35818</v>
      </c>
      <c r="F4" s="4">
        <f>+E4</f>
        <v>35818</v>
      </c>
      <c r="G4" s="4"/>
      <c r="H4" s="4">
        <v>126567</v>
      </c>
      <c r="I4" s="4">
        <v>139369</v>
      </c>
      <c r="J4" s="4">
        <v>135782</v>
      </c>
      <c r="K4" s="4">
        <f>SUM(C4:F4)</f>
        <v>138541</v>
      </c>
      <c r="L4" s="4"/>
      <c r="M4" s="4"/>
      <c r="N4" s="4"/>
      <c r="O4" s="4"/>
      <c r="P4" s="4"/>
      <c r="Q4" s="4"/>
      <c r="R4" s="4"/>
      <c r="S4" s="4"/>
    </row>
    <row r="5" spans="1:26" s="2" customFormat="1" x14ac:dyDescent="0.2">
      <c r="B5" s="2" t="s">
        <v>124</v>
      </c>
      <c r="C5" s="4">
        <f>7118900/120</f>
        <v>59324.166666666664</v>
      </c>
      <c r="D5" s="4">
        <f>6987600/120</f>
        <v>58230</v>
      </c>
      <c r="E5" s="4">
        <f>7103800/120</f>
        <v>59198.333333333336</v>
      </c>
      <c r="F5" s="2">
        <f>+E5</f>
        <v>59198.333333333336</v>
      </c>
      <c r="G5" s="4"/>
      <c r="H5" s="4"/>
      <c r="I5" s="4">
        <f>25691900/120</f>
        <v>214099.16666666666</v>
      </c>
      <c r="J5" s="4">
        <f>27234500/120</f>
        <v>226954.16666666666</v>
      </c>
      <c r="K5" s="4">
        <f>SUM(C5:F5)</f>
        <v>235950.83333333334</v>
      </c>
      <c r="L5" s="4"/>
      <c r="M5" s="4"/>
      <c r="N5" s="4"/>
      <c r="O5" s="4"/>
      <c r="P5" s="4"/>
      <c r="Q5" s="4"/>
      <c r="R5" s="4"/>
      <c r="S5" s="4"/>
    </row>
    <row r="6" spans="1:26" s="2" customFormat="1" x14ac:dyDescent="0.2">
      <c r="B6" s="2" t="s">
        <v>125</v>
      </c>
      <c r="C6" s="4">
        <v>34364</v>
      </c>
      <c r="D6" s="4">
        <v>36670</v>
      </c>
      <c r="E6" s="4">
        <v>37140</v>
      </c>
      <c r="F6" s="4">
        <f>+E6</f>
        <v>37140</v>
      </c>
      <c r="G6" s="4"/>
      <c r="H6" s="4">
        <v>150295</v>
      </c>
      <c r="I6" s="4">
        <v>152092</v>
      </c>
      <c r="J6" s="4">
        <v>151092</v>
      </c>
      <c r="K6" s="4">
        <f>SUM(C6:F6)</f>
        <v>145314</v>
      </c>
      <c r="L6" s="4"/>
      <c r="M6" s="4"/>
      <c r="N6" s="4"/>
      <c r="O6" s="4"/>
      <c r="P6" s="4"/>
      <c r="Q6" s="4"/>
      <c r="R6" s="4"/>
      <c r="S6" s="4"/>
    </row>
    <row r="7" spans="1:26" s="2" customFormat="1" x14ac:dyDescent="0.2">
      <c r="B7" s="2" t="s">
        <v>126</v>
      </c>
      <c r="C7" s="4"/>
      <c r="D7" s="4"/>
      <c r="E7" s="4"/>
      <c r="F7" s="4">
        <f>37326*1.1</f>
        <v>41058.600000000006</v>
      </c>
      <c r="G7" s="4"/>
      <c r="H7" s="4">
        <f>114297*1.1</f>
        <v>125726.70000000001</v>
      </c>
      <c r="I7" s="4">
        <f>117982*1.1</f>
        <v>129780.20000000001</v>
      </c>
      <c r="J7" s="4">
        <f>129872*1.1</f>
        <v>142859.20000000001</v>
      </c>
      <c r="K7" s="4">
        <f>+J7</f>
        <v>142859.20000000001</v>
      </c>
      <c r="L7" s="4"/>
      <c r="M7" s="4"/>
      <c r="N7" s="4"/>
      <c r="O7" s="4"/>
      <c r="P7" s="4"/>
      <c r="Q7" s="4"/>
      <c r="R7" s="4"/>
      <c r="S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07"/>
  <sheetViews>
    <sheetView tabSelected="1" zoomScaleNormal="100" workbookViewId="0">
      <pane xSplit="2" ySplit="2" topLeftCell="L84" activePane="bottomRight" state="frozen"/>
      <selection pane="topRight" activeCell="C1" sqref="C1"/>
      <selection pane="bottomLeft" activeCell="A4" sqref="A4"/>
      <selection pane="bottomRight" activeCell="M107" sqref="M107"/>
    </sheetView>
  </sheetViews>
  <sheetFormatPr defaultRowHeight="12.75" x14ac:dyDescent="0.2"/>
  <cols>
    <col min="1" max="1" width="5" bestFit="1" customWidth="1"/>
    <col min="2" max="2" width="30" customWidth="1"/>
    <col min="3" max="6" width="9.140625" style="3"/>
    <col min="7" max="9" width="10" style="3" customWidth="1"/>
    <col min="10" max="10" width="9.5703125" style="3" customWidth="1"/>
    <col min="11" max="11" width="9.140625" style="3"/>
    <col min="12" max="12" width="10" style="3" customWidth="1"/>
    <col min="13" max="18" width="10.140625" style="3" customWidth="1"/>
    <col min="20" max="24" width="11.28515625" customWidth="1"/>
    <col min="25" max="32" width="11.5703125" customWidth="1"/>
    <col min="33" max="33" width="12" customWidth="1"/>
    <col min="34" max="34" width="10.85546875" customWidth="1"/>
    <col min="35" max="35" width="11" customWidth="1"/>
    <col min="36" max="36" width="10.42578125" customWidth="1"/>
    <col min="37" max="37" width="11.5703125" customWidth="1"/>
  </cols>
  <sheetData>
    <row r="1" spans="1:35" x14ac:dyDescent="0.2">
      <c r="A1" s="24" t="s">
        <v>8</v>
      </c>
    </row>
    <row r="2" spans="1:35" x14ac:dyDescent="0.2">
      <c r="B2" t="s">
        <v>49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10</v>
      </c>
      <c r="H2" s="3" t="s">
        <v>12</v>
      </c>
      <c r="I2" s="3" t="s">
        <v>11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T2">
        <v>2012</v>
      </c>
      <c r="U2">
        <v>2013</v>
      </c>
      <c r="V2">
        <f>+U2+1</f>
        <v>2014</v>
      </c>
      <c r="W2">
        <f t="shared" ref="W2:AI2" si="0">+V2+1</f>
        <v>2015</v>
      </c>
      <c r="X2">
        <f t="shared" si="0"/>
        <v>2016</v>
      </c>
      <c r="Y2">
        <f t="shared" si="0"/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</row>
    <row r="3" spans="1:35" x14ac:dyDescent="0.2">
      <c r="B3" t="s">
        <v>59</v>
      </c>
    </row>
    <row r="4" spans="1:35" x14ac:dyDescent="0.2">
      <c r="B4" t="s">
        <v>60</v>
      </c>
      <c r="M4" s="8"/>
    </row>
    <row r="5" spans="1:35" x14ac:dyDescent="0.2">
      <c r="B5" t="s">
        <v>96</v>
      </c>
      <c r="M5" s="22">
        <f>213938*3</f>
        <v>641814</v>
      </c>
      <c r="W5" s="2">
        <f>+M5*4</f>
        <v>2567256</v>
      </c>
    </row>
    <row r="6" spans="1:35" x14ac:dyDescent="0.2">
      <c r="B6" t="s">
        <v>95</v>
      </c>
      <c r="M6" s="4">
        <f>M7*1000/M5</f>
        <v>36926.586207218912</v>
      </c>
    </row>
    <row r="7" spans="1:35" x14ac:dyDescent="0.2">
      <c r="B7" t="s">
        <v>98</v>
      </c>
      <c r="M7" s="4">
        <v>23700000</v>
      </c>
      <c r="W7" s="2">
        <f>+M7*4</f>
        <v>94800000</v>
      </c>
      <c r="X7" s="2"/>
    </row>
    <row r="8" spans="1:35" x14ac:dyDescent="0.2">
      <c r="B8" t="s">
        <v>97</v>
      </c>
      <c r="I8" s="4">
        <v>32779000</v>
      </c>
      <c r="J8" s="4"/>
      <c r="K8" s="4"/>
      <c r="L8" s="4"/>
      <c r="M8" s="4">
        <v>35818000</v>
      </c>
      <c r="W8" s="2">
        <f>+M8*4</f>
        <v>143272000</v>
      </c>
    </row>
    <row r="10" spans="1:35" x14ac:dyDescent="0.2">
      <c r="B10" t="s">
        <v>51</v>
      </c>
      <c r="M10" s="4">
        <v>40000</v>
      </c>
    </row>
    <row r="11" spans="1:35" x14ac:dyDescent="0.2">
      <c r="B11" t="s">
        <v>52</v>
      </c>
      <c r="K11" s="21">
        <v>11160</v>
      </c>
      <c r="L11" s="4">
        <v>12807</v>
      </c>
      <c r="M11" s="4">
        <v>13091</v>
      </c>
      <c r="N11" s="4">
        <v>16000</v>
      </c>
      <c r="O11" s="4">
        <f>+N11+5000</f>
        <v>21000</v>
      </c>
      <c r="P11" s="4">
        <f>+O11+5000</f>
        <v>26000</v>
      </c>
      <c r="Q11" s="4">
        <f>+P11+5000</f>
        <v>31000</v>
      </c>
      <c r="R11" s="4">
        <f>+Q11+5000</f>
        <v>36000</v>
      </c>
      <c r="V11" s="2">
        <f>SUM(G11:J11)</f>
        <v>0</v>
      </c>
      <c r="W11" s="2">
        <f>SUM(K11:N11)</f>
        <v>53058</v>
      </c>
      <c r="X11" s="2">
        <f>SUM(O11:R11)</f>
        <v>114000</v>
      </c>
      <c r="Y11" s="2">
        <f>+X11*1.5</f>
        <v>171000</v>
      </c>
      <c r="Z11" s="2">
        <f>+Y11*1.5</f>
        <v>256500</v>
      </c>
      <c r="AA11" s="2">
        <f>+Z11*1.5</f>
        <v>384750</v>
      </c>
      <c r="AB11" s="2">
        <f t="shared" ref="AB11:AF11" si="1">+AA11*1.1</f>
        <v>423225.00000000006</v>
      </c>
      <c r="AC11" s="2">
        <f t="shared" si="1"/>
        <v>465547.50000000012</v>
      </c>
      <c r="AD11" s="2">
        <f t="shared" si="1"/>
        <v>512102.25000000017</v>
      </c>
      <c r="AE11" s="2">
        <f t="shared" si="1"/>
        <v>563312.47500000021</v>
      </c>
      <c r="AF11" s="2">
        <f t="shared" si="1"/>
        <v>619643.72250000027</v>
      </c>
    </row>
    <row r="12" spans="1:35" x14ac:dyDescent="0.2">
      <c r="B12" t="s">
        <v>54</v>
      </c>
      <c r="K12" s="4">
        <v>10045</v>
      </c>
      <c r="L12" s="4">
        <v>11532</v>
      </c>
      <c r="M12" s="4">
        <v>11603</v>
      </c>
      <c r="N12" s="4">
        <v>18000</v>
      </c>
    </row>
    <row r="14" spans="1:35" s="2" customFormat="1" x14ac:dyDescent="0.2">
      <c r="B14" s="2" t="s">
        <v>9</v>
      </c>
      <c r="C14" s="4"/>
      <c r="D14" s="4"/>
      <c r="E14" s="4"/>
      <c r="F14" s="4">
        <v>610851</v>
      </c>
      <c r="G14" s="4">
        <v>588871</v>
      </c>
      <c r="H14" s="4">
        <v>727829</v>
      </c>
      <c r="I14" s="4">
        <v>799915</v>
      </c>
      <c r="J14" s="23">
        <v>956661</v>
      </c>
      <c r="K14" s="4">
        <v>893320</v>
      </c>
      <c r="L14" s="4">
        <v>878090</v>
      </c>
      <c r="M14" s="4">
        <v>852555</v>
      </c>
      <c r="N14" s="4">
        <f>+N11*N32/1000</f>
        <v>1042004.430524788</v>
      </c>
      <c r="O14" s="4">
        <f t="shared" ref="O14:R14" si="2">+O11*O32/1000</f>
        <v>1367630.8150637841</v>
      </c>
      <c r="P14" s="4">
        <f t="shared" si="2"/>
        <v>1693257.1996027806</v>
      </c>
      <c r="Q14" s="4">
        <f t="shared" si="2"/>
        <v>2018883.5841417769</v>
      </c>
      <c r="R14" s="4">
        <f t="shared" si="2"/>
        <v>2344509.9686807729</v>
      </c>
      <c r="T14" s="2">
        <v>385699</v>
      </c>
      <c r="U14" s="2">
        <v>1997786</v>
      </c>
      <c r="V14" s="2">
        <f>SUM(G14:J14)</f>
        <v>3073276</v>
      </c>
      <c r="W14" s="2">
        <f t="shared" ref="W14" si="3">+W11*W32/1000</f>
        <v>3455416.9421740128</v>
      </c>
      <c r="X14" s="2">
        <f>+X11*X32/1000</f>
        <v>7424281.5674891146</v>
      </c>
      <c r="Y14" s="2">
        <f t="shared" ref="Y14:AF14" si="4">+Y11*Y32/1000</f>
        <v>10579601.233671987</v>
      </c>
      <c r="Z14" s="2">
        <f t="shared" si="4"/>
        <v>15075931.757982582</v>
      </c>
      <c r="AA14" s="2">
        <f t="shared" si="4"/>
        <v>21483202.75512518</v>
      </c>
      <c r="AB14" s="2">
        <f t="shared" si="4"/>
        <v>22449946.879105814</v>
      </c>
      <c r="AC14" s="2">
        <f t="shared" si="4"/>
        <v>23460194.488665577</v>
      </c>
      <c r="AD14" s="2">
        <f t="shared" si="4"/>
        <v>24515903.24065553</v>
      </c>
      <c r="AE14" s="2">
        <f t="shared" si="4"/>
        <v>25619118.886485033</v>
      </c>
      <c r="AF14" s="2">
        <f t="shared" si="4"/>
        <v>26771979.236376856</v>
      </c>
    </row>
    <row r="15" spans="1:35" s="2" customFormat="1" x14ac:dyDescent="0.2">
      <c r="B15" s="2" t="s">
        <v>36</v>
      </c>
      <c r="C15" s="4"/>
      <c r="D15" s="4"/>
      <c r="E15" s="4"/>
      <c r="F15" s="4">
        <v>4368</v>
      </c>
      <c r="G15" s="4">
        <v>31671</v>
      </c>
      <c r="H15" s="4">
        <v>41520</v>
      </c>
      <c r="I15" s="4">
        <v>51889</v>
      </c>
      <c r="J15" s="23">
        <v>0</v>
      </c>
      <c r="K15" s="4">
        <v>46560</v>
      </c>
      <c r="L15" s="4">
        <v>76886</v>
      </c>
      <c r="M15" s="4">
        <v>84234</v>
      </c>
      <c r="N15" s="4">
        <f>+M15*1.05</f>
        <v>88445.7</v>
      </c>
      <c r="O15" s="4">
        <f t="shared" ref="O15:R15" si="5">+N15*1.05</f>
        <v>92867.985000000001</v>
      </c>
      <c r="P15" s="4">
        <f t="shared" si="5"/>
        <v>97511.384250000003</v>
      </c>
      <c r="Q15" s="4">
        <f t="shared" si="5"/>
        <v>102386.95346250001</v>
      </c>
      <c r="R15" s="4">
        <f t="shared" si="5"/>
        <v>107506.30113562502</v>
      </c>
      <c r="T15" s="2">
        <v>27557</v>
      </c>
      <c r="U15" s="2">
        <v>15710</v>
      </c>
      <c r="V15" s="2">
        <f>SUM(G15:J15)</f>
        <v>125080</v>
      </c>
      <c r="W15" s="2">
        <f>SUM(K15:N15)</f>
        <v>296125.7</v>
      </c>
      <c r="X15" s="2">
        <f t="shared" ref="X15:X22" si="6">SUM(O15:R15)</f>
        <v>400272.62384812499</v>
      </c>
      <c r="Y15" s="2">
        <f t="shared" ref="Y15:AF15" si="7">+X15*1.1</f>
        <v>440299.88623293751</v>
      </c>
      <c r="Z15" s="2">
        <f t="shared" si="7"/>
        <v>484329.87485623133</v>
      </c>
      <c r="AA15" s="2">
        <f t="shared" si="7"/>
        <v>532762.86234185449</v>
      </c>
      <c r="AB15" s="2">
        <f t="shared" si="7"/>
        <v>586039.14857603994</v>
      </c>
      <c r="AC15" s="2">
        <f t="shared" si="7"/>
        <v>644643.06343364401</v>
      </c>
      <c r="AD15" s="2">
        <f t="shared" si="7"/>
        <v>709107.36977700843</v>
      </c>
      <c r="AE15" s="2">
        <f t="shared" si="7"/>
        <v>780018.10675470938</v>
      </c>
      <c r="AF15" s="2">
        <f t="shared" si="7"/>
        <v>858019.91743018036</v>
      </c>
    </row>
    <row r="16" spans="1:35" s="6" customFormat="1" x14ac:dyDescent="0.2">
      <c r="B16" s="6" t="s">
        <v>35</v>
      </c>
      <c r="C16" s="7"/>
      <c r="D16" s="7"/>
      <c r="E16" s="7"/>
      <c r="F16" s="7">
        <f t="shared" ref="F16:M16" si="8">+F15+F14</f>
        <v>615219</v>
      </c>
      <c r="G16" s="7">
        <f t="shared" si="8"/>
        <v>620542</v>
      </c>
      <c r="H16" s="7">
        <f t="shared" si="8"/>
        <v>769349</v>
      </c>
      <c r="I16" s="7">
        <f t="shared" si="8"/>
        <v>851804</v>
      </c>
      <c r="J16" s="7">
        <f t="shared" si="8"/>
        <v>956661</v>
      </c>
      <c r="K16" s="7">
        <f t="shared" si="8"/>
        <v>939880</v>
      </c>
      <c r="L16" s="7">
        <f t="shared" si="8"/>
        <v>954976</v>
      </c>
      <c r="M16" s="7">
        <f t="shared" si="8"/>
        <v>936789</v>
      </c>
      <c r="N16" s="7">
        <f t="shared" ref="N16" si="9">+N15+N14</f>
        <v>1130450.1305247881</v>
      </c>
      <c r="O16" s="7">
        <f t="shared" ref="O16" si="10">+O15+O14</f>
        <v>1460498.8000637842</v>
      </c>
      <c r="P16" s="7">
        <f t="shared" ref="P16" si="11">+P15+P14</f>
        <v>1790768.5838527805</v>
      </c>
      <c r="Q16" s="7">
        <f t="shared" ref="Q16" si="12">+Q15+Q14</f>
        <v>2121270.537604277</v>
      </c>
      <c r="R16" s="7">
        <f t="shared" ref="R16" si="13">+R15+R14</f>
        <v>2452016.2698163982</v>
      </c>
      <c r="T16" s="7">
        <f>+T15+T14</f>
        <v>413256</v>
      </c>
      <c r="U16" s="7">
        <f>+U15+U14</f>
        <v>2013496</v>
      </c>
      <c r="V16" s="7">
        <f>+V15+V14</f>
        <v>3198356</v>
      </c>
      <c r="W16" s="7">
        <f>+W15+W14</f>
        <v>3751542.642174013</v>
      </c>
      <c r="X16" s="7">
        <f>+X15+X14</f>
        <v>7824554.1913372399</v>
      </c>
      <c r="Y16" s="7">
        <f t="shared" ref="Y16:AF16" si="14">+Y15+Y14</f>
        <v>11019901.119904924</v>
      </c>
      <c r="Z16" s="7">
        <f t="shared" si="14"/>
        <v>15560261.632838814</v>
      </c>
      <c r="AA16" s="7">
        <f t="shared" si="14"/>
        <v>22015965.617467035</v>
      </c>
      <c r="AB16" s="7">
        <f t="shared" si="14"/>
        <v>23035986.027681854</v>
      </c>
      <c r="AC16" s="7">
        <f t="shared" si="14"/>
        <v>24104837.55209922</v>
      </c>
      <c r="AD16" s="7">
        <f t="shared" si="14"/>
        <v>25225010.610432539</v>
      </c>
      <c r="AE16" s="7">
        <f t="shared" si="14"/>
        <v>26399136.993239742</v>
      </c>
      <c r="AF16" s="7">
        <f t="shared" si="14"/>
        <v>27629999.153807037</v>
      </c>
    </row>
    <row r="17" spans="2:95" s="2" customFormat="1" x14ac:dyDescent="0.2">
      <c r="B17" s="2" t="s">
        <v>34</v>
      </c>
      <c r="C17" s="4"/>
      <c r="D17" s="4"/>
      <c r="E17" s="4"/>
      <c r="F17" s="4">
        <v>453578</v>
      </c>
      <c r="G17" s="4">
        <v>436254</v>
      </c>
      <c r="H17" s="4">
        <v>519811</v>
      </c>
      <c r="I17" s="4">
        <v>552987</v>
      </c>
      <c r="J17" s="4">
        <v>694964</v>
      </c>
      <c r="K17" s="4">
        <v>631745</v>
      </c>
      <c r="L17" s="4">
        <v>666386</v>
      </c>
      <c r="M17" s="4">
        <v>628729</v>
      </c>
      <c r="N17" s="4"/>
      <c r="O17" s="4"/>
      <c r="P17" s="4"/>
      <c r="Q17" s="4"/>
      <c r="R17" s="4"/>
      <c r="T17" s="2">
        <v>371658</v>
      </c>
      <c r="U17" s="2">
        <v>1543878</v>
      </c>
      <c r="V17" s="2">
        <f>SUM(G17:J17)</f>
        <v>2204016</v>
      </c>
      <c r="W17" s="2">
        <f>SUM(K17:N17)</f>
        <v>1926860</v>
      </c>
      <c r="X17" s="2">
        <f t="shared" si="6"/>
        <v>0</v>
      </c>
    </row>
    <row r="18" spans="2:95" s="2" customFormat="1" x14ac:dyDescent="0.2">
      <c r="B18" s="2" t="s">
        <v>33</v>
      </c>
      <c r="C18" s="4"/>
      <c r="D18" s="4"/>
      <c r="E18" s="4"/>
      <c r="F18" s="4">
        <v>5051</v>
      </c>
      <c r="G18" s="4">
        <v>29160</v>
      </c>
      <c r="H18" s="4">
        <v>36543</v>
      </c>
      <c r="I18" s="4">
        <v>46966</v>
      </c>
      <c r="J18" s="4">
        <v>0</v>
      </c>
      <c r="K18" s="4">
        <v>48062</v>
      </c>
      <c r="L18" s="4">
        <v>75220</v>
      </c>
      <c r="M18" s="4">
        <v>76564</v>
      </c>
      <c r="N18" s="4"/>
      <c r="O18" s="4"/>
      <c r="P18" s="4"/>
      <c r="Q18" s="4"/>
      <c r="R18" s="4"/>
      <c r="T18" s="2">
        <v>11531</v>
      </c>
      <c r="U18" s="2">
        <v>13356</v>
      </c>
      <c r="V18" s="2">
        <f>SUM(G18:J18)</f>
        <v>112669</v>
      </c>
      <c r="W18" s="2">
        <f>SUM(K18:N18)</f>
        <v>199846</v>
      </c>
      <c r="X18" s="2">
        <f t="shared" si="6"/>
        <v>0</v>
      </c>
    </row>
    <row r="19" spans="2:95" s="2" customFormat="1" x14ac:dyDescent="0.2">
      <c r="B19" s="2" t="s">
        <v>32</v>
      </c>
      <c r="C19" s="4"/>
      <c r="D19" s="4"/>
      <c r="E19" s="4"/>
      <c r="F19" s="4">
        <f t="shared" ref="F19:M19" si="15">+F18+F17</f>
        <v>458629</v>
      </c>
      <c r="G19" s="4">
        <f t="shared" si="15"/>
        <v>465414</v>
      </c>
      <c r="H19" s="4">
        <f t="shared" si="15"/>
        <v>556354</v>
      </c>
      <c r="I19" s="4">
        <f t="shared" si="15"/>
        <v>599953</v>
      </c>
      <c r="J19" s="4">
        <f t="shared" si="15"/>
        <v>694964</v>
      </c>
      <c r="K19" s="4">
        <f t="shared" si="15"/>
        <v>679807</v>
      </c>
      <c r="L19" s="4">
        <f t="shared" si="15"/>
        <v>741606</v>
      </c>
      <c r="M19" s="4">
        <f t="shared" si="15"/>
        <v>705293</v>
      </c>
      <c r="N19" s="4">
        <f>+N16-N20</f>
        <v>847837.59789359104</v>
      </c>
      <c r="O19" s="4">
        <f>+O16-O20</f>
        <v>1095374.1000478382</v>
      </c>
      <c r="P19" s="4">
        <f t="shared" ref="P19:R19" si="16">+P16-P20</f>
        <v>1343076.4378895853</v>
      </c>
      <c r="Q19" s="4">
        <f t="shared" si="16"/>
        <v>1590952.9032032078</v>
      </c>
      <c r="R19" s="4">
        <f t="shared" si="16"/>
        <v>1839012.2023622985</v>
      </c>
      <c r="T19" s="2">
        <f>+T17+T18</f>
        <v>383189</v>
      </c>
      <c r="U19" s="2">
        <f>+U17+U18</f>
        <v>1557234</v>
      </c>
      <c r="V19" s="2">
        <f>+V17+V18</f>
        <v>2316685</v>
      </c>
      <c r="W19" s="2">
        <f>SUM(K19:N19)</f>
        <v>2974543.597893591</v>
      </c>
      <c r="X19" s="2">
        <f t="shared" si="6"/>
        <v>5868415.6435029302</v>
      </c>
    </row>
    <row r="20" spans="2:95" s="2" customFormat="1" x14ac:dyDescent="0.2">
      <c r="B20" s="2" t="s">
        <v>31</v>
      </c>
      <c r="C20" s="4"/>
      <c r="D20" s="4"/>
      <c r="E20" s="4"/>
      <c r="F20" s="4">
        <f t="shared" ref="F20:M20" si="17">+F16-F19</f>
        <v>156590</v>
      </c>
      <c r="G20" s="4">
        <f t="shared" si="17"/>
        <v>155128</v>
      </c>
      <c r="H20" s="4">
        <f t="shared" si="17"/>
        <v>212995</v>
      </c>
      <c r="I20" s="4">
        <f t="shared" si="17"/>
        <v>251851</v>
      </c>
      <c r="J20" s="4">
        <f t="shared" si="17"/>
        <v>261697</v>
      </c>
      <c r="K20" s="4">
        <f t="shared" si="17"/>
        <v>260073</v>
      </c>
      <c r="L20" s="4">
        <f t="shared" si="17"/>
        <v>213370</v>
      </c>
      <c r="M20" s="4">
        <f t="shared" si="17"/>
        <v>231496</v>
      </c>
      <c r="N20" s="4">
        <f>+N16*0.25</f>
        <v>282612.53263119701</v>
      </c>
      <c r="O20" s="4">
        <f t="shared" ref="O20:Q20" si="18">+O16*0.25</f>
        <v>365124.70001594606</v>
      </c>
      <c r="P20" s="4">
        <f t="shared" si="18"/>
        <v>447692.14596319513</v>
      </c>
      <c r="Q20" s="4">
        <f t="shared" si="18"/>
        <v>530317.63440106926</v>
      </c>
      <c r="R20" s="4">
        <f t="shared" ref="R20" si="19">+R16*0.25</f>
        <v>613004.06745409954</v>
      </c>
      <c r="T20" s="4">
        <f>+T16-T19</f>
        <v>30067</v>
      </c>
      <c r="U20" s="4">
        <f>+U16-U19</f>
        <v>456262</v>
      </c>
      <c r="V20" s="4">
        <f>+V16-V19</f>
        <v>881671</v>
      </c>
      <c r="W20" s="4">
        <f>+W16-W19</f>
        <v>776999.04428042192</v>
      </c>
      <c r="X20" s="2">
        <f t="shared" si="6"/>
        <v>1956138.5478343102</v>
      </c>
      <c r="Y20" s="2">
        <f>+Y16*0.26</f>
        <v>2865174.2911752802</v>
      </c>
      <c r="Z20" s="2">
        <f>+Z16*0.26</f>
        <v>4045668.0245380918</v>
      </c>
      <c r="AA20" s="2">
        <f>+AA16*0.27</f>
        <v>5944310.7167160995</v>
      </c>
      <c r="AB20" s="2">
        <f>+AB16*0.27</f>
        <v>6219716.2274741009</v>
      </c>
      <c r="AC20" s="2">
        <f>+AC16*0.28</f>
        <v>6749354.5145877823</v>
      </c>
      <c r="AD20" s="2">
        <f>+AD16*0.28</f>
        <v>7063002.9709211113</v>
      </c>
      <c r="AE20" s="2">
        <f>+AE16*0.29</f>
        <v>7655749.7280395245</v>
      </c>
      <c r="AF20" s="2">
        <f>+AF16*0.29</f>
        <v>8012699.7546040397</v>
      </c>
    </row>
    <row r="21" spans="2:95" s="2" customFormat="1" x14ac:dyDescent="0.2">
      <c r="B21" s="2" t="s">
        <v>30</v>
      </c>
      <c r="C21" s="4"/>
      <c r="D21" s="4"/>
      <c r="E21" s="4"/>
      <c r="F21" s="4">
        <v>68454</v>
      </c>
      <c r="G21" s="4">
        <v>81544</v>
      </c>
      <c r="H21" s="4">
        <v>107717</v>
      </c>
      <c r="I21" s="4">
        <v>135873</v>
      </c>
      <c r="J21" s="4">
        <v>139565</v>
      </c>
      <c r="K21" s="4">
        <v>167154</v>
      </c>
      <c r="L21" s="4">
        <v>181712</v>
      </c>
      <c r="M21" s="4">
        <v>178791</v>
      </c>
      <c r="N21" s="4">
        <f>+J21*1.01</f>
        <v>140960.65</v>
      </c>
      <c r="O21" s="4">
        <f t="shared" ref="O21:O22" si="20">+K21*1.01</f>
        <v>168825.54</v>
      </c>
      <c r="P21" s="4">
        <f t="shared" ref="P21:P22" si="21">+L21*1.01</f>
        <v>183529.12</v>
      </c>
      <c r="Q21" s="4">
        <f t="shared" ref="Q21:Q22" si="22">+M21*1.01</f>
        <v>180578.91</v>
      </c>
      <c r="R21" s="4">
        <f t="shared" ref="R21:R22" si="23">+N21*1.01</f>
        <v>142370.25649999999</v>
      </c>
      <c r="T21" s="2">
        <v>273978</v>
      </c>
      <c r="U21" s="2">
        <v>231976</v>
      </c>
      <c r="V21" s="2">
        <f t="shared" ref="V21:V22" si="24">SUM(G21:J21)</f>
        <v>464699</v>
      </c>
      <c r="W21" s="2">
        <f>SUM(K21:N21)</f>
        <v>668617.65</v>
      </c>
      <c r="X21" s="2">
        <f t="shared" si="6"/>
        <v>675303.82650000008</v>
      </c>
      <c r="Y21" s="2">
        <f>+X21*1.01</f>
        <v>682056.86476500006</v>
      </c>
      <c r="Z21" s="2">
        <f t="shared" ref="Z21:AF21" si="25">+Y21*1.01</f>
        <v>688877.43341265002</v>
      </c>
      <c r="AA21" s="2">
        <f t="shared" si="25"/>
        <v>695766.20774677652</v>
      </c>
      <c r="AB21" s="2">
        <f t="shared" si="25"/>
        <v>702723.86982424429</v>
      </c>
      <c r="AC21" s="2">
        <f t="shared" si="25"/>
        <v>709751.10852248676</v>
      </c>
      <c r="AD21" s="2">
        <f t="shared" si="25"/>
        <v>716848.61960771168</v>
      </c>
      <c r="AE21" s="2">
        <f t="shared" si="25"/>
        <v>724017.10580378876</v>
      </c>
      <c r="AF21" s="2">
        <f t="shared" si="25"/>
        <v>731257.27686182666</v>
      </c>
    </row>
    <row r="22" spans="2:95" s="2" customFormat="1" x14ac:dyDescent="0.2">
      <c r="B22" s="2" t="s">
        <v>29</v>
      </c>
      <c r="C22" s="4"/>
      <c r="D22" s="4"/>
      <c r="E22" s="4"/>
      <c r="F22" s="4">
        <v>101489</v>
      </c>
      <c r="G22" s="4">
        <v>117551</v>
      </c>
      <c r="H22" s="4">
        <v>134031</v>
      </c>
      <c r="I22" s="4">
        <v>155107</v>
      </c>
      <c r="J22" s="4">
        <v>196970</v>
      </c>
      <c r="K22" s="4">
        <v>195365</v>
      </c>
      <c r="L22" s="4">
        <v>201846</v>
      </c>
      <c r="M22" s="4">
        <v>236367</v>
      </c>
      <c r="N22" s="4">
        <f t="shared" ref="N22" si="26">+J22*1.01</f>
        <v>198939.7</v>
      </c>
      <c r="O22" s="4">
        <f t="shared" si="20"/>
        <v>197318.65</v>
      </c>
      <c r="P22" s="4">
        <f t="shared" si="21"/>
        <v>203864.46</v>
      </c>
      <c r="Q22" s="4">
        <f t="shared" si="22"/>
        <v>238730.67</v>
      </c>
      <c r="R22" s="4">
        <f t="shared" si="23"/>
        <v>200929.09700000001</v>
      </c>
      <c r="T22" s="2">
        <v>150372</v>
      </c>
      <c r="U22" s="2">
        <v>285569</v>
      </c>
      <c r="V22" s="2">
        <f t="shared" si="24"/>
        <v>603659</v>
      </c>
      <c r="W22" s="2">
        <f>SUM(K22:N22)</f>
        <v>832517.7</v>
      </c>
      <c r="X22" s="2">
        <f t="shared" si="6"/>
        <v>840842.87700000009</v>
      </c>
      <c r="Y22" s="2">
        <f>+X22*1.2</f>
        <v>1009011.4524000001</v>
      </c>
      <c r="Z22" s="2">
        <f t="shared" ref="Z22:AA22" si="27">+Y22*1.2</f>
        <v>1210813.74288</v>
      </c>
      <c r="AA22" s="2">
        <f t="shared" si="27"/>
        <v>1452976.4914559999</v>
      </c>
      <c r="AB22" s="2">
        <f t="shared" ref="AB22:AF22" si="28">+AA22*1.01</f>
        <v>1467506.2563705598</v>
      </c>
      <c r="AC22" s="2">
        <f t="shared" si="28"/>
        <v>1482181.3189342655</v>
      </c>
      <c r="AD22" s="2">
        <f t="shared" si="28"/>
        <v>1497003.1321236081</v>
      </c>
      <c r="AE22" s="2">
        <f t="shared" si="28"/>
        <v>1511973.1634448443</v>
      </c>
      <c r="AF22" s="2">
        <f t="shared" si="28"/>
        <v>1527092.8950792928</v>
      </c>
    </row>
    <row r="23" spans="2:95" s="2" customFormat="1" x14ac:dyDescent="0.2">
      <c r="B23" s="2" t="s">
        <v>28</v>
      </c>
      <c r="C23" s="4"/>
      <c r="D23" s="4"/>
      <c r="E23" s="4"/>
      <c r="F23" s="4">
        <f t="shared" ref="F23:M23" si="29">+F21+F22</f>
        <v>169943</v>
      </c>
      <c r="G23" s="4">
        <f t="shared" si="29"/>
        <v>199095</v>
      </c>
      <c r="H23" s="4">
        <f t="shared" si="29"/>
        <v>241748</v>
      </c>
      <c r="I23" s="4">
        <f t="shared" si="29"/>
        <v>290980</v>
      </c>
      <c r="J23" s="4">
        <f t="shared" si="29"/>
        <v>336535</v>
      </c>
      <c r="K23" s="4">
        <f t="shared" si="29"/>
        <v>362519</v>
      </c>
      <c r="L23" s="4">
        <f t="shared" si="29"/>
        <v>383558</v>
      </c>
      <c r="M23" s="4">
        <f t="shared" si="29"/>
        <v>415158</v>
      </c>
      <c r="N23" s="4">
        <f t="shared" ref="N23" si="30">+N21+N22</f>
        <v>339900.35</v>
      </c>
      <c r="O23" s="4">
        <f t="shared" ref="O23" si="31">+O21+O22</f>
        <v>366144.19</v>
      </c>
      <c r="P23" s="4">
        <f t="shared" ref="P23" si="32">+P21+P22</f>
        <v>387393.57999999996</v>
      </c>
      <c r="Q23" s="4">
        <f t="shared" ref="Q23" si="33">+Q21+Q22</f>
        <v>419309.58</v>
      </c>
      <c r="R23" s="4">
        <f t="shared" ref="R23" si="34">+R21+R22</f>
        <v>343299.35349999997</v>
      </c>
      <c r="T23" s="4">
        <f>+T21+T22</f>
        <v>424350</v>
      </c>
      <c r="U23" s="4">
        <f>+U21+U22</f>
        <v>517545</v>
      </c>
      <c r="V23" s="4">
        <f>+V21+V22</f>
        <v>1068358</v>
      </c>
      <c r="W23" s="4">
        <f>+W21+W22</f>
        <v>1501135.35</v>
      </c>
      <c r="X23" s="4">
        <f>+X21+X22</f>
        <v>1516146.7035000003</v>
      </c>
      <c r="Y23" s="4">
        <f t="shared" ref="Y23:AF23" si="35">+Y21+Y22</f>
        <v>1691068.3171650001</v>
      </c>
      <c r="Z23" s="4">
        <f t="shared" si="35"/>
        <v>1899691.1762926499</v>
      </c>
      <c r="AA23" s="4">
        <f t="shared" si="35"/>
        <v>2148742.6992027764</v>
      </c>
      <c r="AB23" s="4">
        <f t="shared" si="35"/>
        <v>2170230.126194804</v>
      </c>
      <c r="AC23" s="4">
        <f t="shared" si="35"/>
        <v>2191932.4274567524</v>
      </c>
      <c r="AD23" s="4">
        <f t="shared" si="35"/>
        <v>2213851.7517313198</v>
      </c>
      <c r="AE23" s="4">
        <f t="shared" si="35"/>
        <v>2235990.2692486332</v>
      </c>
      <c r="AF23" s="4">
        <f t="shared" si="35"/>
        <v>2258350.1719411192</v>
      </c>
    </row>
    <row r="24" spans="2:95" s="2" customFormat="1" x14ac:dyDescent="0.2">
      <c r="B24" s="2" t="s">
        <v>27</v>
      </c>
      <c r="C24" s="4"/>
      <c r="D24" s="4"/>
      <c r="E24" s="4"/>
      <c r="F24" s="4">
        <f t="shared" ref="F24:M24" si="36">+F20-F23</f>
        <v>-13353</v>
      </c>
      <c r="G24" s="4">
        <f t="shared" si="36"/>
        <v>-43967</v>
      </c>
      <c r="H24" s="4">
        <f t="shared" si="36"/>
        <v>-28753</v>
      </c>
      <c r="I24" s="4">
        <f t="shared" si="36"/>
        <v>-39129</v>
      </c>
      <c r="J24" s="4">
        <f t="shared" si="36"/>
        <v>-74838</v>
      </c>
      <c r="K24" s="4">
        <f t="shared" si="36"/>
        <v>-102446</v>
      </c>
      <c r="L24" s="4">
        <f t="shared" si="36"/>
        <v>-170188</v>
      </c>
      <c r="M24" s="4">
        <f t="shared" si="36"/>
        <v>-183662</v>
      </c>
      <c r="N24" s="4">
        <f t="shared" ref="N24" si="37">+N20-N23</f>
        <v>-57287.817368802964</v>
      </c>
      <c r="O24" s="4">
        <f t="shared" ref="O24" si="38">+O20-O23</f>
        <v>-1019.4899840539438</v>
      </c>
      <c r="P24" s="4">
        <f t="shared" ref="P24" si="39">+P20-P23</f>
        <v>60298.565963195171</v>
      </c>
      <c r="Q24" s="4">
        <f t="shared" ref="Q24" si="40">+Q20-Q23</f>
        <v>111008.05440106924</v>
      </c>
      <c r="R24" s="4">
        <f t="shared" ref="R24" si="41">+R20-R23</f>
        <v>269704.71395409957</v>
      </c>
      <c r="T24" s="4">
        <f>+T20-T23</f>
        <v>-394283</v>
      </c>
      <c r="U24" s="4">
        <f>+U20-U23</f>
        <v>-61283</v>
      </c>
      <c r="V24" s="4">
        <f>+V20-V23</f>
        <v>-186687</v>
      </c>
      <c r="W24" s="4">
        <f>+W20-W23</f>
        <v>-724136.30571957817</v>
      </c>
      <c r="X24" s="4">
        <f>+X20-X23</f>
        <v>439991.84433430992</v>
      </c>
      <c r="Y24" s="4">
        <f t="shared" ref="Y24:AF24" si="42">+Y20-Y23</f>
        <v>1174105.9740102801</v>
      </c>
      <c r="Z24" s="4">
        <f t="shared" si="42"/>
        <v>2145976.8482454419</v>
      </c>
      <c r="AA24" s="4">
        <f t="shared" si="42"/>
        <v>3795568.0175133231</v>
      </c>
      <c r="AB24" s="4">
        <f t="shared" si="42"/>
        <v>4049486.1012792969</v>
      </c>
      <c r="AC24" s="4">
        <f t="shared" si="42"/>
        <v>4557422.0871310299</v>
      </c>
      <c r="AD24" s="4">
        <f t="shared" si="42"/>
        <v>4849151.219189791</v>
      </c>
      <c r="AE24" s="4">
        <f t="shared" si="42"/>
        <v>5419759.4587908909</v>
      </c>
      <c r="AF24" s="4">
        <f t="shared" si="42"/>
        <v>5754349.5826629205</v>
      </c>
    </row>
    <row r="25" spans="2:95" s="2" customFormat="1" x14ac:dyDescent="0.2">
      <c r="B25" s="2" t="s">
        <v>26</v>
      </c>
      <c r="C25" s="4"/>
      <c r="D25" s="4"/>
      <c r="E25" s="4"/>
      <c r="F25" s="4">
        <f>92-6229+4584</f>
        <v>-1553</v>
      </c>
      <c r="G25" s="4">
        <f>141-11883+6718</f>
        <v>-5024</v>
      </c>
      <c r="H25" s="4">
        <f>467-31238-1226</f>
        <v>-31997</v>
      </c>
      <c r="I25" s="4">
        <f>300-29062-3090</f>
        <v>-31852</v>
      </c>
      <c r="J25" s="4">
        <f>219-28703-588</f>
        <v>-29072</v>
      </c>
      <c r="K25" s="4">
        <f>184-26574-22305</f>
        <v>-48695</v>
      </c>
      <c r="L25" s="4">
        <f>247-24352+13233</f>
        <v>-10872</v>
      </c>
      <c r="M25" s="4">
        <f>327-29308-15431</f>
        <v>-44412</v>
      </c>
      <c r="N25" s="4">
        <f>+M25</f>
        <v>-44412</v>
      </c>
      <c r="O25" s="4">
        <f t="shared" ref="O25:Q25" si="43">+N25</f>
        <v>-44412</v>
      </c>
      <c r="P25" s="4">
        <f t="shared" si="43"/>
        <v>-44412</v>
      </c>
      <c r="Q25" s="4">
        <f t="shared" si="43"/>
        <v>-44412</v>
      </c>
      <c r="R25" s="4">
        <f t="shared" ref="R25" si="44">+Q25</f>
        <v>-44412</v>
      </c>
      <c r="T25" s="2">
        <f>288-254-1828</f>
        <v>-1794</v>
      </c>
      <c r="U25" s="2">
        <f>189-32934+22602</f>
        <v>-10143</v>
      </c>
      <c r="V25" s="2">
        <f t="shared" ref="V25" si="45">SUM(G25:J25)</f>
        <v>-97945</v>
      </c>
      <c r="W25" s="2">
        <f>SUM(K25:N25)</f>
        <v>-148391</v>
      </c>
      <c r="X25" s="2">
        <f t="shared" ref="X25" si="46">SUM(O25:R25)</f>
        <v>-177648</v>
      </c>
      <c r="Y25" s="2">
        <v>0</v>
      </c>
      <c r="Z25" s="2">
        <v>0</v>
      </c>
      <c r="AA25" s="2">
        <v>0</v>
      </c>
      <c r="AB25" s="2">
        <v>0</v>
      </c>
      <c r="AC25" s="2">
        <f>+AB40*$AK$35</f>
        <v>231159.31314947081</v>
      </c>
      <c r="AD25" s="2">
        <f>+AC40*$AK$35</f>
        <v>338902.39465578203</v>
      </c>
      <c r="AE25" s="2">
        <f>+AD40*$AK$35</f>
        <v>455633.6009673074</v>
      </c>
      <c r="AF25" s="2">
        <f>+AE40*$AK$35</f>
        <v>587829.94481186697</v>
      </c>
    </row>
    <row r="26" spans="2:95" s="2" customFormat="1" x14ac:dyDescent="0.2">
      <c r="B26" s="2" t="s">
        <v>25</v>
      </c>
      <c r="C26" s="4"/>
      <c r="D26" s="4"/>
      <c r="E26" s="4"/>
      <c r="F26" s="4">
        <f t="shared" ref="F26:M26" si="47">+F24+F25</f>
        <v>-14906</v>
      </c>
      <c r="G26" s="4">
        <f t="shared" si="47"/>
        <v>-48991</v>
      </c>
      <c r="H26" s="4">
        <f t="shared" si="47"/>
        <v>-60750</v>
      </c>
      <c r="I26" s="4">
        <f t="shared" si="47"/>
        <v>-70981</v>
      </c>
      <c r="J26" s="4">
        <f t="shared" si="47"/>
        <v>-103910</v>
      </c>
      <c r="K26" s="4">
        <f t="shared" si="47"/>
        <v>-151141</v>
      </c>
      <c r="L26" s="4">
        <f t="shared" si="47"/>
        <v>-181060</v>
      </c>
      <c r="M26" s="4">
        <f t="shared" si="47"/>
        <v>-228074</v>
      </c>
      <c r="N26" s="4">
        <f t="shared" ref="N26" si="48">+N24+N25</f>
        <v>-101699.81736880296</v>
      </c>
      <c r="O26" s="4">
        <f t="shared" ref="O26" si="49">+O24+O25</f>
        <v>-45431.489984053944</v>
      </c>
      <c r="P26" s="4">
        <f t="shared" ref="P26" si="50">+P24+P25</f>
        <v>15886.565963195171</v>
      </c>
      <c r="Q26" s="4">
        <f t="shared" ref="Q26" si="51">+Q24+Q25</f>
        <v>66596.054401069239</v>
      </c>
      <c r="R26" s="4">
        <f t="shared" ref="R26" si="52">+R24+R25</f>
        <v>225292.71395409957</v>
      </c>
      <c r="T26" s="4">
        <f>+T24+T25</f>
        <v>-396077</v>
      </c>
      <c r="U26" s="4">
        <f>+U24+U25</f>
        <v>-71426</v>
      </c>
      <c r="V26" s="4">
        <f>+V24+V25</f>
        <v>-284632</v>
      </c>
      <c r="W26" s="4">
        <f>+W24+W25</f>
        <v>-872527.30571957817</v>
      </c>
      <c r="X26" s="4">
        <f>+X24+X25</f>
        <v>262343.84433430992</v>
      </c>
      <c r="Y26" s="4">
        <f t="shared" ref="Y26:AF26" si="53">+Y24+Y25</f>
        <v>1174105.9740102801</v>
      </c>
      <c r="Z26" s="4">
        <f t="shared" si="53"/>
        <v>2145976.8482454419</v>
      </c>
      <c r="AA26" s="4">
        <f t="shared" si="53"/>
        <v>3795568.0175133231</v>
      </c>
      <c r="AB26" s="4">
        <f t="shared" si="53"/>
        <v>4049486.1012792969</v>
      </c>
      <c r="AC26" s="4">
        <f t="shared" si="53"/>
        <v>4788581.4002805008</v>
      </c>
      <c r="AD26" s="4">
        <f t="shared" si="53"/>
        <v>5188053.6138455728</v>
      </c>
      <c r="AE26" s="4">
        <f t="shared" si="53"/>
        <v>5875393.0597581984</v>
      </c>
      <c r="AF26" s="4">
        <f t="shared" si="53"/>
        <v>6342179.5274747871</v>
      </c>
    </row>
    <row r="27" spans="2:95" s="2" customFormat="1" x14ac:dyDescent="0.2">
      <c r="B27" s="2" t="s">
        <v>24</v>
      </c>
      <c r="C27" s="4"/>
      <c r="D27" s="4"/>
      <c r="E27" s="4"/>
      <c r="F27" s="4">
        <v>1358</v>
      </c>
      <c r="G27" s="4">
        <v>809</v>
      </c>
      <c r="H27" s="4">
        <v>1150</v>
      </c>
      <c r="I27" s="4">
        <v>3727</v>
      </c>
      <c r="J27" s="4">
        <v>3719</v>
      </c>
      <c r="K27" s="4">
        <v>3040</v>
      </c>
      <c r="L27" s="4">
        <v>3167</v>
      </c>
      <c r="M27" s="4">
        <v>1784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T27" s="2">
        <v>136</v>
      </c>
      <c r="U27" s="2">
        <v>2588</v>
      </c>
      <c r="V27" s="2">
        <f t="shared" ref="V27" si="54">SUM(G27:J27)</f>
        <v>9405</v>
      </c>
      <c r="W27" s="2">
        <f>SUM(K27:N27)</f>
        <v>7991</v>
      </c>
      <c r="X27" s="2">
        <f t="shared" ref="X27" si="55">SUM(O27:R27)</f>
        <v>0</v>
      </c>
      <c r="Y27" s="2">
        <f t="shared" ref="Y27" si="56">SUM(P27:S27)</f>
        <v>0</v>
      </c>
      <c r="Z27" s="2">
        <f t="shared" ref="Z27" si="57">SUM(Q27:T27)</f>
        <v>136</v>
      </c>
      <c r="AA27" s="2">
        <f>+AA26*0.25</f>
        <v>948892.00437833078</v>
      </c>
      <c r="AB27" s="2">
        <f t="shared" ref="AB27:AF27" si="58">+AB26*0.25</f>
        <v>1012371.5253198242</v>
      </c>
      <c r="AC27" s="2">
        <f t="shared" si="58"/>
        <v>1197145.3500701252</v>
      </c>
      <c r="AD27" s="2">
        <f t="shared" si="58"/>
        <v>1297013.4034613932</v>
      </c>
      <c r="AE27" s="2">
        <f t="shared" si="58"/>
        <v>1468848.2649395496</v>
      </c>
      <c r="AF27" s="2">
        <f t="shared" si="58"/>
        <v>1585544.8818686968</v>
      </c>
    </row>
    <row r="28" spans="2:95" s="2" customFormat="1" x14ac:dyDescent="0.2">
      <c r="B28" s="2" t="s">
        <v>23</v>
      </c>
      <c r="C28" s="4"/>
      <c r="D28" s="4"/>
      <c r="E28" s="4"/>
      <c r="F28" s="4">
        <f t="shared" ref="F28:M28" si="59">+F26-F27</f>
        <v>-16264</v>
      </c>
      <c r="G28" s="4">
        <f t="shared" si="59"/>
        <v>-49800</v>
      </c>
      <c r="H28" s="4">
        <f t="shared" si="59"/>
        <v>-61900</v>
      </c>
      <c r="I28" s="4">
        <f t="shared" si="59"/>
        <v>-74708</v>
      </c>
      <c r="J28" s="4">
        <f t="shared" si="59"/>
        <v>-107629</v>
      </c>
      <c r="K28" s="4">
        <f t="shared" si="59"/>
        <v>-154181</v>
      </c>
      <c r="L28" s="4">
        <f t="shared" si="59"/>
        <v>-184227</v>
      </c>
      <c r="M28" s="4">
        <f t="shared" si="59"/>
        <v>-229858</v>
      </c>
      <c r="N28" s="4">
        <f t="shared" ref="N28" si="60">+N26-N27</f>
        <v>-101699.81736880296</v>
      </c>
      <c r="O28" s="4">
        <f t="shared" ref="O28" si="61">+O26-O27</f>
        <v>-45431.489984053944</v>
      </c>
      <c r="P28" s="4">
        <f t="shared" ref="P28" si="62">+P26-P27</f>
        <v>15886.565963195171</v>
      </c>
      <c r="Q28" s="4">
        <f t="shared" ref="Q28" si="63">+Q26-Q27</f>
        <v>66596.054401069239</v>
      </c>
      <c r="R28" s="4">
        <f t="shared" ref="R28" si="64">+R26-R27</f>
        <v>225292.71395409957</v>
      </c>
      <c r="T28" s="4">
        <f>+T26-T27</f>
        <v>-396213</v>
      </c>
      <c r="U28" s="4">
        <f>+U26-U27</f>
        <v>-74014</v>
      </c>
      <c r="V28" s="4">
        <f>+V26-V27</f>
        <v>-294037</v>
      </c>
      <c r="W28" s="4">
        <f>+W26-W27</f>
        <v>-880518.30571957817</v>
      </c>
      <c r="X28" s="4">
        <f>+X26-X27</f>
        <v>262343.84433430992</v>
      </c>
      <c r="Y28" s="4">
        <f t="shared" ref="Y28:AF28" si="65">+Y26-Y27</f>
        <v>1174105.9740102801</v>
      </c>
      <c r="Z28" s="4">
        <f t="shared" si="65"/>
        <v>2145840.8482454419</v>
      </c>
      <c r="AA28" s="4">
        <f t="shared" si="65"/>
        <v>2846676.0131349922</v>
      </c>
      <c r="AB28" s="4">
        <f t="shared" si="65"/>
        <v>3037114.5759594729</v>
      </c>
      <c r="AC28" s="4">
        <f t="shared" si="65"/>
        <v>3591436.0502103753</v>
      </c>
      <c r="AD28" s="4">
        <f t="shared" si="65"/>
        <v>3891040.2103841798</v>
      </c>
      <c r="AE28" s="4">
        <f t="shared" si="65"/>
        <v>4406544.7948186491</v>
      </c>
      <c r="AF28" s="4">
        <f t="shared" si="65"/>
        <v>4756634.6456060903</v>
      </c>
      <c r="AG28" s="2">
        <f t="shared" ref="AG28:BL28" si="66">+AF28*(1+$AK$36)</f>
        <v>4709068.2991500292</v>
      </c>
      <c r="AH28" s="2">
        <f t="shared" si="66"/>
        <v>4661977.6161585292</v>
      </c>
      <c r="AI28" s="2">
        <f t="shared" si="66"/>
        <v>4615357.8399969442</v>
      </c>
      <c r="AJ28" s="2">
        <f t="shared" si="66"/>
        <v>4569204.2615969749</v>
      </c>
      <c r="AK28" s="2">
        <f t="shared" si="66"/>
        <v>4523512.2189810053</v>
      </c>
      <c r="AL28" s="2">
        <f t="shared" si="66"/>
        <v>4478277.0967911948</v>
      </c>
      <c r="AM28" s="2">
        <f t="shared" si="66"/>
        <v>4433494.3258232828</v>
      </c>
      <c r="AN28" s="2">
        <f t="shared" si="66"/>
        <v>4389159.3825650504</v>
      </c>
      <c r="AO28" s="2">
        <f t="shared" si="66"/>
        <v>4345267.7887394</v>
      </c>
      <c r="AP28" s="2">
        <f t="shared" si="66"/>
        <v>4301815.1108520059</v>
      </c>
      <c r="AQ28" s="2">
        <f t="shared" si="66"/>
        <v>4258796.9597434858</v>
      </c>
      <c r="AR28" s="2">
        <f t="shared" si="66"/>
        <v>4216208.9901460512</v>
      </c>
      <c r="AS28" s="2">
        <f t="shared" si="66"/>
        <v>4174046.9002445908</v>
      </c>
      <c r="AT28" s="2">
        <f t="shared" si="66"/>
        <v>4132306.4312421447</v>
      </c>
      <c r="AU28" s="2">
        <f t="shared" si="66"/>
        <v>4090983.3669297234</v>
      </c>
      <c r="AV28" s="2">
        <f t="shared" si="66"/>
        <v>4050073.533260426</v>
      </c>
      <c r="AW28" s="2">
        <f t="shared" si="66"/>
        <v>4009572.7979278215</v>
      </c>
      <c r="AX28" s="2">
        <f t="shared" si="66"/>
        <v>3969477.0699485433</v>
      </c>
      <c r="AY28" s="2">
        <f t="shared" si="66"/>
        <v>3929782.2992490577</v>
      </c>
      <c r="AZ28" s="2">
        <f t="shared" si="66"/>
        <v>3890484.4762565671</v>
      </c>
      <c r="BA28" s="2">
        <f t="shared" si="66"/>
        <v>3851579.6314940015</v>
      </c>
      <c r="BB28" s="2">
        <f t="shared" si="66"/>
        <v>3813063.8351790616</v>
      </c>
      <c r="BC28" s="2">
        <f t="shared" si="66"/>
        <v>3774933.196827271</v>
      </c>
      <c r="BD28" s="2">
        <f t="shared" si="66"/>
        <v>3737183.8648589985</v>
      </c>
      <c r="BE28" s="2">
        <f t="shared" si="66"/>
        <v>3699812.0262104087</v>
      </c>
      <c r="BF28" s="2">
        <f t="shared" si="66"/>
        <v>3662813.9059483046</v>
      </c>
      <c r="BG28" s="2">
        <f t="shared" si="66"/>
        <v>3626185.7668888215</v>
      </c>
      <c r="BH28" s="2">
        <f t="shared" si="66"/>
        <v>3589923.9092199332</v>
      </c>
      <c r="BI28" s="2">
        <f t="shared" si="66"/>
        <v>3554024.6701277341</v>
      </c>
      <c r="BJ28" s="2">
        <f t="shared" si="66"/>
        <v>3518484.4234264567</v>
      </c>
      <c r="BK28" s="2">
        <f t="shared" si="66"/>
        <v>3483299.5791921923</v>
      </c>
      <c r="BL28" s="2">
        <f t="shared" si="66"/>
        <v>3448466.5834002704</v>
      </c>
      <c r="BM28" s="2">
        <f t="shared" ref="BM28:CQ28" si="67">+BL28*(1+$AK$36)</f>
        <v>3413981.9175662678</v>
      </c>
      <c r="BN28" s="2">
        <f t="shared" si="67"/>
        <v>3379842.0983906048</v>
      </c>
      <c r="BO28" s="2">
        <f t="shared" si="67"/>
        <v>3346043.6774066989</v>
      </c>
      <c r="BP28" s="2">
        <f t="shared" si="67"/>
        <v>3312583.2406326318</v>
      </c>
      <c r="BQ28" s="2">
        <f t="shared" si="67"/>
        <v>3279457.4082263056</v>
      </c>
      <c r="BR28" s="2">
        <f t="shared" si="67"/>
        <v>3246662.8341440423</v>
      </c>
      <c r="BS28" s="2">
        <f t="shared" si="67"/>
        <v>3214196.2058026018</v>
      </c>
      <c r="BT28" s="2">
        <f t="shared" si="67"/>
        <v>3182054.2437445759</v>
      </c>
      <c r="BU28" s="2">
        <f t="shared" si="67"/>
        <v>3150233.70130713</v>
      </c>
      <c r="BV28" s="2">
        <f t="shared" si="67"/>
        <v>3118731.3642940586</v>
      </c>
      <c r="BW28" s="2">
        <f t="shared" si="67"/>
        <v>3087544.0506511182</v>
      </c>
      <c r="BX28" s="2">
        <f t="shared" si="67"/>
        <v>3056668.6101446068</v>
      </c>
      <c r="BY28" s="2">
        <f t="shared" si="67"/>
        <v>3026101.9240431609</v>
      </c>
      <c r="BZ28" s="2">
        <f t="shared" si="67"/>
        <v>2995840.9048027294</v>
      </c>
      <c r="CA28" s="2">
        <f t="shared" si="67"/>
        <v>2965882.495754702</v>
      </c>
      <c r="CB28" s="2">
        <f t="shared" si="67"/>
        <v>2936223.6707971548</v>
      </c>
      <c r="CC28" s="2">
        <f t="shared" si="67"/>
        <v>2906861.4340891833</v>
      </c>
      <c r="CD28" s="2">
        <f t="shared" si="67"/>
        <v>2877792.8197482913</v>
      </c>
      <c r="CE28" s="2">
        <f t="shared" si="67"/>
        <v>2849014.8915508082</v>
      </c>
      <c r="CF28" s="2">
        <f t="shared" si="67"/>
        <v>2820524.7426352999</v>
      </c>
      <c r="CG28" s="2">
        <f t="shared" si="67"/>
        <v>2792319.495208947</v>
      </c>
      <c r="CH28" s="2">
        <f t="shared" si="67"/>
        <v>2764396.3002568576</v>
      </c>
      <c r="CI28" s="2">
        <f t="shared" si="67"/>
        <v>2736752.3372542891</v>
      </c>
      <c r="CJ28" s="2">
        <f t="shared" si="67"/>
        <v>2709384.813881746</v>
      </c>
      <c r="CK28" s="2">
        <f t="shared" si="67"/>
        <v>2682290.9657429284</v>
      </c>
      <c r="CL28" s="2">
        <f t="shared" si="67"/>
        <v>2655468.056085499</v>
      </c>
      <c r="CM28" s="2">
        <f t="shared" si="67"/>
        <v>2628913.3755246438</v>
      </c>
      <c r="CN28" s="2">
        <f t="shared" si="67"/>
        <v>2602624.2417693972</v>
      </c>
      <c r="CO28" s="2">
        <f t="shared" si="67"/>
        <v>2576597.9993517031</v>
      </c>
      <c r="CP28" s="2">
        <f t="shared" si="67"/>
        <v>2550832.0193581861</v>
      </c>
      <c r="CQ28" s="2">
        <f t="shared" si="67"/>
        <v>2525323.6991646043</v>
      </c>
    </row>
    <row r="29" spans="2:95" s="2" customFormat="1" x14ac:dyDescent="0.2">
      <c r="B29" s="2" t="s">
        <v>22</v>
      </c>
      <c r="C29" s="4"/>
      <c r="D29" s="4"/>
      <c r="E29" s="4"/>
      <c r="F29" s="5">
        <f t="shared" ref="F29:M29" si="68">+F28/F30</f>
        <v>-0.13244083972573736</v>
      </c>
      <c r="G29" s="5">
        <f t="shared" si="68"/>
        <v>-0.40332775526188436</v>
      </c>
      <c r="H29" s="5">
        <f t="shared" si="68"/>
        <v>-0.49818741871858985</v>
      </c>
      <c r="I29" s="5">
        <f t="shared" si="68"/>
        <v>-0.5980898399660558</v>
      </c>
      <c r="J29" s="5">
        <f t="shared" si="68"/>
        <v>-0.85762209455206095</v>
      </c>
      <c r="K29" s="5">
        <f t="shared" si="68"/>
        <v>-1.2241769942333602</v>
      </c>
      <c r="L29" s="5">
        <f t="shared" si="68"/>
        <v>-1.4541701037317794</v>
      </c>
      <c r="M29" s="5">
        <f t="shared" si="68"/>
        <v>-1.7817620885850272</v>
      </c>
      <c r="N29" s="5">
        <f t="shared" ref="N29" si="69">+N28/N30</f>
        <v>-0.78833401057937591</v>
      </c>
      <c r="O29" s="5">
        <f t="shared" ref="O29" si="70">+O28/O30</f>
        <v>-0.35216571309903372</v>
      </c>
      <c r="P29" s="5">
        <f t="shared" ref="P29" si="71">+P28/P30</f>
        <v>0.123145946414858</v>
      </c>
      <c r="Q29" s="5">
        <f t="shared" ref="Q29" si="72">+Q28/Q30</f>
        <v>0.51622447328860088</v>
      </c>
      <c r="R29" s="5">
        <f t="shared" ref="R29" si="73">+R28/R30</f>
        <v>1.7463739202370399</v>
      </c>
      <c r="T29" s="5">
        <f>+T28/T30</f>
        <v>-3.6908802700957555</v>
      </c>
      <c r="U29" s="5">
        <f>+U28/U30</f>
        <v>-0.61977159305784135</v>
      </c>
      <c r="V29" s="5">
        <f>+V28/V30</f>
        <v>-2.3739645513596996</v>
      </c>
      <c r="W29" s="5">
        <f>+W28/W30</f>
        <v>-6.8972702888746111</v>
      </c>
      <c r="X29" s="5">
        <f>+X28/X30</f>
        <v>2.033578626841464</v>
      </c>
      <c r="Y29" s="5">
        <f t="shared" ref="Y29:AF29" si="74">+Y28/Y30</f>
        <v>9.1011733873639997</v>
      </c>
      <c r="Z29" s="5">
        <f t="shared" si="74"/>
        <v>16.633651521986899</v>
      </c>
      <c r="AA29" s="5">
        <f t="shared" si="74"/>
        <v>22.066229579515621</v>
      </c>
      <c r="AB29" s="5">
        <f t="shared" si="74"/>
        <v>23.542428847956476</v>
      </c>
      <c r="AC29" s="5">
        <f t="shared" si="74"/>
        <v>27.839294685598929</v>
      </c>
      <c r="AD29" s="5">
        <f t="shared" si="74"/>
        <v>30.161699536333039</v>
      </c>
      <c r="AE29" s="5">
        <f t="shared" si="74"/>
        <v>34.157673246350164</v>
      </c>
      <c r="AF29" s="5">
        <f t="shared" si="74"/>
        <v>36.871421837791189</v>
      </c>
    </row>
    <row r="30" spans="2:95" s="2" customFormat="1" x14ac:dyDescent="0.2">
      <c r="B30" s="2" t="s">
        <v>1</v>
      </c>
      <c r="C30" s="4"/>
      <c r="D30" s="4"/>
      <c r="E30" s="4"/>
      <c r="F30" s="4">
        <v>122802</v>
      </c>
      <c r="G30" s="4">
        <v>123472.78200000001</v>
      </c>
      <c r="H30" s="4">
        <v>124250.428</v>
      </c>
      <c r="I30" s="4">
        <v>124911</v>
      </c>
      <c r="J30" s="4">
        <v>125497</v>
      </c>
      <c r="K30" s="4">
        <v>125946.65700000001</v>
      </c>
      <c r="L30" s="4">
        <v>126688.755</v>
      </c>
      <c r="M30" s="4">
        <v>129006</v>
      </c>
      <c r="N30" s="4">
        <f>+M30</f>
        <v>129006</v>
      </c>
      <c r="O30" s="4">
        <f>+N30</f>
        <v>129006</v>
      </c>
      <c r="P30" s="4">
        <f>+O30</f>
        <v>129006</v>
      </c>
      <c r="Q30" s="4">
        <f>+P30</f>
        <v>129006</v>
      </c>
      <c r="R30" s="4">
        <f t="shared" ref="R30" si="75">+Q30</f>
        <v>129006</v>
      </c>
      <c r="T30" s="4">
        <v>107349.18799999999</v>
      </c>
      <c r="U30" s="4">
        <v>119421.414</v>
      </c>
      <c r="V30" s="4">
        <f>AVERAGE(F30:I30)</f>
        <v>123859.05250000001</v>
      </c>
      <c r="W30" s="4">
        <f>AVERAGE(K30:N30)</f>
        <v>127661.853</v>
      </c>
      <c r="X30" s="4">
        <f>AVERAGE(O30:R30)</f>
        <v>129006</v>
      </c>
      <c r="Y30" s="4">
        <f>+X30</f>
        <v>129006</v>
      </c>
      <c r="Z30" s="4">
        <f t="shared" ref="Z30:AF30" si="76">+Y30</f>
        <v>129006</v>
      </c>
      <c r="AA30" s="4">
        <f t="shared" si="76"/>
        <v>129006</v>
      </c>
      <c r="AB30" s="4">
        <f t="shared" si="76"/>
        <v>129006</v>
      </c>
      <c r="AC30" s="4">
        <f t="shared" si="76"/>
        <v>129006</v>
      </c>
      <c r="AD30" s="4">
        <f t="shared" si="76"/>
        <v>129006</v>
      </c>
      <c r="AE30" s="4">
        <f t="shared" si="76"/>
        <v>129006</v>
      </c>
      <c r="AF30" s="4">
        <f t="shared" si="76"/>
        <v>129006</v>
      </c>
    </row>
    <row r="32" spans="2:95" x14ac:dyDescent="0.2">
      <c r="B32" s="2" t="s">
        <v>53</v>
      </c>
      <c r="K32" s="4">
        <f t="shared" ref="K32:L32" si="77">K14*1000/K11</f>
        <v>80046.594982078852</v>
      </c>
      <c r="L32" s="4">
        <f t="shared" si="77"/>
        <v>68563.2857031311</v>
      </c>
      <c r="M32" s="4">
        <f>M14*1000/M11</f>
        <v>65125.276907799249</v>
      </c>
      <c r="N32" s="4">
        <f>+M32</f>
        <v>65125.276907799249</v>
      </c>
      <c r="O32" s="4">
        <f t="shared" ref="O32:R32" si="78">+N32</f>
        <v>65125.276907799249</v>
      </c>
      <c r="P32" s="4">
        <f t="shared" si="78"/>
        <v>65125.276907799249</v>
      </c>
      <c r="Q32" s="4">
        <f t="shared" si="78"/>
        <v>65125.276907799249</v>
      </c>
      <c r="R32" s="4">
        <f t="shared" si="78"/>
        <v>65125.276907799249</v>
      </c>
      <c r="W32" s="2">
        <f>+N32</f>
        <v>65125.276907799249</v>
      </c>
      <c r="X32" s="2">
        <f>+R32</f>
        <v>65125.276907799249</v>
      </c>
      <c r="Y32" s="2">
        <f>+X32*0.95</f>
        <v>61869.013062409285</v>
      </c>
      <c r="Z32" s="2">
        <f t="shared" ref="Z32:AF32" si="79">+Y32*0.95</f>
        <v>58775.562409288817</v>
      </c>
      <c r="AA32" s="2">
        <f t="shared" si="79"/>
        <v>55836.784288824376</v>
      </c>
      <c r="AB32" s="2">
        <f t="shared" si="79"/>
        <v>53044.945074383155</v>
      </c>
      <c r="AC32" s="2">
        <f t="shared" si="79"/>
        <v>50392.697820663998</v>
      </c>
      <c r="AD32" s="2">
        <f t="shared" si="79"/>
        <v>47873.062929630796</v>
      </c>
      <c r="AE32" s="2">
        <f t="shared" si="79"/>
        <v>45479.409783149255</v>
      </c>
      <c r="AF32" s="2">
        <f t="shared" si="79"/>
        <v>43205.439293991789</v>
      </c>
    </row>
    <row r="35" spans="2:37" x14ac:dyDescent="0.2">
      <c r="B35" s="2" t="s">
        <v>43</v>
      </c>
      <c r="J35" s="8">
        <f t="shared" ref="J35:L35" si="80">J14/F14-1</f>
        <v>0.56611186688734239</v>
      </c>
      <c r="K35" s="8">
        <f t="shared" si="80"/>
        <v>0.51700457315778836</v>
      </c>
      <c r="L35" s="8">
        <f t="shared" si="80"/>
        <v>0.20645096581752043</v>
      </c>
      <c r="M35" s="8">
        <f>M14/I14-1</f>
        <v>6.5806991992899189E-2</v>
      </c>
      <c r="N35" s="16">
        <f t="shared" ref="N35:R35" si="81">N14/J14-1</f>
        <v>8.9209689247066626E-2</v>
      </c>
      <c r="O35" s="16">
        <f t="shared" si="81"/>
        <v>0.53095286690523458</v>
      </c>
      <c r="P35" s="16">
        <f t="shared" si="81"/>
        <v>0.92834128574836372</v>
      </c>
      <c r="Q35" s="16">
        <f t="shared" si="81"/>
        <v>1.3680391108395082</v>
      </c>
      <c r="R35" s="16">
        <f t="shared" si="81"/>
        <v>1.25</v>
      </c>
      <c r="T35" s="29"/>
      <c r="U35" s="29">
        <f t="shared" ref="U35:V35" si="82">U14/T14-1</f>
        <v>4.1796504528142409</v>
      </c>
      <c r="V35" s="29">
        <f t="shared" si="82"/>
        <v>0.53834094342437089</v>
      </c>
      <c r="W35" s="29">
        <f>W14/V14-1</f>
        <v>0.12434319018988615</v>
      </c>
      <c r="X35" s="20">
        <f t="shared" ref="X35:AF35" si="83">X14/W14-1</f>
        <v>1.1485921067511025</v>
      </c>
      <c r="Y35" s="20">
        <f t="shared" si="83"/>
        <v>0.42499999999999982</v>
      </c>
      <c r="Z35" s="20">
        <f t="shared" si="83"/>
        <v>0.42500000000000004</v>
      </c>
      <c r="AA35" s="20">
        <f t="shared" si="83"/>
        <v>0.42500000000000004</v>
      </c>
      <c r="AB35" s="20">
        <f t="shared" si="83"/>
        <v>4.4999999999999929E-2</v>
      </c>
      <c r="AC35" s="20">
        <f t="shared" si="83"/>
        <v>4.5000000000000151E-2</v>
      </c>
      <c r="AD35" s="20">
        <f t="shared" si="83"/>
        <v>4.5000000000000151E-2</v>
      </c>
      <c r="AE35" s="20">
        <f t="shared" si="83"/>
        <v>4.5000000000000151E-2</v>
      </c>
      <c r="AF35" s="20">
        <f t="shared" si="83"/>
        <v>4.4999999999999929E-2</v>
      </c>
      <c r="AJ35" t="s">
        <v>50</v>
      </c>
      <c r="AK35" s="15">
        <v>0.03</v>
      </c>
    </row>
    <row r="36" spans="2:37" s="13" customFormat="1" x14ac:dyDescent="0.2">
      <c r="B36" s="6" t="s">
        <v>41</v>
      </c>
      <c r="C36" s="10"/>
      <c r="D36" s="10"/>
      <c r="E36" s="10"/>
      <c r="F36" s="10"/>
      <c r="G36" s="10"/>
      <c r="H36" s="10"/>
      <c r="I36" s="10"/>
      <c r="J36" s="9">
        <f>+J16/F16-1</f>
        <v>0.55499261238680853</v>
      </c>
      <c r="K36" s="9">
        <f>+K16/G16-1</f>
        <v>0.51461142033899399</v>
      </c>
      <c r="L36" s="9">
        <f>+L16/H16-1</f>
        <v>0.24127801556900708</v>
      </c>
      <c r="M36" s="9">
        <f>+M16/I16-1</f>
        <v>9.9770604505261762E-2</v>
      </c>
      <c r="N36" s="17">
        <f t="shared" ref="N36:R36" si="84">+N16/J16-1</f>
        <v>0.18166218809462076</v>
      </c>
      <c r="O36" s="17">
        <f t="shared" si="84"/>
        <v>0.55392050055728848</v>
      </c>
      <c r="P36" s="17">
        <f t="shared" si="84"/>
        <v>0.87519747496563327</v>
      </c>
      <c r="Q36" s="17">
        <f t="shared" si="84"/>
        <v>1.2644058988782714</v>
      </c>
      <c r="R36" s="17">
        <f t="shared" si="84"/>
        <v>1.1690618662480055</v>
      </c>
      <c r="S36" s="11"/>
      <c r="T36" s="11"/>
      <c r="U36" s="27">
        <f>U16/T16-1</f>
        <v>3.8722728768608317</v>
      </c>
      <c r="V36" s="27">
        <f>V16/U16-1</f>
        <v>0.58845907814070642</v>
      </c>
      <c r="W36" s="27">
        <f>W16/V16-1</f>
        <v>0.17295968371688852</v>
      </c>
      <c r="X36" s="19">
        <f t="shared" ref="X36:AF36" si="85">X16/W16-1</f>
        <v>1.0856897915474373</v>
      </c>
      <c r="Y36" s="19">
        <f t="shared" si="85"/>
        <v>0.40837431122981194</v>
      </c>
      <c r="Z36" s="19">
        <f t="shared" si="85"/>
        <v>0.41201463275680128</v>
      </c>
      <c r="AA36" s="19">
        <f t="shared" si="85"/>
        <v>0.41488402553617232</v>
      </c>
      <c r="AB36" s="19">
        <f t="shared" si="85"/>
        <v>4.6330941278612592E-2</v>
      </c>
      <c r="AC36" s="19">
        <f t="shared" si="85"/>
        <v>4.6399208748127752E-2</v>
      </c>
      <c r="AD36" s="19">
        <f t="shared" si="85"/>
        <v>4.6470881868099001E-2</v>
      </c>
      <c r="AE36" s="19">
        <f t="shared" si="85"/>
        <v>4.6546120473051733E-2</v>
      </c>
      <c r="AF36" s="19">
        <f t="shared" si="85"/>
        <v>4.6625090846056594E-2</v>
      </c>
      <c r="AJ36" s="13" t="s">
        <v>44</v>
      </c>
      <c r="AK36" s="14">
        <v>-0.01</v>
      </c>
    </row>
    <row r="37" spans="2:37" x14ac:dyDescent="0.2">
      <c r="B37" s="2" t="s">
        <v>42</v>
      </c>
      <c r="F37" s="8">
        <f t="shared" ref="F37:J37" si="86">+F20/F16</f>
        <v>0.25452724964606099</v>
      </c>
      <c r="G37" s="8">
        <f t="shared" si="86"/>
        <v>0.24998791379149196</v>
      </c>
      <c r="H37" s="8">
        <f t="shared" si="86"/>
        <v>0.276850948009291</v>
      </c>
      <c r="I37" s="8">
        <f t="shared" si="86"/>
        <v>0.29566778272936028</v>
      </c>
      <c r="J37" s="8">
        <f t="shared" si="86"/>
        <v>0.27355249142590737</v>
      </c>
      <c r="K37" s="8">
        <f>+K20/K16</f>
        <v>0.27670872877388603</v>
      </c>
      <c r="L37" s="8">
        <f>+L20/L16</f>
        <v>0.22342969875682739</v>
      </c>
      <c r="M37" s="8">
        <f>+M20/M16</f>
        <v>0.24711647980495074</v>
      </c>
      <c r="N37" s="16">
        <f t="shared" ref="N37:Q37" si="87">+N20/N16</f>
        <v>0.25</v>
      </c>
      <c r="O37" s="16">
        <f t="shared" si="87"/>
        <v>0.25</v>
      </c>
      <c r="P37" s="16">
        <f t="shared" si="87"/>
        <v>0.25</v>
      </c>
      <c r="Q37" s="16">
        <f t="shared" si="87"/>
        <v>0.25</v>
      </c>
      <c r="R37" s="16">
        <f t="shared" ref="R37" si="88">+R20/R16</f>
        <v>0.25</v>
      </c>
      <c r="T37" s="28">
        <f t="shared" ref="T37:AF37" si="89">+T20/T16</f>
        <v>7.2756354414696939E-2</v>
      </c>
      <c r="U37" s="28">
        <f t="shared" si="89"/>
        <v>0.22660189044328868</v>
      </c>
      <c r="V37" s="28">
        <f t="shared" si="89"/>
        <v>0.27566380978227567</v>
      </c>
      <c r="W37" s="28">
        <f t="shared" si="89"/>
        <v>0.207114544173261</v>
      </c>
      <c r="X37" s="16">
        <f t="shared" si="89"/>
        <v>0.25000000000000006</v>
      </c>
      <c r="Y37" s="16">
        <f t="shared" si="89"/>
        <v>0.26</v>
      </c>
      <c r="Z37" s="16">
        <f t="shared" si="89"/>
        <v>0.26</v>
      </c>
      <c r="AA37" s="16">
        <f t="shared" si="89"/>
        <v>0.27</v>
      </c>
      <c r="AB37" s="16">
        <f t="shared" si="89"/>
        <v>0.27</v>
      </c>
      <c r="AC37" s="16">
        <f t="shared" si="89"/>
        <v>0.28000000000000003</v>
      </c>
      <c r="AD37" s="16">
        <f t="shared" si="89"/>
        <v>0.28000000000000003</v>
      </c>
      <c r="AE37" s="16">
        <f t="shared" si="89"/>
        <v>0.28999999999999998</v>
      </c>
      <c r="AF37" s="16">
        <f t="shared" si="89"/>
        <v>0.28999999999999998</v>
      </c>
      <c r="AJ37" t="s">
        <v>45</v>
      </c>
      <c r="AK37" s="31">
        <v>0.115</v>
      </c>
    </row>
    <row r="38" spans="2:37" x14ac:dyDescent="0.2">
      <c r="AJ38" t="s">
        <v>46</v>
      </c>
      <c r="AK38" s="2">
        <f>NPV(AK37,X28:CQ28)+(Main!K5*1000)-(Main!K6*1000)</f>
        <v>26353524.331384029</v>
      </c>
    </row>
    <row r="39" spans="2:37" x14ac:dyDescent="0.2">
      <c r="AJ39" t="s">
        <v>47</v>
      </c>
      <c r="AK39" s="1">
        <f>AK38/(Main!K3*1000)</f>
        <v>207.27606818991367</v>
      </c>
    </row>
    <row r="40" spans="2:37" x14ac:dyDescent="0.2">
      <c r="B40" t="s">
        <v>78</v>
      </c>
      <c r="G40" s="4">
        <f>G42-G57</f>
        <v>481328</v>
      </c>
      <c r="H40" s="4">
        <f t="shared" ref="H40:J40" si="90">H42-H57</f>
        <v>333135</v>
      </c>
      <c r="I40" s="4">
        <f t="shared" si="90"/>
        <v>12895</v>
      </c>
      <c r="J40" s="4">
        <f t="shared" si="90"/>
        <v>-473050</v>
      </c>
      <c r="K40" s="4">
        <f>K42-K57</f>
        <v>-964767</v>
      </c>
      <c r="L40" s="4">
        <f>L42-L57</f>
        <v>-1429213</v>
      </c>
      <c r="M40" s="4">
        <f>+L40+M28</f>
        <v>-1659071</v>
      </c>
      <c r="N40" s="4">
        <f t="shared" ref="N40:R40" si="91">+M40+N28</f>
        <v>-1760770.8173688031</v>
      </c>
      <c r="O40" s="4">
        <f t="shared" si="91"/>
        <v>-1806202.307352857</v>
      </c>
      <c r="P40" s="4">
        <f t="shared" si="91"/>
        <v>-1790315.7413896618</v>
      </c>
      <c r="Q40" s="4">
        <f t="shared" si="91"/>
        <v>-1723719.6869885926</v>
      </c>
      <c r="R40" s="4">
        <f t="shared" si="91"/>
        <v>-1498426.9730344932</v>
      </c>
      <c r="X40" s="2">
        <f>+R40</f>
        <v>-1498426.9730344932</v>
      </c>
      <c r="Y40" s="2">
        <f>+X40+Y28</f>
        <v>-324320.99902421306</v>
      </c>
      <c r="Z40" s="2">
        <f t="shared" ref="Z40:AF40" si="92">+Y40+Z28</f>
        <v>1821519.8492212289</v>
      </c>
      <c r="AA40" s="2">
        <f t="shared" si="92"/>
        <v>4668195.8623562213</v>
      </c>
      <c r="AB40" s="2">
        <f t="shared" si="92"/>
        <v>7705310.4383156942</v>
      </c>
      <c r="AC40" s="2">
        <f t="shared" si="92"/>
        <v>11296746.488526069</v>
      </c>
      <c r="AD40" s="2">
        <f t="shared" si="92"/>
        <v>15187786.698910248</v>
      </c>
      <c r="AE40" s="2">
        <f t="shared" si="92"/>
        <v>19594331.493728898</v>
      </c>
      <c r="AF40" s="2">
        <f t="shared" si="92"/>
        <v>24350966.139334988</v>
      </c>
      <c r="AJ40" s="2" t="s">
        <v>48</v>
      </c>
      <c r="AK40" s="15">
        <f>AK39/Main!K2-1</f>
        <v>-3.4804413946457613E-3</v>
      </c>
    </row>
    <row r="41" spans="2:37" x14ac:dyDescent="0.2">
      <c r="AI41" s="1"/>
    </row>
    <row r="42" spans="2:37" s="2" customFormat="1" x14ac:dyDescent="0.2">
      <c r="B42" s="2" t="s">
        <v>3</v>
      </c>
      <c r="C42" s="4"/>
      <c r="D42" s="4"/>
      <c r="E42" s="4"/>
      <c r="F42" s="4"/>
      <c r="G42" s="4">
        <f>2393908+189111+1049+7102</f>
        <v>2591170</v>
      </c>
      <c r="H42" s="4">
        <f>2674910+11714+7247</f>
        <v>2693871</v>
      </c>
      <c r="I42" s="4">
        <f>2370735+17331+9090</f>
        <v>2397156</v>
      </c>
      <c r="J42" s="4">
        <f>1905713+17947+11374</f>
        <v>1935034</v>
      </c>
      <c r="K42" s="4">
        <f>1510076+20693+13846</f>
        <v>1544615</v>
      </c>
      <c r="L42" s="4">
        <f>1150673+20591+19774</f>
        <v>1191038</v>
      </c>
      <c r="M42" s="2">
        <f>1426036+25223+26355</f>
        <v>1477614</v>
      </c>
      <c r="N42" s="4"/>
      <c r="O42" s="4"/>
      <c r="P42" s="4"/>
      <c r="Q42" s="4"/>
      <c r="R42" s="4"/>
    </row>
    <row r="43" spans="2:37" s="2" customFormat="1" x14ac:dyDescent="0.2">
      <c r="B43" s="2" t="s">
        <v>61</v>
      </c>
      <c r="C43" s="4"/>
      <c r="D43" s="4"/>
      <c r="E43" s="4"/>
      <c r="F43" s="4"/>
      <c r="G43" s="4">
        <v>72380</v>
      </c>
      <c r="H43" s="4">
        <v>96607</v>
      </c>
      <c r="I43" s="4">
        <v>156889</v>
      </c>
      <c r="J43" s="4">
        <v>226604</v>
      </c>
      <c r="K43" s="4">
        <v>200052</v>
      </c>
      <c r="L43" s="4">
        <v>138648</v>
      </c>
      <c r="M43" s="2">
        <v>119964</v>
      </c>
      <c r="N43" s="4"/>
      <c r="O43" s="4"/>
      <c r="P43" s="4"/>
      <c r="Q43" s="4"/>
      <c r="R43" s="4"/>
    </row>
    <row r="44" spans="2:37" s="2" customFormat="1" x14ac:dyDescent="0.2">
      <c r="B44" s="2" t="s">
        <v>62</v>
      </c>
      <c r="C44" s="4"/>
      <c r="D44" s="4"/>
      <c r="E44" s="4"/>
      <c r="F44" s="4"/>
      <c r="G44" s="4">
        <v>450730</v>
      </c>
      <c r="H44" s="4">
        <v>596927</v>
      </c>
      <c r="I44" s="4">
        <v>752492</v>
      </c>
      <c r="J44" s="4">
        <v>953675</v>
      </c>
      <c r="K44" s="4">
        <v>1054840</v>
      </c>
      <c r="L44" s="4">
        <v>1212279</v>
      </c>
      <c r="M44" s="2">
        <v>1293717</v>
      </c>
      <c r="N44" s="4"/>
      <c r="O44" s="4"/>
      <c r="P44" s="4"/>
      <c r="Q44" s="4"/>
      <c r="R44" s="4"/>
    </row>
    <row r="45" spans="2:37" s="2" customFormat="1" x14ac:dyDescent="0.2">
      <c r="B45" s="2" t="s">
        <v>63</v>
      </c>
      <c r="C45" s="4"/>
      <c r="D45" s="4"/>
      <c r="E45" s="4"/>
      <c r="F45" s="4"/>
      <c r="G45" s="4">
        <v>48869</v>
      </c>
      <c r="H45" s="4">
        <v>61536</v>
      </c>
      <c r="I45" s="4">
        <v>65467</v>
      </c>
      <c r="J45" s="4">
        <v>94718</v>
      </c>
      <c r="K45" s="4">
        <v>135756</v>
      </c>
      <c r="L45" s="4">
        <v>106430</v>
      </c>
      <c r="M45" s="2">
        <v>133855</v>
      </c>
      <c r="N45" s="4"/>
      <c r="O45" s="4"/>
      <c r="P45" s="4"/>
      <c r="Q45" s="4"/>
      <c r="R45" s="4"/>
    </row>
    <row r="46" spans="2:37" s="2" customFormat="1" x14ac:dyDescent="0.2">
      <c r="B46" s="2" t="s">
        <v>64</v>
      </c>
      <c r="C46" s="4"/>
      <c r="D46" s="4"/>
      <c r="E46" s="4"/>
      <c r="F46" s="4"/>
      <c r="G46" s="4">
        <v>451729</v>
      </c>
      <c r="H46" s="4">
        <v>531226</v>
      </c>
      <c r="I46" s="4">
        <v>617743</v>
      </c>
      <c r="J46" s="4">
        <v>766744</v>
      </c>
      <c r="K46" s="4">
        <v>912061</v>
      </c>
      <c r="L46" s="4">
        <v>1120246</v>
      </c>
      <c r="M46" s="2">
        <v>1360725</v>
      </c>
      <c r="N46" s="4"/>
      <c r="O46" s="4"/>
      <c r="P46" s="4"/>
      <c r="Q46" s="4"/>
      <c r="R46" s="4"/>
    </row>
    <row r="47" spans="2:37" s="12" customFormat="1" x14ac:dyDescent="0.2">
      <c r="B47" s="12" t="s">
        <v>65</v>
      </c>
      <c r="C47" s="22"/>
      <c r="D47" s="22"/>
      <c r="E47" s="22"/>
      <c r="F47" s="22"/>
      <c r="G47" s="22">
        <v>849389</v>
      </c>
      <c r="H47" s="22">
        <v>1035822</v>
      </c>
      <c r="I47" s="22">
        <v>1404326</v>
      </c>
      <c r="J47" s="22">
        <v>1829267</v>
      </c>
      <c r="K47" s="22">
        <v>2224191</v>
      </c>
      <c r="L47" s="22">
        <v>2646017</v>
      </c>
      <c r="M47" s="12">
        <v>3103811</v>
      </c>
      <c r="N47" s="22"/>
      <c r="O47" s="22"/>
      <c r="P47" s="22"/>
      <c r="Q47" s="22"/>
      <c r="R47" s="22"/>
    </row>
    <row r="48" spans="2:37" s="2" customFormat="1" x14ac:dyDescent="0.2">
      <c r="B48" s="2" t="s">
        <v>66</v>
      </c>
      <c r="C48" s="4"/>
      <c r="D48" s="4"/>
      <c r="E48" s="4"/>
      <c r="F48" s="4"/>
      <c r="G48" s="4">
        <v>36143</v>
      </c>
      <c r="H48" s="4">
        <v>38474</v>
      </c>
      <c r="I48" s="4">
        <v>43460</v>
      </c>
      <c r="J48" s="4">
        <v>43209</v>
      </c>
      <c r="K48" s="4">
        <v>48515</v>
      </c>
      <c r="L48" s="4">
        <v>53527</v>
      </c>
      <c r="M48" s="2">
        <v>57811</v>
      </c>
      <c r="N48" s="4"/>
      <c r="O48" s="4"/>
      <c r="P48" s="4"/>
      <c r="Q48" s="4"/>
      <c r="R48" s="4"/>
    </row>
    <row r="49" spans="2:18" s="2" customFormat="1" x14ac:dyDescent="0.2">
      <c r="B49" s="2" t="s">
        <v>67</v>
      </c>
      <c r="C49" s="4"/>
      <c r="D49" s="4"/>
      <c r="E49" s="4"/>
      <c r="F49" s="4"/>
      <c r="G49" s="4">
        <f t="shared" ref="G49:M49" si="93">SUM(G42:G48)</f>
        <v>4500410</v>
      </c>
      <c r="H49" s="4">
        <f t="shared" si="93"/>
        <v>5054463</v>
      </c>
      <c r="I49" s="4">
        <f t="shared" si="93"/>
        <v>5437533</v>
      </c>
      <c r="J49" s="4">
        <f t="shared" si="93"/>
        <v>5849251</v>
      </c>
      <c r="K49" s="4">
        <f t="shared" si="93"/>
        <v>6120030</v>
      </c>
      <c r="L49" s="4">
        <f t="shared" si="93"/>
        <v>6468185</v>
      </c>
      <c r="M49" s="4">
        <f t="shared" si="93"/>
        <v>7547497</v>
      </c>
      <c r="N49" s="4"/>
      <c r="O49" s="4"/>
      <c r="P49" s="4"/>
      <c r="Q49" s="4"/>
      <c r="R49" s="4"/>
    </row>
    <row r="51" spans="2:18" s="2" customFormat="1" x14ac:dyDescent="0.2">
      <c r="B51" s="2" t="s">
        <v>77</v>
      </c>
      <c r="C51" s="4"/>
      <c r="D51" s="4"/>
      <c r="E51" s="4"/>
      <c r="F51" s="4"/>
      <c r="G51" s="4">
        <v>375778</v>
      </c>
      <c r="H51" s="4">
        <v>443548</v>
      </c>
      <c r="I51" s="4">
        <v>649362</v>
      </c>
      <c r="J51" s="4">
        <v>777946</v>
      </c>
      <c r="K51" s="4">
        <v>732331</v>
      </c>
      <c r="L51" s="4">
        <v>771637</v>
      </c>
      <c r="M51" s="2">
        <v>824861</v>
      </c>
      <c r="N51" s="4"/>
      <c r="O51" s="4"/>
      <c r="P51" s="4"/>
      <c r="Q51" s="4"/>
      <c r="R51" s="4"/>
    </row>
    <row r="52" spans="2:18" s="2" customFormat="1" x14ac:dyDescent="0.2">
      <c r="B52" s="2" t="s">
        <v>76</v>
      </c>
      <c r="C52" s="4"/>
      <c r="D52" s="4"/>
      <c r="E52" s="4"/>
      <c r="F52" s="4"/>
      <c r="G52" s="4">
        <v>128674</v>
      </c>
      <c r="H52" s="4">
        <v>161437</v>
      </c>
      <c r="I52" s="4">
        <v>194571</v>
      </c>
      <c r="J52" s="4">
        <v>268884</v>
      </c>
      <c r="K52" s="4">
        <v>353768</v>
      </c>
      <c r="L52" s="4">
        <v>345401</v>
      </c>
      <c r="M52" s="2">
        <v>373859</v>
      </c>
      <c r="N52" s="4"/>
      <c r="O52" s="4"/>
      <c r="P52" s="4"/>
      <c r="Q52" s="4"/>
      <c r="R52" s="4"/>
    </row>
    <row r="53" spans="2:18" s="2" customFormat="1" x14ac:dyDescent="0.2">
      <c r="B53" s="2" t="s">
        <v>75</v>
      </c>
      <c r="C53" s="4"/>
      <c r="D53" s="4"/>
      <c r="E53" s="4"/>
      <c r="F53" s="4"/>
      <c r="G53" s="4">
        <f>112740+210817</f>
        <v>323557</v>
      </c>
      <c r="H53" s="4">
        <f>139436+234980</f>
        <v>374416</v>
      </c>
      <c r="I53" s="4">
        <f>161570+254321</f>
        <v>415891</v>
      </c>
      <c r="J53" s="4">
        <f>191651+292271</f>
        <v>483922</v>
      </c>
      <c r="K53" s="4">
        <f>226474+312850</f>
        <v>539324</v>
      </c>
      <c r="L53" s="4">
        <f>288527+334628</f>
        <v>623155</v>
      </c>
      <c r="M53" s="2">
        <f>348117+362261</f>
        <v>710378</v>
      </c>
      <c r="N53" s="4"/>
      <c r="O53" s="4"/>
      <c r="P53" s="4"/>
      <c r="Q53" s="4"/>
      <c r="R53" s="4"/>
    </row>
    <row r="54" spans="2:18" s="2" customFormat="1" x14ac:dyDescent="0.2">
      <c r="B54" s="2" t="s">
        <v>74</v>
      </c>
      <c r="C54" s="4"/>
      <c r="D54" s="4"/>
      <c r="E54" s="4"/>
      <c r="F54" s="4"/>
      <c r="G54" s="4">
        <f>8397+12572</f>
        <v>20969</v>
      </c>
      <c r="H54" s="4">
        <f>9700+14099</f>
        <v>23799</v>
      </c>
      <c r="I54" s="4">
        <f>9592+12806</f>
        <v>22398</v>
      </c>
      <c r="J54" s="4">
        <f>9532+12267</f>
        <v>21799</v>
      </c>
      <c r="K54" s="4">
        <f>9622+11265</f>
        <v>20887</v>
      </c>
      <c r="L54" s="4">
        <f>6113+11254</f>
        <v>17367</v>
      </c>
      <c r="M54" s="2">
        <f>13000+15033</f>
        <v>28033</v>
      </c>
      <c r="N54" s="4"/>
      <c r="O54" s="4"/>
      <c r="P54" s="4"/>
      <c r="Q54" s="4"/>
      <c r="R54" s="4"/>
    </row>
    <row r="55" spans="2:18" s="2" customFormat="1" x14ac:dyDescent="0.2">
      <c r="B55" s="2" t="s">
        <v>73</v>
      </c>
      <c r="C55" s="4"/>
      <c r="D55" s="4"/>
      <c r="E55" s="4"/>
      <c r="F55" s="4"/>
      <c r="G55" s="4">
        <v>290617</v>
      </c>
      <c r="H55" s="4">
        <v>345192</v>
      </c>
      <c r="I55" s="4">
        <v>397742</v>
      </c>
      <c r="J55" s="4">
        <v>487879</v>
      </c>
      <c r="K55" s="4">
        <v>606221</v>
      </c>
      <c r="L55" s="4">
        <f>67700+725477</f>
        <v>793177</v>
      </c>
      <c r="M55" s="2">
        <f>85580+952729</f>
        <v>1038309</v>
      </c>
      <c r="N55" s="4"/>
      <c r="O55" s="4"/>
      <c r="P55" s="4"/>
      <c r="Q55" s="4"/>
      <c r="R55" s="4"/>
    </row>
    <row r="56" spans="2:18" s="2" customFormat="1" x14ac:dyDescent="0.2">
      <c r="B56" s="2" t="s">
        <v>72</v>
      </c>
      <c r="C56" s="4"/>
      <c r="D56" s="4"/>
      <c r="E56" s="4"/>
      <c r="F56" s="4"/>
      <c r="G56" s="4">
        <v>198006</v>
      </c>
      <c r="H56" s="4">
        <v>228017</v>
      </c>
      <c r="I56" s="4">
        <v>227056</v>
      </c>
      <c r="J56" s="4">
        <v>257587</v>
      </c>
      <c r="K56" s="4">
        <v>249476</v>
      </c>
      <c r="L56" s="4">
        <v>272848</v>
      </c>
      <c r="M56" s="2">
        <v>269545</v>
      </c>
      <c r="N56" s="4"/>
      <c r="O56" s="4"/>
      <c r="P56" s="4"/>
      <c r="Q56" s="4"/>
      <c r="R56" s="4"/>
    </row>
    <row r="57" spans="2:18" s="2" customFormat="1" x14ac:dyDescent="0.2">
      <c r="B57" s="2" t="s">
        <v>4</v>
      </c>
      <c r="C57" s="4"/>
      <c r="D57" s="4"/>
      <c r="E57" s="4"/>
      <c r="F57" s="4"/>
      <c r="G57" s="4">
        <f>589875+1519967</f>
        <v>2109842</v>
      </c>
      <c r="H57" s="4">
        <f>593712+1767024</f>
        <v>2360736</v>
      </c>
      <c r="I57" s="4">
        <f>597626+1786635</f>
        <v>2384261</v>
      </c>
      <c r="J57" s="4">
        <f>601566+1806518</f>
        <v>2408084</v>
      </c>
      <c r="K57" s="4">
        <f>1888672+620710</f>
        <v>2509382</v>
      </c>
      <c r="L57" s="4">
        <f>632162+1988089</f>
        <v>2620251</v>
      </c>
      <c r="M57" s="2">
        <f>638809+1966361</f>
        <v>2605170</v>
      </c>
      <c r="N57" s="4"/>
      <c r="O57" s="4"/>
      <c r="P57" s="4"/>
      <c r="Q57" s="4"/>
      <c r="R57" s="4"/>
    </row>
    <row r="58" spans="2:18" s="2" customFormat="1" x14ac:dyDescent="0.2">
      <c r="B58" s="2" t="s">
        <v>71</v>
      </c>
      <c r="C58" s="4"/>
      <c r="D58" s="4"/>
      <c r="E58" s="4"/>
      <c r="F58" s="4"/>
      <c r="G58" s="4">
        <v>70969</v>
      </c>
      <c r="H58" s="4">
        <v>98902</v>
      </c>
      <c r="I58" s="4">
        <v>125997</v>
      </c>
      <c r="J58" s="4">
        <v>173244</v>
      </c>
      <c r="K58" s="4">
        <v>228367</v>
      </c>
      <c r="L58" s="4">
        <v>258142</v>
      </c>
      <c r="M58" s="2">
        <v>336505</v>
      </c>
      <c r="N58" s="4"/>
      <c r="O58" s="4"/>
      <c r="P58" s="4"/>
      <c r="Q58" s="4"/>
      <c r="R58" s="4"/>
    </row>
    <row r="59" spans="2:18" s="2" customFormat="1" x14ac:dyDescent="0.2">
      <c r="B59" s="2" t="s">
        <v>70</v>
      </c>
      <c r="C59" s="4"/>
      <c r="D59" s="4"/>
      <c r="E59" s="4"/>
      <c r="F59" s="4"/>
      <c r="G59" s="4">
        <f t="shared" ref="G59:M59" si="94">SUM(G51:G58)</f>
        <v>3518412</v>
      </c>
      <c r="H59" s="4">
        <f t="shared" si="94"/>
        <v>4036047</v>
      </c>
      <c r="I59" s="4">
        <f t="shared" si="94"/>
        <v>4417278</v>
      </c>
      <c r="J59" s="4">
        <f t="shared" si="94"/>
        <v>4879345</v>
      </c>
      <c r="K59" s="4">
        <f t="shared" si="94"/>
        <v>5239756</v>
      </c>
      <c r="L59" s="4">
        <f t="shared" si="94"/>
        <v>5701978</v>
      </c>
      <c r="M59" s="4">
        <f t="shared" si="94"/>
        <v>6186660</v>
      </c>
      <c r="N59" s="4"/>
      <c r="O59" s="4"/>
      <c r="P59" s="4"/>
      <c r="Q59" s="4"/>
      <c r="R59" s="4"/>
    </row>
    <row r="60" spans="2:18" s="2" customFormat="1" x14ac:dyDescent="0.2">
      <c r="B60" s="2" t="s">
        <v>69</v>
      </c>
      <c r="C60" s="4"/>
      <c r="D60" s="4"/>
      <c r="E60" s="4"/>
      <c r="F60" s="4"/>
      <c r="G60" s="4">
        <f>69942+912056</f>
        <v>981998</v>
      </c>
      <c r="H60" s="4">
        <f>66083+952333</f>
        <v>1018416</v>
      </c>
      <c r="I60" s="4">
        <f>62161+958094</f>
        <v>1020255</v>
      </c>
      <c r="J60" s="4">
        <f>58196+911710</f>
        <v>969906</v>
      </c>
      <c r="K60" s="4">
        <f>54277+825997</f>
        <v>880274</v>
      </c>
      <c r="L60" s="4">
        <f>715934+50273</f>
        <v>766207</v>
      </c>
      <c r="M60" s="2">
        <f>46181+1314656</f>
        <v>1360837</v>
      </c>
      <c r="N60" s="4"/>
      <c r="O60" s="4"/>
      <c r="P60" s="4"/>
      <c r="Q60" s="4"/>
      <c r="R60" s="4"/>
    </row>
    <row r="61" spans="2:18" s="2" customFormat="1" x14ac:dyDescent="0.2">
      <c r="B61" s="2" t="s">
        <v>68</v>
      </c>
      <c r="C61" s="4"/>
      <c r="D61" s="4"/>
      <c r="E61" s="4"/>
      <c r="F61" s="4"/>
      <c r="G61" s="4">
        <f t="shared" ref="G61:M61" si="95">G60+G59</f>
        <v>4500410</v>
      </c>
      <c r="H61" s="4">
        <f t="shared" si="95"/>
        <v>5054463</v>
      </c>
      <c r="I61" s="4">
        <f t="shared" si="95"/>
        <v>5437533</v>
      </c>
      <c r="J61" s="4">
        <f t="shared" si="95"/>
        <v>5849251</v>
      </c>
      <c r="K61" s="4">
        <f t="shared" si="95"/>
        <v>6120030</v>
      </c>
      <c r="L61" s="4">
        <f t="shared" si="95"/>
        <v>6468185</v>
      </c>
      <c r="M61" s="4">
        <f t="shared" si="95"/>
        <v>7547497</v>
      </c>
      <c r="N61" s="4"/>
      <c r="O61" s="4"/>
      <c r="P61" s="4"/>
      <c r="Q61" s="4"/>
      <c r="R61" s="4"/>
    </row>
    <row r="63" spans="2:18" x14ac:dyDescent="0.2">
      <c r="B63" s="2" t="s">
        <v>79</v>
      </c>
      <c r="G63" s="4">
        <f t="shared" ref="G63:M63" si="96">G43/H16*90</f>
        <v>8.4671585977235306</v>
      </c>
      <c r="H63" s="4">
        <f t="shared" si="96"/>
        <v>10.207312949927447</v>
      </c>
      <c r="I63" s="4">
        <f t="shared" si="96"/>
        <v>14.759679761169318</v>
      </c>
      <c r="J63" s="4">
        <f t="shared" si="96"/>
        <v>21.698897731625316</v>
      </c>
      <c r="K63" s="4">
        <f t="shared" si="96"/>
        <v>18.853541869115034</v>
      </c>
      <c r="L63" s="4">
        <f t="shared" si="96"/>
        <v>13.320310123197434</v>
      </c>
      <c r="M63" s="4">
        <f t="shared" si="96"/>
        <v>9.5508503280793366</v>
      </c>
    </row>
    <row r="65" spans="2:34" s="2" customFormat="1" x14ac:dyDescent="0.2">
      <c r="B65" s="2" t="s">
        <v>80</v>
      </c>
      <c r="C65" s="4"/>
      <c r="D65" s="4"/>
      <c r="E65" s="4"/>
      <c r="F65" s="4"/>
      <c r="G65" s="4">
        <f>+G28</f>
        <v>-49800</v>
      </c>
      <c r="H65" s="4">
        <f>+H28</f>
        <v>-61900</v>
      </c>
      <c r="I65" s="4">
        <f>+I28</f>
        <v>-74708</v>
      </c>
      <c r="J65" s="4">
        <f>+J28</f>
        <v>-107629</v>
      </c>
      <c r="K65" s="4">
        <f>+K28</f>
        <v>-154181</v>
      </c>
      <c r="L65" s="4">
        <f t="shared" ref="L65:M65" si="97">+L28</f>
        <v>-184227</v>
      </c>
      <c r="M65" s="4">
        <f t="shared" si="97"/>
        <v>-229858</v>
      </c>
      <c r="N65" s="4"/>
      <c r="O65" s="4"/>
      <c r="P65" s="4"/>
      <c r="Q65" s="4"/>
      <c r="R65" s="4"/>
    </row>
    <row r="66" spans="2:34" s="2" customFormat="1" x14ac:dyDescent="0.2">
      <c r="B66" s="2" t="s">
        <v>81</v>
      </c>
      <c r="C66" s="4"/>
      <c r="D66" s="4"/>
      <c r="E66" s="4"/>
      <c r="F66" s="4"/>
      <c r="G66" s="4">
        <v>-49800</v>
      </c>
      <c r="H66" s="4">
        <f>-111702-G66</f>
        <v>-61902</v>
      </c>
      <c r="I66" s="4">
        <f>-186411-H66-G66</f>
        <v>-74709</v>
      </c>
      <c r="J66" s="4">
        <f>-294040-I66-H66-G66</f>
        <v>-107629</v>
      </c>
      <c r="K66" s="4">
        <v>-154181</v>
      </c>
      <c r="L66" s="4">
        <f>-338408-K66</f>
        <v>-184227</v>
      </c>
      <c r="M66" s="4">
        <f>-568266-L66-K66</f>
        <v>-229858</v>
      </c>
      <c r="N66" s="4"/>
      <c r="O66" s="4"/>
      <c r="P66" s="4"/>
      <c r="Q66" s="4"/>
      <c r="R66" s="4"/>
    </row>
    <row r="67" spans="2:34" s="2" customFormat="1" x14ac:dyDescent="0.2">
      <c r="B67" s="2" t="s">
        <v>82</v>
      </c>
      <c r="C67" s="4"/>
      <c r="D67" s="4"/>
      <c r="E67" s="4"/>
      <c r="F67" s="4"/>
      <c r="G67" s="4">
        <v>44268</v>
      </c>
      <c r="H67" s="4">
        <f>98983-G67</f>
        <v>54715</v>
      </c>
      <c r="I67" s="4">
        <f>163955-H67-G67</f>
        <v>64972</v>
      </c>
      <c r="J67" s="4">
        <f>231931-I67-H67-G67</f>
        <v>67976</v>
      </c>
      <c r="K67" s="4">
        <v>77112</v>
      </c>
      <c r="L67" s="4">
        <f>168501-K67</f>
        <v>91389</v>
      </c>
      <c r="M67" s="4">
        <f>278867-L67-K67</f>
        <v>110366</v>
      </c>
      <c r="N67" s="4"/>
      <c r="O67" s="4"/>
      <c r="P67" s="4"/>
      <c r="Q67" s="4"/>
      <c r="R67" s="4"/>
    </row>
    <row r="68" spans="2:34" s="2" customFormat="1" x14ac:dyDescent="0.2">
      <c r="B68" s="2" t="s">
        <v>94</v>
      </c>
      <c r="C68" s="4"/>
      <c r="D68" s="4"/>
      <c r="E68" s="4"/>
      <c r="F68" s="4"/>
      <c r="G68" s="4">
        <v>37038</v>
      </c>
      <c r="H68" s="4">
        <f>72822-G68</f>
        <v>35784</v>
      </c>
      <c r="I68" s="4">
        <f>111980-H68-G68</f>
        <v>39158</v>
      </c>
      <c r="J68" s="4">
        <f>156496-I68-H68-G68</f>
        <v>44516</v>
      </c>
      <c r="K68" s="4">
        <v>43026</v>
      </c>
      <c r="L68" s="4">
        <f>86327-K68</f>
        <v>43301</v>
      </c>
      <c r="M68" s="4">
        <f>142359-L68-K68</f>
        <v>56032</v>
      </c>
      <c r="N68" s="4"/>
      <c r="O68" s="4"/>
      <c r="P68" s="4"/>
      <c r="Q68" s="4"/>
      <c r="R68" s="4"/>
    </row>
    <row r="69" spans="2:34" s="2" customFormat="1" x14ac:dyDescent="0.2">
      <c r="B69" s="2" t="s">
        <v>93</v>
      </c>
      <c r="C69" s="4"/>
      <c r="D69" s="4"/>
      <c r="E69" s="4"/>
      <c r="F69" s="4"/>
      <c r="G69" s="4">
        <v>8493</v>
      </c>
      <c r="H69" s="4">
        <f>32102-G69</f>
        <v>23609</v>
      </c>
      <c r="I69" s="4">
        <f>55634-H69-G69</f>
        <v>23532</v>
      </c>
      <c r="J69" s="4">
        <f>69734-I69-H69-G69</f>
        <v>14100</v>
      </c>
      <c r="K69" s="4">
        <v>17941</v>
      </c>
      <c r="L69" s="4">
        <f>33712-K69</f>
        <v>15771</v>
      </c>
      <c r="M69" s="4">
        <f>51376-L69-K69</f>
        <v>17664</v>
      </c>
      <c r="N69" s="4"/>
      <c r="O69" s="4"/>
      <c r="P69" s="4"/>
      <c r="Q69" s="4"/>
      <c r="R69" s="4"/>
      <c r="AH69" s="30"/>
    </row>
    <row r="70" spans="2:34" s="2" customFormat="1" x14ac:dyDescent="0.2">
      <c r="B70" s="2" t="s">
        <v>92</v>
      </c>
      <c r="C70" s="4"/>
      <c r="D70" s="4"/>
      <c r="E70" s="4"/>
      <c r="F70" s="4"/>
      <c r="G70" s="4">
        <v>1578</v>
      </c>
      <c r="H70" s="4">
        <f>3850-G70</f>
        <v>2272</v>
      </c>
      <c r="I70" s="4">
        <f>14495-H70-G70</f>
        <v>10645</v>
      </c>
      <c r="J70" s="4">
        <f>15609-I70-H70-G70</f>
        <v>1114</v>
      </c>
      <c r="K70" s="4">
        <v>5901</v>
      </c>
      <c r="L70" s="4">
        <f>15950-K70</f>
        <v>10049</v>
      </c>
      <c r="M70" s="4">
        <f>23303-L70-K70</f>
        <v>7353</v>
      </c>
      <c r="N70" s="4"/>
      <c r="O70" s="4"/>
      <c r="P70" s="4"/>
      <c r="Q70" s="4"/>
      <c r="R70" s="4"/>
    </row>
    <row r="71" spans="2:34" s="2" customFormat="1" x14ac:dyDescent="0.2">
      <c r="B71" s="2" t="s">
        <v>91</v>
      </c>
      <c r="C71" s="4"/>
      <c r="D71" s="4"/>
      <c r="E71" s="4"/>
      <c r="F71" s="4"/>
      <c r="G71" s="4">
        <v>0</v>
      </c>
      <c r="H71" s="4">
        <f>6305-G71</f>
        <v>6305</v>
      </c>
      <c r="I71" s="4">
        <f>11052-H71-G71</f>
        <v>4747</v>
      </c>
      <c r="J71" s="4">
        <f>14178-I71-H71-G71</f>
        <v>3126</v>
      </c>
      <c r="K71" s="4">
        <v>2753</v>
      </c>
      <c r="L71" s="4">
        <f>4991-K71</f>
        <v>2238</v>
      </c>
      <c r="M71" s="4">
        <f>8800-L71-K71</f>
        <v>3809</v>
      </c>
      <c r="N71" s="4"/>
      <c r="O71" s="4"/>
      <c r="P71" s="4"/>
      <c r="Q71" s="4"/>
      <c r="R71" s="4"/>
    </row>
    <row r="72" spans="2:34" s="2" customFormat="1" x14ac:dyDescent="0.2">
      <c r="B72" s="2" t="s">
        <v>90</v>
      </c>
      <c r="C72" s="4"/>
      <c r="D72" s="4"/>
      <c r="E72" s="4"/>
      <c r="F72" s="4"/>
      <c r="G72" s="4">
        <v>2562</v>
      </c>
      <c r="H72" s="4">
        <f>3662-G72</f>
        <v>1100</v>
      </c>
      <c r="I72" s="4">
        <f>4503-H72-G72</f>
        <v>841</v>
      </c>
      <c r="J72" s="4">
        <f>7471-I72-H72-G72</f>
        <v>2968</v>
      </c>
      <c r="K72" s="4">
        <v>2862</v>
      </c>
      <c r="L72" s="4">
        <f>6082-K72</f>
        <v>3220</v>
      </c>
      <c r="M72" s="4">
        <f>11011-L72-K72</f>
        <v>4929</v>
      </c>
      <c r="N72" s="4"/>
      <c r="O72" s="4"/>
      <c r="P72" s="4"/>
      <c r="Q72" s="4"/>
      <c r="R72" s="4"/>
    </row>
    <row r="73" spans="2:34" s="2" customFormat="1" x14ac:dyDescent="0.2">
      <c r="B73" s="2" t="s">
        <v>89</v>
      </c>
      <c r="C73" s="4"/>
      <c r="D73" s="4"/>
      <c r="E73" s="4"/>
      <c r="F73" s="4"/>
      <c r="G73" s="4">
        <v>-807</v>
      </c>
      <c r="H73" s="4">
        <f>-210-G73</f>
        <v>597</v>
      </c>
      <c r="I73" s="4">
        <f>-2707-H73-G73</f>
        <v>-2497</v>
      </c>
      <c r="J73" s="4">
        <f>-1891-I73-H73-G73</f>
        <v>816</v>
      </c>
      <c r="K73" s="4">
        <v>27977</v>
      </c>
      <c r="L73" s="4">
        <f>16771-K73</f>
        <v>-11206</v>
      </c>
      <c r="M73" s="4">
        <f>35583-L73-K73</f>
        <v>18812</v>
      </c>
      <c r="N73" s="4"/>
      <c r="O73" s="4"/>
      <c r="P73" s="4"/>
      <c r="Q73" s="4"/>
      <c r="R73" s="4"/>
    </row>
    <row r="74" spans="2:34" s="2" customFormat="1" x14ac:dyDescent="0.2">
      <c r="B74" s="2" t="s">
        <v>61</v>
      </c>
      <c r="C74" s="4"/>
      <c r="D74" s="4"/>
      <c r="E74" s="4"/>
      <c r="F74" s="4"/>
      <c r="G74" s="4">
        <v>-23800</v>
      </c>
      <c r="H74" s="4">
        <f>-47931-G74</f>
        <v>-24131</v>
      </c>
      <c r="I74" s="4">
        <f>-109172-H74-G74</f>
        <v>-61241</v>
      </c>
      <c r="J74" s="4">
        <f>-183658-I74-H74-G74</f>
        <v>-74486</v>
      </c>
      <c r="K74" s="4">
        <v>2175</v>
      </c>
      <c r="L74" s="4">
        <f>62832-K74</f>
        <v>60657</v>
      </c>
      <c r="M74" s="4">
        <f>78373-L74-K74</f>
        <v>15541</v>
      </c>
      <c r="N74" s="4"/>
      <c r="O74" s="4"/>
      <c r="P74" s="4"/>
      <c r="Q74" s="4"/>
      <c r="R74" s="4"/>
    </row>
    <row r="75" spans="2:34" s="2" customFormat="1" x14ac:dyDescent="0.2">
      <c r="B75" s="2" t="s">
        <v>88</v>
      </c>
      <c r="C75" s="4"/>
      <c r="D75" s="4"/>
      <c r="E75" s="4"/>
      <c r="F75" s="4"/>
      <c r="G75" s="4">
        <v>-197734</v>
      </c>
      <c r="H75" s="4">
        <f>-458132-G75</f>
        <v>-260398</v>
      </c>
      <c r="I75" s="4">
        <f>-672663-H75-G75</f>
        <v>-214531</v>
      </c>
      <c r="J75" s="4">
        <f>-1050264-I75-H75-G75</f>
        <v>-377601</v>
      </c>
      <c r="K75" s="4">
        <v>-307209</v>
      </c>
      <c r="L75" s="4">
        <f>-706220-K75</f>
        <v>-399011</v>
      </c>
      <c r="M75" s="4">
        <f>-1091382-L75-K75</f>
        <v>-385162</v>
      </c>
      <c r="N75" s="4"/>
      <c r="O75" s="4"/>
      <c r="P75" s="4"/>
      <c r="Q75" s="4"/>
      <c r="R75" s="4"/>
    </row>
    <row r="76" spans="2:34" s="2" customFormat="1" x14ac:dyDescent="0.2">
      <c r="B76" s="2" t="s">
        <v>87</v>
      </c>
      <c r="C76" s="4"/>
      <c r="D76" s="4"/>
      <c r="E76" s="4"/>
      <c r="F76" s="4"/>
      <c r="G76" s="4">
        <v>-11427</v>
      </c>
      <c r="H76" s="4">
        <f>-24207-G76</f>
        <v>-12780</v>
      </c>
      <c r="I76" s="4">
        <f>-29517-H76-G76</f>
        <v>-5310</v>
      </c>
      <c r="J76" s="4">
        <f>-60637-I76-H76-G76</f>
        <v>-31120</v>
      </c>
      <c r="K76" s="4">
        <v>-43475</v>
      </c>
      <c r="L76" s="4">
        <f>-3385-K76</f>
        <v>40090</v>
      </c>
      <c r="M76" s="4">
        <f>-35962-L76-K76</f>
        <v>-32577</v>
      </c>
      <c r="N76" s="4"/>
      <c r="O76" s="4"/>
      <c r="P76" s="4"/>
      <c r="Q76" s="4"/>
      <c r="R76" s="4"/>
    </row>
    <row r="77" spans="2:34" s="2" customFormat="1" x14ac:dyDescent="0.2">
      <c r="B77" s="2" t="s">
        <v>86</v>
      </c>
      <c r="C77" s="4"/>
      <c r="D77" s="4"/>
      <c r="E77" s="4"/>
      <c r="F77" s="4"/>
      <c r="G77" s="4">
        <v>149</v>
      </c>
      <c r="H77" s="4">
        <f>-457-G77</f>
        <v>-606</v>
      </c>
      <c r="I77" s="4">
        <f>-5671-H77-G77</f>
        <v>-5214</v>
      </c>
      <c r="J77" s="4">
        <f>-4493-I77-H77-G77</f>
        <v>1178</v>
      </c>
      <c r="K77" s="4">
        <v>-6055</v>
      </c>
      <c r="L77" s="4">
        <f>-8355-K77</f>
        <v>-2300</v>
      </c>
      <c r="M77" s="4">
        <f>-14297-L77-K77</f>
        <v>-5942</v>
      </c>
      <c r="N77" s="4"/>
      <c r="O77" s="4"/>
      <c r="P77" s="4"/>
      <c r="Q77" s="4"/>
      <c r="R77" s="4"/>
    </row>
    <row r="78" spans="2:34" s="2" customFormat="1" x14ac:dyDescent="0.2">
      <c r="B78" s="2" t="s">
        <v>77</v>
      </c>
      <c r="C78" s="4"/>
      <c r="D78" s="4"/>
      <c r="E78" s="4"/>
      <c r="F78" s="4"/>
      <c r="G78" s="4">
        <f>78533+19224</f>
        <v>97757</v>
      </c>
      <c r="H78" s="4">
        <f>134524+51187-G78</f>
        <v>87954</v>
      </c>
      <c r="I78" s="4">
        <f>171198-H78-G78+82697</f>
        <v>68184</v>
      </c>
      <c r="J78" s="4">
        <f>252781-I78-H78-G78+162075</f>
        <v>160961</v>
      </c>
      <c r="K78" s="4">
        <v>47493</v>
      </c>
      <c r="L78" s="4">
        <f>61261-K78</f>
        <v>13768</v>
      </c>
      <c r="M78" s="4">
        <f>89238-L78-K78</f>
        <v>27977</v>
      </c>
      <c r="N78" s="4"/>
      <c r="O78" s="4"/>
      <c r="P78" s="4"/>
      <c r="Q78" s="4"/>
      <c r="R78" s="4"/>
    </row>
    <row r="79" spans="2:34" s="2" customFormat="1" x14ac:dyDescent="0.2">
      <c r="B79" s="2" t="s">
        <v>75</v>
      </c>
      <c r="C79" s="4"/>
      <c r="D79" s="4"/>
      <c r="E79" s="4"/>
      <c r="F79" s="4"/>
      <c r="G79" s="4">
        <v>50282</v>
      </c>
      <c r="H79" s="4">
        <f>101259-G79</f>
        <v>50977</v>
      </c>
      <c r="I79" s="4">
        <f>142494-H79-G79</f>
        <v>41235</v>
      </c>
      <c r="J79" s="4">
        <f>209681-I79-H79-G79</f>
        <v>67187</v>
      </c>
      <c r="K79" s="4">
        <v>50729</v>
      </c>
      <c r="L79" s="4">
        <f>116812-K79</f>
        <v>66083</v>
      </c>
      <c r="M79" s="4">
        <f>186255-L79-K79</f>
        <v>69443</v>
      </c>
      <c r="N79" s="4"/>
      <c r="O79" s="4"/>
      <c r="P79" s="4"/>
      <c r="Q79" s="4"/>
      <c r="R79" s="4"/>
    </row>
    <row r="80" spans="2:34" s="2" customFormat="1" x14ac:dyDescent="0.2">
      <c r="B80" s="2" t="s">
        <v>85</v>
      </c>
      <c r="C80" s="4"/>
      <c r="D80" s="4"/>
      <c r="E80" s="4"/>
      <c r="F80" s="4"/>
      <c r="G80" s="4">
        <v>35026</v>
      </c>
      <c r="H80" s="4">
        <f>64946-G80</f>
        <v>29920</v>
      </c>
      <c r="I80" s="4">
        <f>71143-H80-G80</f>
        <v>6197</v>
      </c>
      <c r="J80" s="4">
        <f>106230-I80-H80-G80</f>
        <v>35087</v>
      </c>
      <c r="K80" s="4">
        <v>-3012</v>
      </c>
      <c r="L80" s="4">
        <f>19573-K80</f>
        <v>22585</v>
      </c>
      <c r="M80" s="4">
        <f>20314-L80-K80</f>
        <v>741</v>
      </c>
      <c r="N80" s="4"/>
      <c r="O80" s="4"/>
      <c r="P80" s="4"/>
      <c r="Q80" s="4"/>
      <c r="R80" s="4"/>
    </row>
    <row r="81" spans="2:18" s="2" customFormat="1" x14ac:dyDescent="0.2">
      <c r="B81" s="2" t="s">
        <v>84</v>
      </c>
      <c r="C81" s="4"/>
      <c r="D81" s="4"/>
      <c r="E81" s="4"/>
      <c r="F81" s="4"/>
      <c r="G81" s="4">
        <v>54318</v>
      </c>
      <c r="H81" s="4">
        <f>109232-G81</f>
        <v>54914</v>
      </c>
      <c r="I81" s="4">
        <f>161782-H81-G81</f>
        <v>52550</v>
      </c>
      <c r="J81" s="4">
        <f>249492-I81-H81-G81</f>
        <v>87710</v>
      </c>
      <c r="K81" s="4">
        <v>62712</v>
      </c>
      <c r="L81" s="4">
        <f>143216-K81</f>
        <v>80504</v>
      </c>
      <c r="M81" s="4">
        <f>249548-L81-K81</f>
        <v>106332</v>
      </c>
      <c r="N81" s="4"/>
      <c r="O81" s="4"/>
      <c r="P81" s="4"/>
      <c r="Q81" s="4"/>
      <c r="R81" s="4"/>
    </row>
    <row r="82" spans="2:18" s="2" customFormat="1" x14ac:dyDescent="0.2">
      <c r="B82" s="2" t="s">
        <v>71</v>
      </c>
      <c r="C82" s="4"/>
      <c r="D82" s="4"/>
      <c r="E82" s="4"/>
      <c r="F82" s="4"/>
      <c r="G82" s="4">
        <v>12738</v>
      </c>
      <c r="H82" s="4">
        <f>20828-G82</f>
        <v>8090</v>
      </c>
      <c r="I82" s="4">
        <f>44273-H82-G82</f>
        <v>23445</v>
      </c>
      <c r="J82" s="4">
        <f>61968-I82-H82-G82</f>
        <v>17695</v>
      </c>
      <c r="K82" s="4">
        <v>41457</v>
      </c>
      <c r="L82" s="4">
        <f>29030-K82</f>
        <v>-12427</v>
      </c>
      <c r="M82" s="4">
        <f>40230-L82-K82</f>
        <v>11200</v>
      </c>
      <c r="N82" s="4"/>
      <c r="O82" s="4"/>
      <c r="P82" s="4"/>
      <c r="Q82" s="4"/>
      <c r="R82" s="4"/>
    </row>
    <row r="83" spans="2:18" x14ac:dyDescent="0.2">
      <c r="B83" t="s">
        <v>83</v>
      </c>
      <c r="G83" s="22">
        <f t="shared" ref="G83:M83" si="98">SUM(G66:G82)</f>
        <v>60641</v>
      </c>
      <c r="H83" s="4">
        <f t="shared" si="98"/>
        <v>-3580</v>
      </c>
      <c r="I83" s="4">
        <f t="shared" si="98"/>
        <v>-27996</v>
      </c>
      <c r="J83" s="4">
        <f t="shared" si="98"/>
        <v>-86402</v>
      </c>
      <c r="K83" s="4">
        <f t="shared" si="98"/>
        <v>-131794</v>
      </c>
      <c r="L83" s="4">
        <f t="shared" si="98"/>
        <v>-159516</v>
      </c>
      <c r="M83" s="22">
        <f t="shared" si="98"/>
        <v>-203340</v>
      </c>
    </row>
    <row r="85" spans="2:18" s="2" customFormat="1" x14ac:dyDescent="0.2">
      <c r="B85" s="12" t="s">
        <v>99</v>
      </c>
      <c r="C85" s="22"/>
      <c r="D85" s="22"/>
      <c r="E85" s="22"/>
      <c r="F85" s="22"/>
      <c r="G85" s="22">
        <v>-141364</v>
      </c>
      <c r="H85" s="22">
        <f>-317049-G85</f>
        <v>-175685</v>
      </c>
      <c r="I85" s="22">
        <f>-601224-H85-G85</f>
        <v>-284175</v>
      </c>
      <c r="J85" s="22">
        <f>-969885-I85-H85-G85</f>
        <v>-368661</v>
      </c>
      <c r="K85" s="22">
        <v>-426060</v>
      </c>
      <c r="L85" s="4">
        <f>-831225-K85</f>
        <v>-405165</v>
      </c>
      <c r="M85" s="4">
        <f>-1223628-L85-K85</f>
        <v>-392403</v>
      </c>
      <c r="N85" s="4"/>
      <c r="O85" s="4"/>
      <c r="P85" s="4"/>
      <c r="Q85" s="4"/>
      <c r="R85" s="4"/>
    </row>
    <row r="86" spans="2:18" s="2" customFormat="1" x14ac:dyDescent="0.2">
      <c r="B86" s="2" t="s">
        <v>102</v>
      </c>
      <c r="C86" s="4"/>
      <c r="D86" s="4"/>
      <c r="E86" s="4"/>
      <c r="F86" s="4"/>
      <c r="G86" s="4">
        <v>1295</v>
      </c>
      <c r="H86" s="4">
        <f>1616-G86</f>
        <v>321</v>
      </c>
      <c r="I86" s="4">
        <f>-289-H86-G86</f>
        <v>-1905</v>
      </c>
      <c r="J86" s="4">
        <f>-3849-I86-H86-G86</f>
        <v>-3560</v>
      </c>
      <c r="K86" s="4">
        <v>-6284</v>
      </c>
      <c r="L86" s="4">
        <f>-11696-K86</f>
        <v>-5412</v>
      </c>
      <c r="M86" s="4">
        <f>-23383-L86-K86</f>
        <v>-11687</v>
      </c>
      <c r="N86" s="4"/>
      <c r="O86" s="4"/>
      <c r="P86" s="4"/>
      <c r="Q86" s="4"/>
      <c r="R86" s="4"/>
    </row>
    <row r="87" spans="2:18" s="2" customFormat="1" x14ac:dyDescent="0.2">
      <c r="B87" s="2" t="s">
        <v>104</v>
      </c>
      <c r="C87" s="4"/>
      <c r="D87" s="4"/>
      <c r="E87" s="4"/>
      <c r="F87" s="4"/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f>-12260-K87</f>
        <v>-12260</v>
      </c>
      <c r="M87" s="4">
        <f>-12260-L87-K87</f>
        <v>0</v>
      </c>
      <c r="N87" s="4"/>
      <c r="O87" s="4"/>
      <c r="P87" s="4"/>
      <c r="Q87" s="4"/>
      <c r="R87" s="4"/>
    </row>
    <row r="88" spans="2:18" s="2" customFormat="1" x14ac:dyDescent="0.2">
      <c r="B88" s="2" t="s">
        <v>101</v>
      </c>
      <c r="C88" s="4"/>
      <c r="D88" s="4"/>
      <c r="E88" s="4"/>
      <c r="F88" s="4"/>
      <c r="G88" s="4">
        <v>-189111</v>
      </c>
      <c r="H88" s="4">
        <f>-200268+189131-G88</f>
        <v>177974</v>
      </c>
      <c r="I88" s="4">
        <f>-205831+189131-H88-G88</f>
        <v>-5563</v>
      </c>
      <c r="J88" s="4">
        <f>189131-205841-I88-H88-G88</f>
        <v>-10</v>
      </c>
      <c r="K88" s="4">
        <v>0</v>
      </c>
      <c r="L88" s="4">
        <v>0</v>
      </c>
      <c r="M88" s="4">
        <v>0</v>
      </c>
      <c r="N88" s="4"/>
      <c r="O88" s="4"/>
      <c r="P88" s="4"/>
      <c r="Q88" s="4"/>
      <c r="R88" s="4"/>
    </row>
    <row r="89" spans="2:18" s="2" customFormat="1" x14ac:dyDescent="0.2">
      <c r="B89" s="2" t="s">
        <v>100</v>
      </c>
      <c r="C89" s="4"/>
      <c r="D89" s="4"/>
      <c r="E89" s="4"/>
      <c r="F89" s="4"/>
      <c r="G89" s="4">
        <f t="shared" ref="G89:M89" si="99">SUM(G85:G88)</f>
        <v>-329180</v>
      </c>
      <c r="H89" s="4">
        <f t="shared" si="99"/>
        <v>2610</v>
      </c>
      <c r="I89" s="4">
        <f t="shared" si="99"/>
        <v>-291643</v>
      </c>
      <c r="J89" s="4">
        <f t="shared" si="99"/>
        <v>-372231</v>
      </c>
      <c r="K89" s="4">
        <f t="shared" si="99"/>
        <v>-432344</v>
      </c>
      <c r="L89" s="4">
        <f t="shared" si="99"/>
        <v>-422837</v>
      </c>
      <c r="M89" s="4">
        <f t="shared" si="99"/>
        <v>-404090</v>
      </c>
      <c r="N89" s="4"/>
      <c r="O89" s="4"/>
      <c r="P89" s="4"/>
      <c r="Q89" s="4"/>
      <c r="R89" s="4"/>
    </row>
    <row r="90" spans="2:18" s="2" customFormat="1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2:18" s="2" customFormat="1" x14ac:dyDescent="0.2">
      <c r="B91" s="2" t="s">
        <v>106</v>
      </c>
      <c r="C91" s="4"/>
      <c r="D91" s="4"/>
      <c r="E91" s="4"/>
      <c r="F91" s="4"/>
      <c r="G91" s="4">
        <v>0</v>
      </c>
      <c r="H91" s="4">
        <v>0</v>
      </c>
      <c r="I91" s="4">
        <v>0</v>
      </c>
      <c r="J91" s="4">
        <v>0</v>
      </c>
      <c r="K91" s="4">
        <v>77961</v>
      </c>
      <c r="L91" s="4">
        <f>196535-K91</f>
        <v>118574</v>
      </c>
      <c r="M91" s="4">
        <f>359951-L91-K91</f>
        <v>163416</v>
      </c>
      <c r="N91" s="4"/>
      <c r="O91" s="4"/>
      <c r="P91" s="4"/>
      <c r="Q91" s="4"/>
      <c r="R91" s="4"/>
    </row>
    <row r="92" spans="2:18" s="2" customFormat="1" x14ac:dyDescent="0.2">
      <c r="B92" s="2" t="s">
        <v>107</v>
      </c>
      <c r="C92" s="4"/>
      <c r="D92" s="4"/>
      <c r="E92" s="4"/>
      <c r="F92" s="4"/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f>750000-L92-K92</f>
        <v>750000</v>
      </c>
      <c r="N92" s="4"/>
      <c r="O92" s="4"/>
      <c r="P92" s="4"/>
      <c r="Q92" s="4"/>
      <c r="R92" s="4"/>
    </row>
    <row r="93" spans="2:18" s="2" customFormat="1" x14ac:dyDescent="0.2">
      <c r="B93" s="2" t="s">
        <v>108</v>
      </c>
      <c r="C93" s="4"/>
      <c r="D93" s="4"/>
      <c r="E93" s="4"/>
      <c r="F93" s="4"/>
      <c r="G93" s="4">
        <v>2000000</v>
      </c>
      <c r="H93" s="4">
        <f>2300000-G93</f>
        <v>300000</v>
      </c>
      <c r="I93" s="4">
        <f>2300000-H93-G93</f>
        <v>0</v>
      </c>
      <c r="J93" s="4">
        <f>2300000-I93-H93-G93</f>
        <v>0</v>
      </c>
      <c r="K93" s="4">
        <v>77661</v>
      </c>
      <c r="L93" s="4">
        <f>168246-K93</f>
        <v>90585</v>
      </c>
      <c r="M93" s="4">
        <f>183972-L93-K93</f>
        <v>15726</v>
      </c>
      <c r="N93" s="4"/>
      <c r="O93" s="4"/>
      <c r="P93" s="4"/>
      <c r="Q93" s="4"/>
      <c r="R93" s="4"/>
    </row>
    <row r="94" spans="2:18" s="2" customFormat="1" x14ac:dyDescent="0.2">
      <c r="B94" s="2" t="s">
        <v>109</v>
      </c>
      <c r="C94" s="4"/>
      <c r="D94" s="4"/>
      <c r="E94" s="4"/>
      <c r="F94" s="4"/>
      <c r="G94" s="4">
        <v>35726</v>
      </c>
      <c r="H94" s="4">
        <f>53115-G94</f>
        <v>17389</v>
      </c>
      <c r="I94" s="4">
        <f>89925-H94-G94</f>
        <v>36810</v>
      </c>
      <c r="J94" s="4">
        <f>100455-I94-H94-G94</f>
        <v>10530</v>
      </c>
      <c r="K94" s="4">
        <v>35218</v>
      </c>
      <c r="L94" s="4">
        <f>58871-K94</f>
        <v>23653</v>
      </c>
      <c r="M94" s="4">
        <f>94026-L94-K94</f>
        <v>35155</v>
      </c>
      <c r="N94" s="4"/>
      <c r="O94" s="4"/>
      <c r="P94" s="4"/>
      <c r="Q94" s="4"/>
      <c r="R94" s="4"/>
    </row>
    <row r="95" spans="2:18" s="2" customFormat="1" x14ac:dyDescent="0.2">
      <c r="B95" s="2" t="s">
        <v>110</v>
      </c>
      <c r="C95" s="4"/>
      <c r="D95" s="4"/>
      <c r="E95" s="4"/>
      <c r="F95" s="4"/>
      <c r="G95" s="4">
        <v>-2545</v>
      </c>
      <c r="H95" s="4">
        <f>-5646-G95</f>
        <v>-3101</v>
      </c>
      <c r="I95" s="4">
        <f>-8702-H95-G95</f>
        <v>-3056</v>
      </c>
      <c r="J95" s="4">
        <f>-11179-I95-H95-G95+3271</f>
        <v>794</v>
      </c>
      <c r="K95" s="4">
        <v>-3726</v>
      </c>
      <c r="L95" s="4">
        <f>-13901-K95</f>
        <v>-10175</v>
      </c>
      <c r="M95" s="4">
        <f>-72906-L95-K95</f>
        <v>-59005</v>
      </c>
      <c r="N95" s="4"/>
      <c r="O95" s="4"/>
      <c r="P95" s="4"/>
      <c r="Q95" s="4"/>
      <c r="R95" s="4"/>
    </row>
    <row r="96" spans="2:18" s="2" customFormat="1" x14ac:dyDescent="0.2">
      <c r="B96" s="2" t="s">
        <v>111</v>
      </c>
      <c r="C96" s="4"/>
      <c r="D96" s="4"/>
      <c r="E96" s="4"/>
      <c r="F96" s="4"/>
      <c r="G96" s="4">
        <v>-30302</v>
      </c>
      <c r="H96" s="4">
        <f>-35150-G96</f>
        <v>-4848</v>
      </c>
      <c r="I96" s="4">
        <f>-35150-H96-G96</f>
        <v>0</v>
      </c>
      <c r="J96" s="4">
        <v>0</v>
      </c>
      <c r="K96" s="4">
        <v>-958</v>
      </c>
      <c r="L96" s="4">
        <f>-5244-K96</f>
        <v>-4286</v>
      </c>
      <c r="M96" s="4">
        <f>-16558-L96-K96</f>
        <v>-11314</v>
      </c>
      <c r="N96" s="4"/>
      <c r="O96" s="4"/>
      <c r="P96" s="4"/>
      <c r="Q96" s="4"/>
      <c r="R96" s="4"/>
    </row>
    <row r="97" spans="2:22" s="2" customFormat="1" x14ac:dyDescent="0.2">
      <c r="B97" s="2" t="s">
        <v>112</v>
      </c>
      <c r="C97" s="4"/>
      <c r="D97" s="4"/>
      <c r="E97" s="4"/>
      <c r="F97" s="4"/>
      <c r="G97" s="4">
        <v>338400</v>
      </c>
      <c r="H97" s="4">
        <f>389160-G97</f>
        <v>50760</v>
      </c>
      <c r="I97" s="4">
        <f>389160-H97-G97</f>
        <v>0</v>
      </c>
      <c r="J97" s="4">
        <f>389160-I97-H97-G97</f>
        <v>0</v>
      </c>
      <c r="K97" s="4">
        <v>0</v>
      </c>
      <c r="L97" s="4">
        <v>0</v>
      </c>
      <c r="M97" s="4">
        <v>0</v>
      </c>
      <c r="N97" s="4"/>
      <c r="O97" s="4"/>
      <c r="P97" s="4"/>
      <c r="Q97" s="4"/>
      <c r="R97" s="4"/>
    </row>
    <row r="98" spans="2:22" s="2" customFormat="1" x14ac:dyDescent="0.2">
      <c r="B98" s="2" t="s">
        <v>113</v>
      </c>
      <c r="C98" s="4"/>
      <c r="D98" s="4"/>
      <c r="E98" s="4"/>
      <c r="F98" s="4"/>
      <c r="G98" s="4">
        <v>-524720</v>
      </c>
      <c r="H98" s="4">
        <f>-603428-G98</f>
        <v>-78708</v>
      </c>
      <c r="I98" s="4">
        <f>-603428-H98-G98</f>
        <v>0</v>
      </c>
      <c r="J98" s="4">
        <f>-603428-I98-H98-G98</f>
        <v>0</v>
      </c>
      <c r="K98" s="4">
        <v>0</v>
      </c>
      <c r="L98" s="4">
        <v>0</v>
      </c>
      <c r="M98" s="4">
        <v>0</v>
      </c>
      <c r="N98" s="4"/>
      <c r="O98" s="4"/>
      <c r="P98" s="4"/>
      <c r="Q98" s="4"/>
      <c r="R98" s="4"/>
    </row>
    <row r="99" spans="2:22" s="2" customFormat="1" x14ac:dyDescent="0.2">
      <c r="B99" s="2" t="s">
        <v>114</v>
      </c>
      <c r="C99" s="4"/>
      <c r="D99" s="4"/>
      <c r="E99" s="4"/>
      <c r="F99" s="4"/>
      <c r="G99" s="4">
        <f>SUM(G92:G98)</f>
        <v>1816559</v>
      </c>
      <c r="H99" s="4">
        <f>SUM(H92:H98)</f>
        <v>281492</v>
      </c>
      <c r="I99" s="4">
        <f>SUM(I92:I98)</f>
        <v>33754</v>
      </c>
      <c r="J99" s="4">
        <f>SUM(J92:J98)</f>
        <v>11324</v>
      </c>
      <c r="K99" s="4">
        <f>SUM(K91:K98)</f>
        <v>186156</v>
      </c>
      <c r="L99" s="4">
        <f>SUM(L91:L98)</f>
        <v>218351</v>
      </c>
      <c r="M99" s="4">
        <f>SUM(M91:M98)</f>
        <v>893978</v>
      </c>
      <c r="N99" s="4"/>
      <c r="O99" s="4"/>
      <c r="P99" s="4"/>
      <c r="Q99" s="4"/>
      <c r="R99" s="4"/>
    </row>
    <row r="100" spans="2:22" s="2" customFormat="1" x14ac:dyDescent="0.2">
      <c r="B100" s="2" t="s">
        <v>115</v>
      </c>
      <c r="C100" s="4"/>
      <c r="D100" s="4"/>
      <c r="E100" s="4"/>
      <c r="F100" s="4"/>
      <c r="G100" s="4">
        <v>0</v>
      </c>
      <c r="H100" s="21">
        <f>479-G100</f>
        <v>479</v>
      </c>
      <c r="I100" s="4">
        <f>-17811-H100-G100</f>
        <v>-18290</v>
      </c>
      <c r="J100" s="4">
        <f>-35525-I100-H100-G100</f>
        <v>-17714</v>
      </c>
      <c r="K100" s="4">
        <v>-17655</v>
      </c>
      <c r="L100" s="4">
        <f>-13056-K100</f>
        <v>4599</v>
      </c>
      <c r="M100" s="4">
        <f>-24241-L100-K100</f>
        <v>-11185</v>
      </c>
      <c r="N100" s="4"/>
      <c r="O100" s="4"/>
      <c r="P100" s="4"/>
      <c r="Q100" s="4"/>
      <c r="R100" s="4"/>
    </row>
    <row r="101" spans="2:22" s="2" customFormat="1" x14ac:dyDescent="0.2">
      <c r="B101" s="2" t="s">
        <v>116</v>
      </c>
      <c r="C101" s="4"/>
      <c r="D101" s="4"/>
      <c r="E101" s="4"/>
      <c r="F101" s="4"/>
      <c r="G101" s="4">
        <f t="shared" ref="G101:M101" si="100">+G100+G99+G89+G83</f>
        <v>1548020</v>
      </c>
      <c r="H101" s="4">
        <f t="shared" si="100"/>
        <v>281001</v>
      </c>
      <c r="I101" s="4">
        <f t="shared" si="100"/>
        <v>-304175</v>
      </c>
      <c r="J101" s="4">
        <f t="shared" si="100"/>
        <v>-465023</v>
      </c>
      <c r="K101" s="4">
        <f t="shared" si="100"/>
        <v>-395637</v>
      </c>
      <c r="L101" s="4">
        <f t="shared" si="100"/>
        <v>-359403</v>
      </c>
      <c r="M101" s="4">
        <f t="shared" si="100"/>
        <v>275363</v>
      </c>
      <c r="N101" s="4"/>
      <c r="O101" s="4"/>
      <c r="P101" s="4"/>
      <c r="Q101" s="4"/>
      <c r="R101" s="4"/>
    </row>
    <row r="102" spans="2:22" s="2" customFormat="1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2:22" s="2" customFormat="1" x14ac:dyDescent="0.2">
      <c r="B103" s="2" t="s">
        <v>103</v>
      </c>
      <c r="C103" s="4"/>
      <c r="D103" s="4"/>
      <c r="E103" s="4"/>
      <c r="F103" s="4"/>
      <c r="G103" s="4">
        <f t="shared" ref="G103:M103" si="101">G83+G85</f>
        <v>-80723</v>
      </c>
      <c r="H103" s="4">
        <f t="shared" si="101"/>
        <v>-179265</v>
      </c>
      <c r="I103" s="4">
        <f t="shared" si="101"/>
        <v>-312171</v>
      </c>
      <c r="J103" s="4">
        <f t="shared" si="101"/>
        <v>-455063</v>
      </c>
      <c r="K103" s="4">
        <f t="shared" si="101"/>
        <v>-557854</v>
      </c>
      <c r="L103" s="4">
        <f t="shared" si="101"/>
        <v>-564681</v>
      </c>
      <c r="M103" s="4">
        <f t="shared" si="101"/>
        <v>-595743</v>
      </c>
      <c r="N103" s="4"/>
      <c r="O103" s="4"/>
      <c r="P103" s="4"/>
      <c r="Q103" s="4"/>
      <c r="R103" s="4"/>
    </row>
    <row r="104" spans="2:22" s="2" customFormat="1" x14ac:dyDescent="0.2">
      <c r="B104" s="2" t="s">
        <v>105</v>
      </c>
      <c r="C104" s="4"/>
      <c r="D104" s="4"/>
      <c r="E104" s="4"/>
      <c r="F104" s="4"/>
      <c r="G104" s="4"/>
      <c r="H104" s="4">
        <f>+H40-G40</f>
        <v>-148193</v>
      </c>
      <c r="I104" s="4">
        <f>+I40-H40</f>
        <v>-320240</v>
      </c>
      <c r="J104" s="4">
        <f t="shared" ref="J104:M104" si="102">+J40-I40</f>
        <v>-485945</v>
      </c>
      <c r="K104" s="4">
        <f t="shared" si="102"/>
        <v>-491717</v>
      </c>
      <c r="L104" s="4">
        <f t="shared" si="102"/>
        <v>-464446</v>
      </c>
      <c r="M104" s="4">
        <f t="shared" si="102"/>
        <v>-229858</v>
      </c>
      <c r="N104" s="4"/>
      <c r="O104" s="4"/>
      <c r="P104" s="4"/>
      <c r="Q104" s="4"/>
      <c r="R104" s="4"/>
    </row>
    <row r="105" spans="2:22" x14ac:dyDescent="0.2">
      <c r="H105" s="4"/>
    </row>
    <row r="106" spans="2:22" x14ac:dyDescent="0.2">
      <c r="B106" s="2" t="s">
        <v>123</v>
      </c>
      <c r="V106" s="2">
        <v>56768</v>
      </c>
    </row>
    <row r="107" spans="2:22" x14ac:dyDescent="0.2">
      <c r="B107" s="2" t="s">
        <v>130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2.75" x14ac:dyDescent="0.2"/>
  <cols>
    <col min="1" max="1" width="5" bestFit="1" customWidth="1"/>
  </cols>
  <sheetData>
    <row r="1" spans="1:3" x14ac:dyDescent="0.2">
      <c r="A1" s="24" t="s">
        <v>8</v>
      </c>
    </row>
    <row r="2" spans="1:3" x14ac:dyDescent="0.2">
      <c r="B2" t="s">
        <v>118</v>
      </c>
      <c r="C2" t="s">
        <v>117</v>
      </c>
    </row>
    <row r="3" spans="1:3" x14ac:dyDescent="0.2">
      <c r="C3" t="s">
        <v>119</v>
      </c>
    </row>
    <row r="4" spans="1:3" x14ac:dyDescent="0.2">
      <c r="B4" t="s">
        <v>120</v>
      </c>
      <c r="C4" t="s">
        <v>122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Auto Industry</vt:lpstr>
      <vt:lpstr>Model</vt:lpstr>
      <vt:lpstr>Model 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2015-11-04T01:27:53Z</dcterms:created>
  <dcterms:modified xsi:type="dcterms:W3CDTF">2015-11-07T03:29:56Z</dcterms:modified>
</cp:coreProperties>
</file>