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405" windowHeight="12150" activeTab="1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3" i="2" l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V33" i="2"/>
  <c r="U33" i="2"/>
  <c r="N33" i="2"/>
  <c r="M33" i="2"/>
  <c r="L33" i="2"/>
  <c r="L49" i="2"/>
  <c r="L44" i="2"/>
  <c r="L40" i="2"/>
  <c r="L38" i="2"/>
  <c r="L34" i="2"/>
  <c r="L31" i="2"/>
  <c r="L28" i="2"/>
  <c r="L27" i="2"/>
  <c r="L26" i="2"/>
  <c r="L23" i="2"/>
  <c r="L22" i="2"/>
  <c r="L15" i="2"/>
  <c r="L9" i="2"/>
  <c r="L30" i="2" s="1"/>
  <c r="L5" i="1"/>
  <c r="H23" i="2" l="1"/>
  <c r="K23" i="2"/>
  <c r="G5" i="2"/>
  <c r="K5" i="2" s="1"/>
  <c r="E4" i="2"/>
  <c r="I23" i="2" s="1"/>
  <c r="H5" i="2"/>
  <c r="L5" i="2" s="1"/>
  <c r="L24" i="2" s="1"/>
  <c r="I5" i="2"/>
  <c r="M5" i="2" s="1"/>
  <c r="M7" i="2" s="1"/>
  <c r="T4" i="2"/>
  <c r="U4" i="2" s="1"/>
  <c r="V4" i="2" s="1"/>
  <c r="W4" i="2" s="1"/>
  <c r="X4" i="2" s="1"/>
  <c r="Y4" i="2" s="1"/>
  <c r="X17" i="2"/>
  <c r="W17" i="2"/>
  <c r="V17" i="2"/>
  <c r="U20" i="2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U17" i="2"/>
  <c r="N11" i="2"/>
  <c r="N27" i="2" s="1"/>
  <c r="M11" i="2"/>
  <c r="M27" i="2" s="1"/>
  <c r="M10" i="2"/>
  <c r="M12" i="2"/>
  <c r="M28" i="2" s="1"/>
  <c r="K20" i="2"/>
  <c r="M20" i="2" s="1"/>
  <c r="N20" i="2" s="1"/>
  <c r="K12" i="2"/>
  <c r="K28" i="2" s="1"/>
  <c r="K11" i="2"/>
  <c r="K27" i="2" s="1"/>
  <c r="K10" i="2"/>
  <c r="G31" i="2"/>
  <c r="G28" i="2"/>
  <c r="G27" i="2"/>
  <c r="G26" i="2"/>
  <c r="G22" i="2"/>
  <c r="C15" i="2"/>
  <c r="C13" i="2"/>
  <c r="C9" i="2"/>
  <c r="G15" i="2"/>
  <c r="G13" i="2"/>
  <c r="G9" i="2"/>
  <c r="G30" i="2" s="1"/>
  <c r="H31" i="2"/>
  <c r="H28" i="2"/>
  <c r="H27" i="2"/>
  <c r="H26" i="2"/>
  <c r="H22" i="2"/>
  <c r="D15" i="2"/>
  <c r="D13" i="2"/>
  <c r="D9" i="2"/>
  <c r="H15" i="2"/>
  <c r="H13" i="2"/>
  <c r="H9" i="2"/>
  <c r="H30" i="2" s="1"/>
  <c r="E15" i="2"/>
  <c r="E13" i="2"/>
  <c r="E9" i="2"/>
  <c r="I31" i="2"/>
  <c r="I28" i="2"/>
  <c r="I27" i="2"/>
  <c r="I26" i="2"/>
  <c r="I22" i="2"/>
  <c r="I15" i="2"/>
  <c r="I13" i="2"/>
  <c r="I9" i="2"/>
  <c r="I14" i="2" s="1"/>
  <c r="K13" i="2" l="1"/>
  <c r="H24" i="2"/>
  <c r="E5" i="2"/>
  <c r="I24" i="2" s="1"/>
  <c r="K7" i="2"/>
  <c r="K22" i="2" s="1"/>
  <c r="K24" i="2"/>
  <c r="T5" i="2"/>
  <c r="K26" i="2"/>
  <c r="M13" i="2"/>
  <c r="K9" i="2"/>
  <c r="K30" i="2" s="1"/>
  <c r="M24" i="2"/>
  <c r="N23" i="2"/>
  <c r="M23" i="2"/>
  <c r="U23" i="2"/>
  <c r="M9" i="2"/>
  <c r="M30" i="2" s="1"/>
  <c r="M31" i="2"/>
  <c r="M22" i="2"/>
  <c r="M26" i="2"/>
  <c r="I16" i="2"/>
  <c r="I18" i="2" s="1"/>
  <c r="I19" i="2" s="1"/>
  <c r="I30" i="2"/>
  <c r="U11" i="2"/>
  <c r="L13" i="2"/>
  <c r="L14" i="2" s="1"/>
  <c r="C14" i="2"/>
  <c r="C16" i="2" s="1"/>
  <c r="C18" i="2" s="1"/>
  <c r="C19" i="2" s="1"/>
  <c r="G14" i="2"/>
  <c r="G16" i="2" s="1"/>
  <c r="G18" i="2" s="1"/>
  <c r="G19" i="2" s="1"/>
  <c r="D14" i="2"/>
  <c r="D16" i="2" s="1"/>
  <c r="D18" i="2" s="1"/>
  <c r="D19" i="2" s="1"/>
  <c r="H14" i="2"/>
  <c r="H16" i="2" s="1"/>
  <c r="H18" i="2" s="1"/>
  <c r="H19" i="2" s="1"/>
  <c r="E14" i="2"/>
  <c r="E16" i="2" s="1"/>
  <c r="E18" i="2" s="1"/>
  <c r="E19" i="2" s="1"/>
  <c r="J5" i="2"/>
  <c r="N5" i="2" s="1"/>
  <c r="F4" i="2"/>
  <c r="J23" i="2" s="1"/>
  <c r="J12" i="2"/>
  <c r="N12" i="2" s="1"/>
  <c r="J10" i="2"/>
  <c r="N10" i="2" s="1"/>
  <c r="U10" i="2" s="1"/>
  <c r="J8" i="2"/>
  <c r="J9" i="2" s="1"/>
  <c r="F10" i="2"/>
  <c r="F13" i="2" s="1"/>
  <c r="F8" i="2"/>
  <c r="F9" i="2" s="1"/>
  <c r="J63" i="2"/>
  <c r="J65" i="2" s="1"/>
  <c r="J27" i="2"/>
  <c r="F15" i="2"/>
  <c r="J15" i="2"/>
  <c r="K15" i="2" s="1"/>
  <c r="J22" i="2"/>
  <c r="R15" i="2"/>
  <c r="S15" i="2"/>
  <c r="T15" i="2"/>
  <c r="T13" i="2"/>
  <c r="S13" i="2"/>
  <c r="R13" i="2"/>
  <c r="S31" i="2"/>
  <c r="R31" i="2"/>
  <c r="T31" i="2"/>
  <c r="R9" i="2"/>
  <c r="R30" i="2" s="1"/>
  <c r="S9" i="2"/>
  <c r="S30" i="2" s="1"/>
  <c r="T9" i="2"/>
  <c r="T22" i="2"/>
  <c r="S22" i="2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L25" i="2"/>
  <c r="L4" i="1"/>
  <c r="J28" i="2" l="1"/>
  <c r="J26" i="2"/>
  <c r="K14" i="2"/>
  <c r="K16" i="2" s="1"/>
  <c r="K18" i="2" s="1"/>
  <c r="K19" i="2" s="1"/>
  <c r="L7" i="1"/>
  <c r="S14" i="2"/>
  <c r="S16" i="2" s="1"/>
  <c r="S18" i="2" s="1"/>
  <c r="S19" i="2" s="1"/>
  <c r="R14" i="2"/>
  <c r="R16" i="2" s="1"/>
  <c r="R18" i="2" s="1"/>
  <c r="R19" i="2" s="1"/>
  <c r="N7" i="2"/>
  <c r="N24" i="2"/>
  <c r="F5" i="2"/>
  <c r="J24" i="2" s="1"/>
  <c r="J13" i="2"/>
  <c r="J14" i="2" s="1"/>
  <c r="J16" i="2" s="1"/>
  <c r="J18" i="2" s="1"/>
  <c r="K8" i="2"/>
  <c r="T14" i="2"/>
  <c r="T16" i="2" s="1"/>
  <c r="T18" i="2" s="1"/>
  <c r="T19" i="2" s="1"/>
  <c r="K31" i="2"/>
  <c r="U7" i="2"/>
  <c r="M15" i="2"/>
  <c r="N15" i="2" s="1"/>
  <c r="V10" i="2"/>
  <c r="V11" i="2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T30" i="2"/>
  <c r="J30" i="2"/>
  <c r="M14" i="2"/>
  <c r="V23" i="2"/>
  <c r="N13" i="2"/>
  <c r="N28" i="2"/>
  <c r="U12" i="2"/>
  <c r="M8" i="2"/>
  <c r="N31" i="2"/>
  <c r="N26" i="2"/>
  <c r="J31" i="2"/>
  <c r="F14" i="2"/>
  <c r="F16" i="2" s="1"/>
  <c r="F18" i="2" s="1"/>
  <c r="F19" i="2" s="1"/>
  <c r="L16" i="2" l="1"/>
  <c r="L18" i="2" s="1"/>
  <c r="L19" i="2" s="1"/>
  <c r="U15" i="2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U5" i="2"/>
  <c r="U22" i="2"/>
  <c r="M16" i="2"/>
  <c r="M18" i="2" s="1"/>
  <c r="M19" i="2" s="1"/>
  <c r="N9" i="2"/>
  <c r="N22" i="2"/>
  <c r="N8" i="2"/>
  <c r="J19" i="2"/>
  <c r="J51" i="2"/>
  <c r="V12" i="2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U13" i="2"/>
  <c r="W23" i="2"/>
  <c r="W10" i="2"/>
  <c r="N30" i="2" l="1"/>
  <c r="U9" i="2"/>
  <c r="N14" i="2"/>
  <c r="N16" i="2" s="1"/>
  <c r="N18" i="2" s="1"/>
  <c r="N19" i="2" s="1"/>
  <c r="V13" i="2"/>
  <c r="V5" i="2"/>
  <c r="U24" i="2"/>
  <c r="X23" i="2"/>
  <c r="X10" i="2"/>
  <c r="W13" i="2"/>
  <c r="W5" i="2" l="1"/>
  <c r="V24" i="2"/>
  <c r="V7" i="2"/>
  <c r="U30" i="2"/>
  <c r="U8" i="2"/>
  <c r="U14" i="2"/>
  <c r="U16" i="2" s="1"/>
  <c r="U18" i="2" s="1"/>
  <c r="U19" i="2" s="1"/>
  <c r="Y10" i="2"/>
  <c r="X13" i="2"/>
  <c r="Z4" i="2"/>
  <c r="Y23" i="2"/>
  <c r="V9" i="2" l="1"/>
  <c r="V22" i="2"/>
  <c r="X5" i="2"/>
  <c r="W7" i="2"/>
  <c r="W24" i="2"/>
  <c r="Z23" i="2"/>
  <c r="AA4" i="2"/>
  <c r="Z10" i="2"/>
  <c r="Y13" i="2"/>
  <c r="W22" i="2" l="1"/>
  <c r="W9" i="2"/>
  <c r="W8" i="2" s="1"/>
  <c r="Y5" i="2"/>
  <c r="X7" i="2"/>
  <c r="X24" i="2"/>
  <c r="V14" i="2"/>
  <c r="V16" i="2" s="1"/>
  <c r="V18" i="2" s="1"/>
  <c r="V19" i="2" s="1"/>
  <c r="V8" i="2"/>
  <c r="V30" i="2"/>
  <c r="AA23" i="2"/>
  <c r="AB4" i="2"/>
  <c r="AA10" i="2"/>
  <c r="Z13" i="2"/>
  <c r="X9" i="2" l="1"/>
  <c r="X22" i="2"/>
  <c r="Y24" i="2"/>
  <c r="Y7" i="2"/>
  <c r="Z5" i="2"/>
  <c r="W30" i="2"/>
  <c r="W14" i="2"/>
  <c r="W16" i="2" s="1"/>
  <c r="W18" i="2" s="1"/>
  <c r="W19" i="2" s="1"/>
  <c r="AB10" i="2"/>
  <c r="AA13" i="2"/>
  <c r="AC4" i="2"/>
  <c r="AB23" i="2"/>
  <c r="Y22" i="2" l="1"/>
  <c r="Y9" i="2"/>
  <c r="AA5" i="2"/>
  <c r="Z24" i="2"/>
  <c r="Z7" i="2"/>
  <c r="X8" i="2"/>
  <c r="X30" i="2"/>
  <c r="X14" i="2"/>
  <c r="X16" i="2" s="1"/>
  <c r="X18" i="2" s="1"/>
  <c r="X19" i="2" s="1"/>
  <c r="AD4" i="2"/>
  <c r="AC23" i="2"/>
  <c r="AC10" i="2"/>
  <c r="AB13" i="2"/>
  <c r="Y14" i="2" l="1"/>
  <c r="Y16" i="2" s="1"/>
  <c r="Y17" i="2" s="1"/>
  <c r="Y18" i="2" s="1"/>
  <c r="Y19" i="2" s="1"/>
  <c r="Y8" i="2"/>
  <c r="Y30" i="2"/>
  <c r="Z9" i="2"/>
  <c r="Z22" i="2"/>
  <c r="AB5" i="2"/>
  <c r="AA24" i="2"/>
  <c r="AA7" i="2"/>
  <c r="AD10" i="2"/>
  <c r="AC13" i="2"/>
  <c r="AE4" i="2"/>
  <c r="AD23" i="2"/>
  <c r="AC5" i="2" l="1"/>
  <c r="AB7" i="2"/>
  <c r="AB24" i="2"/>
  <c r="Z30" i="2"/>
  <c r="Z14" i="2"/>
  <c r="Z16" i="2" s="1"/>
  <c r="Z17" i="2" s="1"/>
  <c r="Z18" i="2" s="1"/>
  <c r="Z19" i="2" s="1"/>
  <c r="Z8" i="2"/>
  <c r="AA22" i="2"/>
  <c r="AA9" i="2"/>
  <c r="AF4" i="2"/>
  <c r="AE23" i="2"/>
  <c r="AE10" i="2"/>
  <c r="AD13" i="2"/>
  <c r="AB22" i="2" l="1"/>
  <c r="AB9" i="2"/>
  <c r="AA8" i="2"/>
  <c r="AA14" i="2"/>
  <c r="AA16" i="2" s="1"/>
  <c r="AA17" i="2" s="1"/>
  <c r="AA18" i="2" s="1"/>
  <c r="AA19" i="2" s="1"/>
  <c r="AA30" i="2"/>
  <c r="AC7" i="2"/>
  <c r="AC24" i="2"/>
  <c r="AD5" i="2"/>
  <c r="AF10" i="2"/>
  <c r="AE13" i="2"/>
  <c r="AG4" i="2"/>
  <c r="AF23" i="2"/>
  <c r="AE5" i="2" l="1"/>
  <c r="AD24" i="2"/>
  <c r="AD7" i="2"/>
  <c r="AC9" i="2"/>
  <c r="AC22" i="2"/>
  <c r="AB30" i="2"/>
  <c r="AB8" i="2"/>
  <c r="AB14" i="2"/>
  <c r="AB16" i="2" s="1"/>
  <c r="AB17" i="2" s="1"/>
  <c r="AB18" i="2" s="1"/>
  <c r="AB19" i="2" s="1"/>
  <c r="AH4" i="2"/>
  <c r="AG23" i="2"/>
  <c r="AG10" i="2"/>
  <c r="AF13" i="2"/>
  <c r="AC30" i="2" l="1"/>
  <c r="AC14" i="2"/>
  <c r="AC16" i="2" s="1"/>
  <c r="AC17" i="2" s="1"/>
  <c r="AC18" i="2" s="1"/>
  <c r="AC19" i="2" s="1"/>
  <c r="AC8" i="2"/>
  <c r="AD9" i="2"/>
  <c r="AD22" i="2"/>
  <c r="AF5" i="2"/>
  <c r="AE24" i="2"/>
  <c r="AE7" i="2"/>
  <c r="AH10" i="2"/>
  <c r="AG13" i="2"/>
  <c r="AI4" i="2"/>
  <c r="AI23" i="2" s="1"/>
  <c r="AH23" i="2"/>
  <c r="AE9" i="2" l="1"/>
  <c r="AE22" i="2"/>
  <c r="AG5" i="2"/>
  <c r="AF24" i="2"/>
  <c r="AF7" i="2"/>
  <c r="AD8" i="2"/>
  <c r="AD14" i="2"/>
  <c r="AD16" i="2" s="1"/>
  <c r="AD17" i="2" s="1"/>
  <c r="AD18" i="2" s="1"/>
  <c r="AD19" i="2" s="1"/>
  <c r="AD30" i="2"/>
  <c r="AI10" i="2"/>
  <c r="AI13" i="2" s="1"/>
  <c r="AH13" i="2"/>
  <c r="AF9" i="2" l="1"/>
  <c r="AF8" i="2" s="1"/>
  <c r="AF22" i="2"/>
  <c r="AG7" i="2"/>
  <c r="AH5" i="2"/>
  <c r="AG24" i="2"/>
  <c r="AE8" i="2"/>
  <c r="AE30" i="2"/>
  <c r="AE14" i="2"/>
  <c r="AE16" i="2" s="1"/>
  <c r="AE17" i="2" s="1"/>
  <c r="AE18" i="2" s="1"/>
  <c r="AE19" i="2" s="1"/>
  <c r="AG9" i="2" l="1"/>
  <c r="AG8" i="2" s="1"/>
  <c r="AG22" i="2"/>
  <c r="AH7" i="2"/>
  <c r="AH24" i="2"/>
  <c r="AI5" i="2"/>
  <c r="AF30" i="2"/>
  <c r="AF14" i="2"/>
  <c r="AF16" i="2" s="1"/>
  <c r="AF17" i="2" s="1"/>
  <c r="AF18" i="2" s="1"/>
  <c r="AF19" i="2" s="1"/>
  <c r="AI7" i="2" l="1"/>
  <c r="AI24" i="2"/>
  <c r="AH22" i="2"/>
  <c r="AH9" i="2"/>
  <c r="AG14" i="2"/>
  <c r="AG16" i="2" s="1"/>
  <c r="AG17" i="2" s="1"/>
  <c r="AG18" i="2" s="1"/>
  <c r="AG19" i="2" s="1"/>
  <c r="AG30" i="2"/>
  <c r="AH30" i="2" l="1"/>
  <c r="AH8" i="2"/>
  <c r="AH14" i="2"/>
  <c r="AH16" i="2" s="1"/>
  <c r="AH17" i="2" s="1"/>
  <c r="AH18" i="2" s="1"/>
  <c r="AH19" i="2" s="1"/>
  <c r="AI22" i="2"/>
  <c r="AI9" i="2"/>
  <c r="AI8" i="2" l="1"/>
  <c r="AI30" i="2"/>
  <c r="AI14" i="2"/>
  <c r="AI16" i="2" s="1"/>
  <c r="AI17" i="2" s="1"/>
  <c r="AI18" i="2" s="1"/>
  <c r="AI19" i="2" l="1"/>
  <c r="AJ18" i="2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AL24" i="2" l="1"/>
  <c r="AL26" i="2" s="1"/>
  <c r="AL27" i="2" s="1"/>
</calcChain>
</file>

<file path=xl/comments1.xml><?xml version="1.0" encoding="utf-8"?>
<comments xmlns="http://schemas.openxmlformats.org/spreadsheetml/2006/main">
  <authors>
    <author>Martin Shkreli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guidance 590-610m </t>
        </r>
      </text>
    </comment>
  </commentList>
</comments>
</file>

<file path=xl/sharedStrings.xml><?xml version="1.0" encoding="utf-8"?>
<sst xmlns="http://schemas.openxmlformats.org/spreadsheetml/2006/main" count="90" uniqueCount="82">
  <si>
    <t>Price</t>
  </si>
  <si>
    <t>Shares</t>
  </si>
  <si>
    <t>Q415</t>
  </si>
  <si>
    <t>MC</t>
  </si>
  <si>
    <t>Cash</t>
  </si>
  <si>
    <t>Debt</t>
  </si>
  <si>
    <t>EV</t>
  </si>
  <si>
    <t>Main</t>
  </si>
  <si>
    <t>Revenue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</si>
  <si>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</si>
  <si>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</si>
  <si>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</si>
  <si>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</si>
  <si>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</si>
  <si>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</si>
  <si>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</si>
  <si>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</si>
  <si>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</si>
  <si>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</si>
  <si>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</si>
  <si>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Revenue y/y</t>
  </si>
  <si>
    <t>COGS</t>
  </si>
  <si>
    <t>Gross Margin</t>
  </si>
  <si>
    <t>Gross Profit</t>
  </si>
  <si>
    <t>S&amp;M</t>
  </si>
  <si>
    <t>G&amp;A</t>
  </si>
  <si>
    <t>R&amp;D</t>
  </si>
  <si>
    <t>S&amp;M %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</si>
  <si>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</si>
  <si>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</si>
  <si>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</si>
  <si>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</si>
  <si>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</si>
  <si>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</si>
  <si>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</si>
  <si>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S&amp;M y/y</t>
  </si>
  <si>
    <t>G&amp;A y/y</t>
  </si>
  <si>
    <t>R&amp;D y/y</t>
  </si>
  <si>
    <t>Reported NI</t>
  </si>
  <si>
    <t>Model NI</t>
  </si>
  <si>
    <t>CFFO</t>
  </si>
  <si>
    <t>D&amp;A</t>
  </si>
  <si>
    <t>SBC</t>
  </si>
  <si>
    <t>Convert</t>
  </si>
  <si>
    <t>Bad Debt</t>
  </si>
  <si>
    <t>D/T</t>
  </si>
  <si>
    <t>Other</t>
  </si>
  <si>
    <t>A/R</t>
  </si>
  <si>
    <t>Prepaids</t>
  </si>
  <si>
    <t>A/P</t>
  </si>
  <si>
    <t>A/L</t>
  </si>
  <si>
    <t>CapEx</t>
  </si>
  <si>
    <t>FCF</t>
  </si>
  <si>
    <t>Founded in 2006.</t>
  </si>
  <si>
    <t>Users</t>
  </si>
  <si>
    <t>ARPU</t>
  </si>
  <si>
    <t>Maturity</t>
  </si>
  <si>
    <t>Discount</t>
  </si>
  <si>
    <t>NPV</t>
  </si>
  <si>
    <t>Share</t>
  </si>
  <si>
    <t>Value</t>
  </si>
  <si>
    <t>User Growth</t>
  </si>
  <si>
    <t>ARPU Growth</t>
  </si>
  <si>
    <t>Past Fads &amp; Peak Users</t>
  </si>
  <si>
    <t>Friendster</t>
  </si>
  <si>
    <t>"100 million"</t>
  </si>
  <si>
    <t>MySpace</t>
  </si>
  <si>
    <t>"80 million"</t>
  </si>
  <si>
    <t>MAUs</t>
  </si>
  <si>
    <t>Net Cash</t>
  </si>
  <si>
    <t>Prepaid</t>
  </si>
  <si>
    <t>PP&amp;E</t>
  </si>
  <si>
    <t>Intangibles</t>
  </si>
  <si>
    <t>OA</t>
  </si>
  <si>
    <t>Assets</t>
  </si>
  <si>
    <t>AP</t>
  </si>
  <si>
    <t>AL</t>
  </si>
  <si>
    <t>Capital</t>
  </si>
  <si>
    <t>Tax</t>
  </si>
  <si>
    <t>OLTL</t>
  </si>
  <si>
    <t>SE</t>
  </si>
  <si>
    <t>L+SE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</si>
</sst>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1"/>
    <xf numFmtId="3" fontId="0" fillId="0" borderId="0" xfId="0" applyNumberFormat="1" applyAlignment="1">
      <alignment horizontal="right"/>
    </xf>
    <xf numFmtId="9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9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9" fontId="0" fillId="0" borderId="0" xfId="0" applyNumberFormat="1" applyFont="1"/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4" fontId="1" fillId="0" borderId="0" xfId="0" applyNumberFormat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0</xdr:row>
      <xdr:rowOff>0</xdr:rowOff>
    </xdr:from>
    <xdr:to>
      <xdr:col>12</xdr:col>
      <xdr:colOff>38100</xdr:colOff>
      <xdr:row>75</xdr:row>
      <xdr:rowOff>19050</xdr:rowOff>
    </xdr:to>
    <xdr:cxnSp macro="">
      <xdr:nvCxnSpPr>
        <xdr:cNvPr id="3" name="Straight Connector 2"/>
        <xdr:cNvCxnSpPr/>
      </xdr:nvCxnSpPr>
      <xdr:spPr>
        <a:xfrm>
          <a:off x="7677150" y="0"/>
          <a:ext cx="0" cy="9410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47625</xdr:colOff>
      <xdr:row>0</xdr:row>
      <xdr:rowOff>0</xdr:rowOff>
    </xdr:from>
    <xdr:to>
      <xdr:col>20</xdr:col>
      <xdr:colOff>47625</xdr:colOff>
      <xdr:row>75</xdr:row>
      <xdr:rowOff>19050</xdr:rowOff>
    </xdr:to>
    <xdr:cxnSp macro="">
      <xdr:nvCxnSpPr>
        <xdr:cNvPr id="4" name="Straight Connector 3"/>
        <xdr:cNvCxnSpPr/>
      </xdr:nvCxnSpPr>
      <xdr:spPr>
        <a:xfrm>
          <a:off x="12563475" y="0"/>
          <a:ext cx="0" cy="6981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workbookViewId="0"/>
  </sheetViews>
  <sheetFormatPr defaultRowHeight="12.75" x14ac:dyDescent="0.2"/>
  <cols>
    <col min="1" max="1" width="5.28515625" customWidth="1"/>
    <col min="2" max="2" width="11.85546875" customWidth="1"/>
    <col min="3" max="3" width="12.140625" customWidth="1"/>
  </cols>
  <sheetData>
    <row r="2" spans="2:13" x14ac:dyDescent="0.2">
      <c r="B2" t="s">
        <v>53</v>
      </c>
      <c r="K2" t="s">
        <v>0</v>
      </c>
      <c r="L2" s="1">
        <v>14.4</v>
      </c>
    </row>
    <row r="3" spans="2:13" x14ac:dyDescent="0.2">
      <c r="K3" t="s">
        <v>1</v>
      </c>
      <c r="L3" s="3">
        <v>691.56399999999996</v>
      </c>
      <c r="M3" s="2" t="s">
        <v>16</v>
      </c>
    </row>
    <row r="4" spans="2:13" x14ac:dyDescent="0.2">
      <c r="K4" t="s">
        <v>3</v>
      </c>
      <c r="L4" s="3">
        <f>+L3*L2</f>
        <v>9958.5216</v>
      </c>
    </row>
    <row r="5" spans="2:13" x14ac:dyDescent="0.2">
      <c r="K5" t="s">
        <v>4</v>
      </c>
      <c r="L5" s="3">
        <f>1027.661+2548.749</f>
        <v>3576.41</v>
      </c>
      <c r="M5" s="2" t="s">
        <v>16</v>
      </c>
    </row>
    <row r="6" spans="2:13" x14ac:dyDescent="0.2">
      <c r="K6" t="s">
        <v>5</v>
      </c>
      <c r="L6" s="3">
        <v>1475.5129999999999</v>
      </c>
      <c r="M6" s="2" t="s">
        <v>16</v>
      </c>
    </row>
    <row r="7" spans="2:13" x14ac:dyDescent="0.2">
      <c r="K7" t="s">
        <v>6</v>
      </c>
      <c r="L7" s="3">
        <f>+L4-L5+L6</f>
        <v>7857.6246000000001</v>
      </c>
    </row>
    <row r="9" spans="2:13" x14ac:dyDescent="0.2">
      <c r="L9" s="3"/>
    </row>
    <row r="14" spans="2:13" x14ac:dyDescent="0.2">
      <c r="B14" s="23" t="s">
        <v>63</v>
      </c>
    </row>
    <row r="15" spans="2:13" x14ac:dyDescent="0.2">
      <c r="B15" t="s">
        <v>64</v>
      </c>
      <c r="C15" t="s">
        <v>65</v>
      </c>
    </row>
    <row r="16" spans="2:13" x14ac:dyDescent="0.2">
      <c r="B16" t="s">
        <v>66</v>
      </c>
      <c r="C16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S65"/>
  <sheetViews>
    <sheetView tabSelected="1" zoomScaleNormal="100" workbookViewId="0">
      <pane xSplit="2" ySplit="2" topLeftCell="Q5" activePane="bottomRight" state="frozen"/>
      <selection pane="topRight" activeCell="C1" sqref="C1"/>
      <selection pane="bottomLeft" activeCell="A3" sqref="A3"/>
      <selection pane="bottomRight" activeCell="AI33" sqref="AI33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2"/>
    <col min="38" max="38" width="9.7109375" bestFit="1" customWidth="1"/>
  </cols>
  <sheetData>
    <row r="1" spans="1:35" x14ac:dyDescent="0.2">
      <c r="A1" s="4" t="s">
        <v>7</v>
      </c>
    </row>
    <row r="2" spans="1:35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2</v>
      </c>
      <c r="K2" s="2" t="s">
        <v>16</v>
      </c>
      <c r="L2" s="2" t="s">
        <v>17</v>
      </c>
      <c r="M2" s="2" t="s">
        <v>18</v>
      </c>
      <c r="N2" s="2" t="s">
        <v>19</v>
      </c>
      <c r="Q2">
        <v>2012</v>
      </c>
      <c r="R2">
        <f>+Q2+1</f>
        <v>2013</v>
      </c>
      <c r="S2">
        <f t="shared" ref="S2:AI2" si="0">+R2+1</f>
        <v>2014</v>
      </c>
      <c r="T2">
        <f t="shared" si="0"/>
        <v>2015</v>
      </c>
      <c r="U2">
        <f t="shared" si="0"/>
        <v>2016</v>
      </c>
      <c r="V2">
        <f t="shared" si="0"/>
        <v>2017</v>
      </c>
      <c r="W2">
        <f t="shared" si="0"/>
        <v>2018</v>
      </c>
      <c r="X2">
        <f t="shared" si="0"/>
        <v>2019</v>
      </c>
      <c r="Y2">
        <f t="shared" si="0"/>
        <v>2020</v>
      </c>
      <c r="Z2">
        <f t="shared" si="0"/>
        <v>2021</v>
      </c>
      <c r="AA2">
        <f t="shared" si="0"/>
        <v>2022</v>
      </c>
      <c r="AB2">
        <f t="shared" si="0"/>
        <v>2023</v>
      </c>
      <c r="AC2">
        <f t="shared" si="0"/>
        <v>2024</v>
      </c>
      <c r="AD2">
        <f t="shared" si="0"/>
        <v>2025</v>
      </c>
      <c r="AE2">
        <f t="shared" si="0"/>
        <v>2026</v>
      </c>
      <c r="AF2">
        <f t="shared" si="0"/>
        <v>2027</v>
      </c>
      <c r="AG2">
        <f t="shared" si="0"/>
        <v>2028</v>
      </c>
      <c r="AH2">
        <f t="shared" si="0"/>
        <v>2029</v>
      </c>
      <c r="AI2">
        <f t="shared" si="0"/>
        <v>2030</v>
      </c>
    </row>
    <row r="3" spans="1:35" x14ac:dyDescent="0.2">
      <c r="B3" t="s">
        <v>68</v>
      </c>
      <c r="K3" s="2">
        <v>305</v>
      </c>
      <c r="L3" s="2">
        <v>310</v>
      </c>
    </row>
    <row r="4" spans="1:35" s="10" customFormat="1" x14ac:dyDescent="0.2">
      <c r="B4" s="10" t="s">
        <v>54</v>
      </c>
      <c r="C4" s="11"/>
      <c r="D4" s="11"/>
      <c r="E4" s="9">
        <f>+I4/1.11</f>
        <v>288.28828828828824</v>
      </c>
      <c r="F4" s="9">
        <f>+J4/1.09</f>
        <v>293.57798165137615</v>
      </c>
      <c r="G4" s="11">
        <v>308</v>
      </c>
      <c r="H4" s="11">
        <v>316</v>
      </c>
      <c r="I4" s="11">
        <v>320</v>
      </c>
      <c r="J4" s="11">
        <v>320</v>
      </c>
      <c r="K4" s="11">
        <v>323</v>
      </c>
      <c r="L4" s="11">
        <v>326</v>
      </c>
      <c r="M4" s="11">
        <v>329</v>
      </c>
      <c r="N4" s="11">
        <v>332</v>
      </c>
      <c r="T4" s="10">
        <f>+J4</f>
        <v>320</v>
      </c>
      <c r="U4" s="8">
        <f>+T4*1.03</f>
        <v>329.6</v>
      </c>
      <c r="V4" s="8">
        <f>+U4*1.05</f>
        <v>346.08000000000004</v>
      </c>
      <c r="W4" s="8">
        <f t="shared" ref="W4:Y4" si="1">+V4*1.05</f>
        <v>363.38400000000007</v>
      </c>
      <c r="X4" s="8">
        <f t="shared" si="1"/>
        <v>381.55320000000012</v>
      </c>
      <c r="Y4" s="8">
        <f t="shared" si="1"/>
        <v>400.63086000000015</v>
      </c>
      <c r="Z4" s="8">
        <f t="shared" ref="Z4" si="2">+Y4*1.03</f>
        <v>412.64978580000019</v>
      </c>
      <c r="AA4" s="8">
        <f>+Z4*1</f>
        <v>412.64978580000019</v>
      </c>
      <c r="AB4" s="8">
        <f t="shared" ref="AB4:AI4" si="3">+AA4*1</f>
        <v>412.64978580000019</v>
      </c>
      <c r="AC4" s="8">
        <f t="shared" si="3"/>
        <v>412.64978580000019</v>
      </c>
      <c r="AD4" s="8">
        <f t="shared" si="3"/>
        <v>412.64978580000019</v>
      </c>
      <c r="AE4" s="8">
        <f t="shared" si="3"/>
        <v>412.64978580000019</v>
      </c>
      <c r="AF4" s="8">
        <f t="shared" si="3"/>
        <v>412.64978580000019</v>
      </c>
      <c r="AG4" s="8">
        <f t="shared" si="3"/>
        <v>412.64978580000019</v>
      </c>
      <c r="AH4" s="8">
        <f t="shared" si="3"/>
        <v>412.64978580000019</v>
      </c>
      <c r="AI4" s="8">
        <f t="shared" si="3"/>
        <v>412.64978580000019</v>
      </c>
    </row>
    <row r="5" spans="1:35" x14ac:dyDescent="0.2">
      <c r="B5" t="s">
        <v>55</v>
      </c>
      <c r="E5" s="14">
        <f t="shared" ref="E5:J5" si="4">E7/E4*4</f>
        <v>5.0125657500000012</v>
      </c>
      <c r="F5" s="14">
        <f t="shared" si="4"/>
        <v>6.5274377499999998</v>
      </c>
      <c r="G5" s="14">
        <f t="shared" si="4"/>
        <v>5.6615454545454549</v>
      </c>
      <c r="H5" s="14">
        <f t="shared" si="4"/>
        <v>6.3592784810126579</v>
      </c>
      <c r="I5" s="14">
        <f t="shared" si="4"/>
        <v>7.1154624999999996</v>
      </c>
      <c r="J5" s="14">
        <f t="shared" si="4"/>
        <v>8.8809124999999991</v>
      </c>
      <c r="K5" s="14">
        <f>+G5</f>
        <v>5.6615454545454549</v>
      </c>
      <c r="L5" s="14">
        <f>+H5</f>
        <v>6.3592784810126579</v>
      </c>
      <c r="M5" s="14">
        <f>+I5*1.05</f>
        <v>7.4712356250000003</v>
      </c>
      <c r="N5" s="14">
        <f t="shared" ref="N5" si="5">+J5</f>
        <v>8.8809124999999991</v>
      </c>
      <c r="T5" s="1">
        <f>T7/T4</f>
        <v>6.9313500000000001</v>
      </c>
      <c r="U5" s="1">
        <f>U7/U4</f>
        <v>7.2916130555545973</v>
      </c>
      <c r="V5" s="1">
        <f>+U5*1.3</f>
        <v>9.4790969722209759</v>
      </c>
      <c r="W5" s="1">
        <f t="shared" ref="W5:Y5" si="6">+V5*1.3</f>
        <v>12.32282606388727</v>
      </c>
      <c r="X5" s="1">
        <f t="shared" si="6"/>
        <v>16.01967388305345</v>
      </c>
      <c r="Y5" s="1">
        <f t="shared" si="6"/>
        <v>20.825576047969484</v>
      </c>
      <c r="Z5" s="1">
        <f t="shared" ref="Z5" si="7">+Y5*1.05</f>
        <v>21.866854850367961</v>
      </c>
      <c r="AA5" s="1">
        <f>Z5</f>
        <v>21.866854850367961</v>
      </c>
      <c r="AB5" s="1">
        <f t="shared" ref="AB5:AI5" si="8">AA5</f>
        <v>21.866854850367961</v>
      </c>
      <c r="AC5" s="1">
        <f t="shared" si="8"/>
        <v>21.866854850367961</v>
      </c>
      <c r="AD5" s="1">
        <f t="shared" si="8"/>
        <v>21.866854850367961</v>
      </c>
      <c r="AE5" s="1">
        <f t="shared" si="8"/>
        <v>21.866854850367961</v>
      </c>
      <c r="AF5" s="1">
        <f t="shared" si="8"/>
        <v>21.866854850367961</v>
      </c>
      <c r="AG5" s="1">
        <f t="shared" si="8"/>
        <v>21.866854850367961</v>
      </c>
      <c r="AH5" s="1">
        <f t="shared" si="8"/>
        <v>21.866854850367961</v>
      </c>
      <c r="AI5" s="1">
        <f t="shared" si="8"/>
        <v>21.866854850367961</v>
      </c>
    </row>
    <row r="6" spans="1:35" x14ac:dyDescent="0.2">
      <c r="G6" s="21"/>
      <c r="K6" s="21"/>
    </row>
    <row r="7" spans="1:35" s="8" customFormat="1" x14ac:dyDescent="0.2">
      <c r="B7" s="8" t="s">
        <v>8</v>
      </c>
      <c r="C7" s="9">
        <v>250.49199999999999</v>
      </c>
      <c r="D7" s="9">
        <v>312.166</v>
      </c>
      <c r="E7" s="9">
        <v>361.26600000000002</v>
      </c>
      <c r="F7" s="9">
        <v>479.07799999999997</v>
      </c>
      <c r="G7" s="9">
        <v>435.93900000000002</v>
      </c>
      <c r="H7" s="9">
        <v>502.38299999999998</v>
      </c>
      <c r="I7" s="9">
        <v>569.23699999999997</v>
      </c>
      <c r="J7" s="9">
        <v>710.47299999999996</v>
      </c>
      <c r="K7" s="9">
        <f>+K5*K4/4</f>
        <v>457.16979545454546</v>
      </c>
      <c r="L7" s="9">
        <v>594.52099999999996</v>
      </c>
      <c r="M7" s="9">
        <f>+M5*M4/4</f>
        <v>614.50913015624997</v>
      </c>
      <c r="N7" s="9">
        <f t="shared" ref="N7" si="9">+N5*N4/4</f>
        <v>737.11573749999991</v>
      </c>
      <c r="R7" s="8">
        <v>664.89</v>
      </c>
      <c r="S7" s="8">
        <v>1403</v>
      </c>
      <c r="T7" s="8">
        <v>2218.0320000000002</v>
      </c>
      <c r="U7" s="8">
        <f>SUM(K7:N7)</f>
        <v>2403.3156631107954</v>
      </c>
      <c r="V7" s="8">
        <f t="shared" ref="V7:AI7" si="10">+V5*V4</f>
        <v>3280.5258801462355</v>
      </c>
      <c r="W7" s="8">
        <f t="shared" si="10"/>
        <v>4477.9178263996127</v>
      </c>
      <c r="X7" s="8">
        <f t="shared" si="10"/>
        <v>6112.3578330354712</v>
      </c>
      <c r="Y7" s="8">
        <f t="shared" si="10"/>
        <v>8343.3684420934187</v>
      </c>
      <c r="Z7" s="8">
        <f t="shared" si="10"/>
        <v>9023.352970124035</v>
      </c>
      <c r="AA7" s="8">
        <f t="shared" si="10"/>
        <v>9023.352970124035</v>
      </c>
      <c r="AB7" s="8">
        <f t="shared" si="10"/>
        <v>9023.352970124035</v>
      </c>
      <c r="AC7" s="8">
        <f t="shared" si="10"/>
        <v>9023.352970124035</v>
      </c>
      <c r="AD7" s="8">
        <f t="shared" si="10"/>
        <v>9023.352970124035</v>
      </c>
      <c r="AE7" s="8">
        <f t="shared" si="10"/>
        <v>9023.352970124035</v>
      </c>
      <c r="AF7" s="8">
        <f t="shared" si="10"/>
        <v>9023.352970124035</v>
      </c>
      <c r="AG7" s="8">
        <f t="shared" si="10"/>
        <v>9023.352970124035</v>
      </c>
      <c r="AH7" s="8">
        <f t="shared" si="10"/>
        <v>9023.352970124035</v>
      </c>
      <c r="AI7" s="8">
        <f t="shared" si="10"/>
        <v>9023.352970124035</v>
      </c>
    </row>
    <row r="8" spans="1:35" s="3" customFormat="1" x14ac:dyDescent="0.2">
      <c r="B8" s="3" t="s">
        <v>21</v>
      </c>
      <c r="C8" s="5">
        <v>85.503</v>
      </c>
      <c r="D8" s="5">
        <v>100.027</v>
      </c>
      <c r="E8" s="5">
        <v>124.166</v>
      </c>
      <c r="F8" s="5">
        <f>136.613-7.524</f>
        <v>129.089</v>
      </c>
      <c r="G8" s="5">
        <v>143.47499999999999</v>
      </c>
      <c r="H8" s="5">
        <v>167.62299999999999</v>
      </c>
      <c r="I8" s="5">
        <v>200.19499999999999</v>
      </c>
      <c r="J8" s="5">
        <f>217.963-10.405-1.087</f>
        <v>206.471</v>
      </c>
      <c r="K8" s="5">
        <f>+K7-K9</f>
        <v>137.15093863636366</v>
      </c>
      <c r="L8" s="5">
        <v>198.405</v>
      </c>
      <c r="M8" s="5">
        <f t="shared" ref="M8:N8" si="11">+M7-M9</f>
        <v>184.352739046875</v>
      </c>
      <c r="N8" s="5">
        <f t="shared" si="11"/>
        <v>221.13472124999998</v>
      </c>
      <c r="R8" s="3">
        <v>266.71800000000002</v>
      </c>
      <c r="S8" s="3">
        <v>446.30900000000003</v>
      </c>
      <c r="T8" s="3">
        <v>729.25599999999997</v>
      </c>
      <c r="U8" s="3">
        <f>U7-U9</f>
        <v>741.04339893323868</v>
      </c>
      <c r="V8" s="3">
        <f>V7-V9</f>
        <v>984.15776404387088</v>
      </c>
      <c r="W8" s="3">
        <f>W7-W9</f>
        <v>1343.375347919884</v>
      </c>
      <c r="X8" s="3">
        <f t="shared" ref="X8:AI8" si="12">X7-X9</f>
        <v>1833.7073499106418</v>
      </c>
      <c r="Y8" s="3">
        <f t="shared" si="12"/>
        <v>2503.0105326280263</v>
      </c>
      <c r="Z8" s="3">
        <f t="shared" si="12"/>
        <v>2707.0058910372109</v>
      </c>
      <c r="AA8" s="3">
        <f t="shared" si="12"/>
        <v>2707.0058910372109</v>
      </c>
      <c r="AB8" s="3">
        <f t="shared" si="12"/>
        <v>2707.0058910372109</v>
      </c>
      <c r="AC8" s="3">
        <f t="shared" si="12"/>
        <v>2707.0058910372109</v>
      </c>
      <c r="AD8" s="3">
        <f t="shared" si="12"/>
        <v>2707.0058910372109</v>
      </c>
      <c r="AE8" s="3">
        <f t="shared" si="12"/>
        <v>2707.0058910372109</v>
      </c>
      <c r="AF8" s="3">
        <f t="shared" si="12"/>
        <v>2707.0058910372109</v>
      </c>
      <c r="AG8" s="3">
        <f t="shared" si="12"/>
        <v>2707.0058910372109</v>
      </c>
      <c r="AH8" s="3">
        <f t="shared" si="12"/>
        <v>2707.0058910372109</v>
      </c>
      <c r="AI8" s="3">
        <f t="shared" si="12"/>
        <v>2707.0058910372109</v>
      </c>
    </row>
    <row r="9" spans="1:35" s="3" customFormat="1" x14ac:dyDescent="0.2">
      <c r="B9" s="3" t="s">
        <v>23</v>
      </c>
      <c r="C9" s="5">
        <f t="shared" ref="C9:J9" si="13">+C7-C8</f>
        <v>164.98899999999998</v>
      </c>
      <c r="D9" s="5">
        <f t="shared" si="13"/>
        <v>212.13900000000001</v>
      </c>
      <c r="E9" s="5">
        <f t="shared" si="13"/>
        <v>237.10000000000002</v>
      </c>
      <c r="F9" s="5">
        <f t="shared" si="13"/>
        <v>349.98899999999998</v>
      </c>
      <c r="G9" s="5">
        <f t="shared" si="13"/>
        <v>292.46400000000006</v>
      </c>
      <c r="H9" s="5">
        <f t="shared" si="13"/>
        <v>334.76</v>
      </c>
      <c r="I9" s="5">
        <f t="shared" si="13"/>
        <v>369.04199999999997</v>
      </c>
      <c r="J9" s="5">
        <f t="shared" si="13"/>
        <v>504.00199999999995</v>
      </c>
      <c r="K9" s="5">
        <f>+K7*0.7</f>
        <v>320.0188568181818</v>
      </c>
      <c r="L9" s="5">
        <f>+L7-L8</f>
        <v>396.11599999999999</v>
      </c>
      <c r="M9" s="5">
        <f t="shared" ref="M9:N9" si="14">+M7*0.7</f>
        <v>430.15639110937497</v>
      </c>
      <c r="N9" s="5">
        <f t="shared" si="14"/>
        <v>515.98101624999993</v>
      </c>
      <c r="R9" s="3">
        <f>+R7-R8</f>
        <v>398.17199999999997</v>
      </c>
      <c r="S9" s="3">
        <f>+S7-S8</f>
        <v>956.69100000000003</v>
      </c>
      <c r="T9" s="3">
        <f>+T7-T8</f>
        <v>1488.7760000000003</v>
      </c>
      <c r="U9" s="19">
        <f>SUM(K9:N9)</f>
        <v>1662.2722641775567</v>
      </c>
      <c r="V9" s="19">
        <f>+V7*0.7</f>
        <v>2296.3681161023646</v>
      </c>
      <c r="W9" s="19">
        <f>+W7*0.7</f>
        <v>3134.5424784797287</v>
      </c>
      <c r="X9" s="19">
        <f t="shared" ref="X9:AI9" si="15">+X7*0.7</f>
        <v>4278.6504831248294</v>
      </c>
      <c r="Y9" s="19">
        <f t="shared" si="15"/>
        <v>5840.3579094653924</v>
      </c>
      <c r="Z9" s="19">
        <f t="shared" si="15"/>
        <v>6316.3470790868241</v>
      </c>
      <c r="AA9" s="19">
        <f t="shared" si="15"/>
        <v>6316.3470790868241</v>
      </c>
      <c r="AB9" s="19">
        <f t="shared" si="15"/>
        <v>6316.3470790868241</v>
      </c>
      <c r="AC9" s="19">
        <f t="shared" si="15"/>
        <v>6316.3470790868241</v>
      </c>
      <c r="AD9" s="19">
        <f t="shared" si="15"/>
        <v>6316.3470790868241</v>
      </c>
      <c r="AE9" s="19">
        <f t="shared" si="15"/>
        <v>6316.3470790868241</v>
      </c>
      <c r="AF9" s="19">
        <f t="shared" si="15"/>
        <v>6316.3470790868241</v>
      </c>
      <c r="AG9" s="19">
        <f t="shared" si="15"/>
        <v>6316.3470790868241</v>
      </c>
      <c r="AH9" s="19">
        <f t="shared" si="15"/>
        <v>6316.3470790868241</v>
      </c>
      <c r="AI9" s="19">
        <f t="shared" si="15"/>
        <v>6316.3470790868241</v>
      </c>
    </row>
    <row r="10" spans="1:35" s="3" customFormat="1" x14ac:dyDescent="0.2">
      <c r="B10" s="3" t="s">
        <v>24</v>
      </c>
      <c r="C10" s="5">
        <v>106.235</v>
      </c>
      <c r="D10" s="5">
        <v>140.261</v>
      </c>
      <c r="E10" s="5">
        <v>164.01499999999999</v>
      </c>
      <c r="F10" s="5">
        <f>203.599-2.53</f>
        <v>201.06899999999999</v>
      </c>
      <c r="G10" s="5">
        <v>183.55699999999999</v>
      </c>
      <c r="H10" s="5">
        <v>201.94800000000001</v>
      </c>
      <c r="I10" s="5">
        <v>208.797</v>
      </c>
      <c r="J10" s="5">
        <f>277.189-4.949-2.741</f>
        <v>269.49900000000002</v>
      </c>
      <c r="K10" s="5">
        <f>+G10*1.3</f>
        <v>238.6241</v>
      </c>
      <c r="L10" s="5">
        <v>236.17099999999999</v>
      </c>
      <c r="M10" s="5">
        <f t="shared" ref="M10:M11" si="16">+I10*1.25</f>
        <v>260.99624999999997</v>
      </c>
      <c r="N10" s="5">
        <f t="shared" ref="N10:N11" si="17">+J10*1.25</f>
        <v>336.87375000000003</v>
      </c>
      <c r="R10" s="3">
        <v>316.21600000000001</v>
      </c>
      <c r="S10" s="3">
        <v>614.11</v>
      </c>
      <c r="T10" s="3">
        <v>871.49099999999999</v>
      </c>
      <c r="U10" s="19">
        <f t="shared" ref="U10:U12" si="18">SUM(K10:N10)</f>
        <v>1072.6650999999999</v>
      </c>
      <c r="V10" s="19">
        <f>+U10*1.2</f>
        <v>1287.1981199999998</v>
      </c>
      <c r="W10" s="19">
        <f>+V10*1.15</f>
        <v>1480.2778379999997</v>
      </c>
      <c r="X10" s="19">
        <f t="shared" ref="X10:Y10" si="19">+W10*1.05</f>
        <v>1554.2917298999998</v>
      </c>
      <c r="Y10" s="19">
        <f t="shared" si="19"/>
        <v>1632.0063163949999</v>
      </c>
      <c r="Z10" s="19">
        <f>+Y10</f>
        <v>1632.0063163949999</v>
      </c>
      <c r="AA10" s="19">
        <f t="shared" ref="AA10:AI10" si="20">+Z10</f>
        <v>1632.0063163949999</v>
      </c>
      <c r="AB10" s="19">
        <f t="shared" si="20"/>
        <v>1632.0063163949999</v>
      </c>
      <c r="AC10" s="19">
        <f t="shared" si="20"/>
        <v>1632.0063163949999</v>
      </c>
      <c r="AD10" s="19">
        <f t="shared" si="20"/>
        <v>1632.0063163949999</v>
      </c>
      <c r="AE10" s="19">
        <f t="shared" si="20"/>
        <v>1632.0063163949999</v>
      </c>
      <c r="AF10" s="19">
        <f t="shared" si="20"/>
        <v>1632.0063163949999</v>
      </c>
      <c r="AG10" s="19">
        <f t="shared" si="20"/>
        <v>1632.0063163949999</v>
      </c>
      <c r="AH10" s="19">
        <f t="shared" si="20"/>
        <v>1632.0063163949999</v>
      </c>
      <c r="AI10" s="19">
        <f t="shared" si="20"/>
        <v>1632.0063163949999</v>
      </c>
    </row>
    <row r="11" spans="1:35" s="3" customFormat="1" x14ac:dyDescent="0.2">
      <c r="B11" s="3" t="s">
        <v>25</v>
      </c>
      <c r="C11" s="5">
        <v>38.734000000000002</v>
      </c>
      <c r="D11" s="5">
        <v>44.694000000000003</v>
      </c>
      <c r="E11" s="5">
        <v>51.173999999999999</v>
      </c>
      <c r="F11" s="5">
        <v>55.304000000000002</v>
      </c>
      <c r="G11" s="5">
        <v>65.777000000000001</v>
      </c>
      <c r="H11" s="5">
        <v>64.909000000000006</v>
      </c>
      <c r="I11" s="5">
        <v>57.545000000000002</v>
      </c>
      <c r="J11" s="5">
        <v>72.441999999999993</v>
      </c>
      <c r="K11" s="5">
        <f>+G11*1.3</f>
        <v>85.510100000000008</v>
      </c>
      <c r="L11" s="5">
        <v>63.267000000000003</v>
      </c>
      <c r="M11" s="5">
        <f t="shared" si="16"/>
        <v>71.931250000000006</v>
      </c>
      <c r="N11" s="5">
        <f t="shared" si="17"/>
        <v>90.552499999999995</v>
      </c>
      <c r="R11" s="3">
        <v>123.795</v>
      </c>
      <c r="S11" s="3">
        <v>189.90600000000001</v>
      </c>
      <c r="T11" s="3">
        <v>260.673</v>
      </c>
      <c r="U11" s="19">
        <f t="shared" si="18"/>
        <v>311.26085</v>
      </c>
      <c r="V11" s="19">
        <f>+U11*1.1</f>
        <v>342.38693500000005</v>
      </c>
      <c r="W11" s="19">
        <f t="shared" ref="W11:Y11" si="21">+V11*1.05</f>
        <v>359.50628175000008</v>
      </c>
      <c r="X11" s="19">
        <f t="shared" si="21"/>
        <v>377.48159583750009</v>
      </c>
      <c r="Y11" s="19">
        <f t="shared" si="21"/>
        <v>396.35567562937513</v>
      </c>
      <c r="Z11" s="19">
        <f t="shared" ref="Z11:AI12" si="22">+Y11</f>
        <v>396.35567562937513</v>
      </c>
      <c r="AA11" s="19">
        <f t="shared" si="22"/>
        <v>396.35567562937513</v>
      </c>
      <c r="AB11" s="19">
        <f t="shared" si="22"/>
        <v>396.35567562937513</v>
      </c>
      <c r="AC11" s="19">
        <f t="shared" si="22"/>
        <v>396.35567562937513</v>
      </c>
      <c r="AD11" s="19">
        <f t="shared" si="22"/>
        <v>396.35567562937513</v>
      </c>
      <c r="AE11" s="19">
        <f t="shared" si="22"/>
        <v>396.35567562937513</v>
      </c>
      <c r="AF11" s="19">
        <f t="shared" si="22"/>
        <v>396.35567562937513</v>
      </c>
      <c r="AG11" s="19">
        <f t="shared" si="22"/>
        <v>396.35567562937513</v>
      </c>
      <c r="AH11" s="19">
        <f t="shared" si="22"/>
        <v>396.35567562937513</v>
      </c>
      <c r="AI11" s="19">
        <f t="shared" si="22"/>
        <v>396.35567562937513</v>
      </c>
    </row>
    <row r="12" spans="1:35" s="3" customFormat="1" x14ac:dyDescent="0.2">
      <c r="B12" s="3" t="s">
        <v>26</v>
      </c>
      <c r="C12" s="5">
        <v>149.39099999999999</v>
      </c>
      <c r="D12" s="5">
        <v>177.095</v>
      </c>
      <c r="E12" s="5">
        <v>183.34200000000001</v>
      </c>
      <c r="F12" s="5">
        <v>181.715</v>
      </c>
      <c r="G12" s="5">
        <v>189.74600000000001</v>
      </c>
      <c r="H12" s="5">
        <v>198.90700000000001</v>
      </c>
      <c r="I12" s="5">
        <v>207.93700000000001</v>
      </c>
      <c r="J12" s="5">
        <f>210.058-8.746-0.064</f>
        <v>201.24799999999999</v>
      </c>
      <c r="K12" s="5">
        <f>+G12*1.1</f>
        <v>208.72060000000002</v>
      </c>
      <c r="L12" s="5">
        <v>155.79400000000001</v>
      </c>
      <c r="M12" s="5">
        <f t="shared" ref="M12:N12" si="23">+I12*1.1</f>
        <v>228.73070000000004</v>
      </c>
      <c r="N12" s="5">
        <f t="shared" si="23"/>
        <v>221.37280000000001</v>
      </c>
      <c r="R12" s="3">
        <v>593.99199999999996</v>
      </c>
      <c r="S12" s="3">
        <v>691.54300000000001</v>
      </c>
      <c r="T12" s="3">
        <v>806.64800000000002</v>
      </c>
      <c r="U12" s="19">
        <f t="shared" si="18"/>
        <v>814.61810000000003</v>
      </c>
      <c r="V12" s="19">
        <f>+U12*1.1</f>
        <v>896.07991000000015</v>
      </c>
      <c r="W12" s="19">
        <f t="shared" ref="W12:Y12" si="24">+V12*1.03</f>
        <v>922.96230730000013</v>
      </c>
      <c r="X12" s="19">
        <f t="shared" si="24"/>
        <v>950.65117651900016</v>
      </c>
      <c r="Y12" s="19">
        <f t="shared" si="24"/>
        <v>979.17071181457015</v>
      </c>
      <c r="Z12" s="19">
        <f t="shared" si="22"/>
        <v>979.17071181457015</v>
      </c>
      <c r="AA12" s="19">
        <f t="shared" si="22"/>
        <v>979.17071181457015</v>
      </c>
      <c r="AB12" s="19">
        <f t="shared" si="22"/>
        <v>979.17071181457015</v>
      </c>
      <c r="AC12" s="19">
        <f t="shared" si="22"/>
        <v>979.17071181457015</v>
      </c>
      <c r="AD12" s="19">
        <f t="shared" si="22"/>
        <v>979.17071181457015</v>
      </c>
      <c r="AE12" s="19">
        <f t="shared" si="22"/>
        <v>979.17071181457015</v>
      </c>
      <c r="AF12" s="19">
        <f t="shared" si="22"/>
        <v>979.17071181457015</v>
      </c>
      <c r="AG12" s="19">
        <f t="shared" si="22"/>
        <v>979.17071181457015</v>
      </c>
      <c r="AH12" s="19">
        <f t="shared" si="22"/>
        <v>979.17071181457015</v>
      </c>
      <c r="AI12" s="19">
        <f t="shared" si="22"/>
        <v>979.17071181457015</v>
      </c>
    </row>
    <row r="13" spans="1:35" s="3" customFormat="1" x14ac:dyDescent="0.2">
      <c r="B13" s="3" t="s">
        <v>28</v>
      </c>
      <c r="C13" s="3">
        <f t="shared" ref="C13:K13" si="25">SUM(C10:C12)</f>
        <v>294.36</v>
      </c>
      <c r="D13" s="3">
        <f t="shared" si="25"/>
        <v>362.04999999999995</v>
      </c>
      <c r="E13" s="3">
        <f t="shared" si="25"/>
        <v>398.53100000000001</v>
      </c>
      <c r="F13" s="3">
        <f t="shared" si="25"/>
        <v>438.08799999999997</v>
      </c>
      <c r="G13" s="3">
        <f t="shared" si="25"/>
        <v>439.08000000000004</v>
      </c>
      <c r="H13" s="3">
        <f t="shared" si="25"/>
        <v>465.76400000000001</v>
      </c>
      <c r="I13" s="3">
        <f t="shared" si="25"/>
        <v>474.279</v>
      </c>
      <c r="J13" s="3">
        <f t="shared" si="25"/>
        <v>543.18900000000008</v>
      </c>
      <c r="K13" s="3">
        <f t="shared" si="25"/>
        <v>532.85480000000007</v>
      </c>
      <c r="L13" s="3">
        <f t="shared" ref="L13:N13" si="26">SUM(L10:L12)</f>
        <v>455.23199999999997</v>
      </c>
      <c r="M13" s="3">
        <f t="shared" si="26"/>
        <v>561.65820000000008</v>
      </c>
      <c r="N13" s="3">
        <f t="shared" si="26"/>
        <v>648.79905000000008</v>
      </c>
      <c r="R13" s="3">
        <f t="shared" ref="R13:W13" si="27">SUM(R10:R12)</f>
        <v>1034.0029999999999</v>
      </c>
      <c r="S13" s="3">
        <f t="shared" si="27"/>
        <v>1495.5590000000002</v>
      </c>
      <c r="T13" s="3">
        <f t="shared" si="27"/>
        <v>1938.8119999999999</v>
      </c>
      <c r="U13" s="3">
        <f t="shared" si="27"/>
        <v>2198.54405</v>
      </c>
      <c r="V13" s="3">
        <f t="shared" si="27"/>
        <v>2525.6649649999999</v>
      </c>
      <c r="W13" s="3">
        <f t="shared" si="27"/>
        <v>2762.74642705</v>
      </c>
      <c r="X13" s="3">
        <f t="shared" ref="X13:AI13" si="28">SUM(X10:X12)</f>
        <v>2882.4245022565001</v>
      </c>
      <c r="Y13" s="3">
        <f t="shared" si="28"/>
        <v>3007.5327038389451</v>
      </c>
      <c r="Z13" s="3">
        <f t="shared" si="28"/>
        <v>3007.5327038389451</v>
      </c>
      <c r="AA13" s="3">
        <f t="shared" si="28"/>
        <v>3007.5327038389451</v>
      </c>
      <c r="AB13" s="3">
        <f t="shared" si="28"/>
        <v>3007.5327038389451</v>
      </c>
      <c r="AC13" s="3">
        <f t="shared" si="28"/>
        <v>3007.5327038389451</v>
      </c>
      <c r="AD13" s="3">
        <f t="shared" si="28"/>
        <v>3007.5327038389451</v>
      </c>
      <c r="AE13" s="3">
        <f t="shared" si="28"/>
        <v>3007.5327038389451</v>
      </c>
      <c r="AF13" s="3">
        <f t="shared" si="28"/>
        <v>3007.5327038389451</v>
      </c>
      <c r="AG13" s="3">
        <f t="shared" si="28"/>
        <v>3007.5327038389451</v>
      </c>
      <c r="AH13" s="3">
        <f t="shared" si="28"/>
        <v>3007.5327038389451</v>
      </c>
      <c r="AI13" s="3">
        <f t="shared" si="28"/>
        <v>3007.5327038389451</v>
      </c>
    </row>
    <row r="14" spans="1:35" s="19" customFormat="1" x14ac:dyDescent="0.2">
      <c r="B14" s="19" t="s">
        <v>29</v>
      </c>
      <c r="C14" s="19">
        <f t="shared" ref="C14:F14" si="29">C9-C13</f>
        <v>-129.37100000000004</v>
      </c>
      <c r="D14" s="19">
        <f t="shared" si="29"/>
        <v>-149.91099999999994</v>
      </c>
      <c r="E14" s="19">
        <f t="shared" si="29"/>
        <v>-161.43099999999998</v>
      </c>
      <c r="F14" s="19">
        <f t="shared" si="29"/>
        <v>-88.09899999999999</v>
      </c>
      <c r="G14" s="19">
        <f t="shared" ref="G14:K14" si="30">G9-G13</f>
        <v>-146.61599999999999</v>
      </c>
      <c r="H14" s="19">
        <f t="shared" si="30"/>
        <v>-131.00400000000002</v>
      </c>
      <c r="I14" s="19">
        <f>I9-I13</f>
        <v>-105.23700000000002</v>
      </c>
      <c r="J14" s="19">
        <f>J9-J13</f>
        <v>-39.187000000000126</v>
      </c>
      <c r="K14" s="19">
        <f t="shared" si="30"/>
        <v>-212.83594318181827</v>
      </c>
      <c r="L14" s="19">
        <f t="shared" ref="L14" si="31">L9-L13</f>
        <v>-59.115999999999985</v>
      </c>
      <c r="M14" s="19">
        <f t="shared" ref="M14" si="32">M9-M13</f>
        <v>-131.50180889062511</v>
      </c>
      <c r="N14" s="8">
        <f t="shared" ref="N14" si="33">N9-N13</f>
        <v>-132.81803375000015</v>
      </c>
      <c r="R14" s="19">
        <f t="shared" ref="R14:S14" si="34">R9-R13</f>
        <v>-635.8309999999999</v>
      </c>
      <c r="S14" s="19">
        <f t="shared" si="34"/>
        <v>-538.86800000000017</v>
      </c>
      <c r="T14" s="19">
        <f>T9-T13</f>
        <v>-450.0359999999996</v>
      </c>
      <c r="U14" s="19">
        <f>U9-U13</f>
        <v>-536.27178582244323</v>
      </c>
      <c r="V14" s="19">
        <f>V9-V13</f>
        <v>-229.2968488976353</v>
      </c>
      <c r="W14" s="19">
        <f>W9-W13</f>
        <v>371.79605142972878</v>
      </c>
      <c r="X14" s="19">
        <f t="shared" ref="X14:AI14" si="35">X9-X13</f>
        <v>1396.2259808683293</v>
      </c>
      <c r="Y14" s="19">
        <f t="shared" si="35"/>
        <v>2832.8252056264473</v>
      </c>
      <c r="Z14" s="19">
        <f t="shared" si="35"/>
        <v>3308.8143752478791</v>
      </c>
      <c r="AA14" s="19">
        <f t="shared" si="35"/>
        <v>3308.8143752478791</v>
      </c>
      <c r="AB14" s="19">
        <f t="shared" si="35"/>
        <v>3308.8143752478791</v>
      </c>
      <c r="AC14" s="19">
        <f t="shared" si="35"/>
        <v>3308.8143752478791</v>
      </c>
      <c r="AD14" s="19">
        <f t="shared" si="35"/>
        <v>3308.8143752478791</v>
      </c>
      <c r="AE14" s="19">
        <f t="shared" si="35"/>
        <v>3308.8143752478791</v>
      </c>
      <c r="AF14" s="19">
        <f t="shared" si="35"/>
        <v>3308.8143752478791</v>
      </c>
      <c r="AG14" s="19">
        <f t="shared" si="35"/>
        <v>3308.8143752478791</v>
      </c>
      <c r="AH14" s="19">
        <f t="shared" si="35"/>
        <v>3308.8143752478791</v>
      </c>
      <c r="AI14" s="19">
        <f t="shared" si="35"/>
        <v>3308.8143752478791</v>
      </c>
    </row>
    <row r="15" spans="1:35" s="3" customFormat="1" x14ac:dyDescent="0.2">
      <c r="B15" s="3" t="s">
        <v>30</v>
      </c>
      <c r="C15" s="5">
        <f>-3.102+1.333</f>
        <v>-1.7689999999999999</v>
      </c>
      <c r="D15" s="5">
        <f>-2.654+2.324</f>
        <v>-0.33000000000000007</v>
      </c>
      <c r="E15" s="5">
        <f>-6.079-7.795</f>
        <v>-13.873999999999999</v>
      </c>
      <c r="F15" s="5">
        <f>-24.083+0.571</f>
        <v>-23.511999999999997</v>
      </c>
      <c r="G15" s="5">
        <f>-24.319+9.125</f>
        <v>-15.193999999999999</v>
      </c>
      <c r="H15" s="5">
        <f>-24.437-0.695</f>
        <v>-25.132000000000001</v>
      </c>
      <c r="I15" s="5">
        <f>-25.239+1.948</f>
        <v>-23.291</v>
      </c>
      <c r="J15" s="5">
        <f>-24.183+4.531</f>
        <v>-19.652000000000001</v>
      </c>
      <c r="K15" s="5">
        <f>+J15</f>
        <v>-19.652000000000001</v>
      </c>
      <c r="L15" s="5">
        <f>-24.893+6.306</f>
        <v>-18.587</v>
      </c>
      <c r="M15" s="5">
        <f t="shared" ref="M15:N15" si="36">+L15</f>
        <v>-18.587</v>
      </c>
      <c r="N15" s="5">
        <f t="shared" si="36"/>
        <v>-18.587</v>
      </c>
      <c r="R15" s="3">
        <f>-7.576-3.739</f>
        <v>-11.315</v>
      </c>
      <c r="S15" s="3">
        <f>-35.918-3.567</f>
        <v>-39.484999999999999</v>
      </c>
      <c r="T15" s="3">
        <f>-98.178+14.909</f>
        <v>-83.268999999999991</v>
      </c>
      <c r="U15" s="19">
        <f t="shared" ref="U15:W17" si="37">SUM(K15:N15)</f>
        <v>-75.413000000000011</v>
      </c>
      <c r="V15" s="19">
        <f>+U15</f>
        <v>-75.413000000000011</v>
      </c>
      <c r="W15" s="19">
        <f>+V15</f>
        <v>-75.413000000000011</v>
      </c>
      <c r="X15" s="19">
        <f t="shared" ref="X15:AI15" si="38">+W15</f>
        <v>-75.413000000000011</v>
      </c>
      <c r="Y15" s="19">
        <f t="shared" si="38"/>
        <v>-75.413000000000011</v>
      </c>
      <c r="Z15" s="19">
        <f t="shared" si="38"/>
        <v>-75.413000000000011</v>
      </c>
      <c r="AA15" s="19">
        <f t="shared" si="38"/>
        <v>-75.413000000000011</v>
      </c>
      <c r="AB15" s="19">
        <f t="shared" si="38"/>
        <v>-75.413000000000011</v>
      </c>
      <c r="AC15" s="19">
        <f t="shared" si="38"/>
        <v>-75.413000000000011</v>
      </c>
      <c r="AD15" s="19">
        <f t="shared" si="38"/>
        <v>-75.413000000000011</v>
      </c>
      <c r="AE15" s="19">
        <f t="shared" si="38"/>
        <v>-75.413000000000011</v>
      </c>
      <c r="AF15" s="19">
        <f t="shared" si="38"/>
        <v>-75.413000000000011</v>
      </c>
      <c r="AG15" s="19">
        <f t="shared" si="38"/>
        <v>-75.413000000000011</v>
      </c>
      <c r="AH15" s="19">
        <f t="shared" si="38"/>
        <v>-75.413000000000011</v>
      </c>
      <c r="AI15" s="19">
        <f t="shared" si="38"/>
        <v>-75.413000000000011</v>
      </c>
    </row>
    <row r="16" spans="1:35" s="3" customFormat="1" x14ac:dyDescent="0.2">
      <c r="B16" s="3" t="s">
        <v>31</v>
      </c>
      <c r="C16" s="5">
        <f t="shared" ref="C16:K16" si="39">+C14+C15</f>
        <v>-131.14000000000004</v>
      </c>
      <c r="D16" s="5">
        <f t="shared" si="39"/>
        <v>-150.24099999999996</v>
      </c>
      <c r="E16" s="5">
        <f t="shared" si="39"/>
        <v>-175.30499999999998</v>
      </c>
      <c r="F16" s="5">
        <f t="shared" si="39"/>
        <v>-111.61099999999999</v>
      </c>
      <c r="G16" s="5">
        <f t="shared" si="39"/>
        <v>-161.80999999999997</v>
      </c>
      <c r="H16" s="5">
        <f t="shared" si="39"/>
        <v>-156.13600000000002</v>
      </c>
      <c r="I16" s="5">
        <f t="shared" si="39"/>
        <v>-128.52800000000002</v>
      </c>
      <c r="J16" s="5">
        <f t="shared" si="39"/>
        <v>-58.839000000000127</v>
      </c>
      <c r="K16" s="5">
        <f t="shared" si="39"/>
        <v>-232.48794318181825</v>
      </c>
      <c r="L16" s="5">
        <f t="shared" ref="L16:N16" si="40">+L14+L15</f>
        <v>-77.702999999999989</v>
      </c>
      <c r="M16" s="5">
        <f t="shared" si="40"/>
        <v>-150.0888088906251</v>
      </c>
      <c r="N16" s="5">
        <f t="shared" si="40"/>
        <v>-151.40503375000014</v>
      </c>
      <c r="R16" s="3">
        <f>+R14+R15</f>
        <v>-647.14599999999996</v>
      </c>
      <c r="S16" s="3">
        <f t="shared" ref="S16:W16" si="41">+S14+S15</f>
        <v>-578.35300000000018</v>
      </c>
      <c r="T16" s="3">
        <f t="shared" si="41"/>
        <v>-533.30499999999961</v>
      </c>
      <c r="U16" s="3">
        <f t="shared" si="41"/>
        <v>-611.68478582244325</v>
      </c>
      <c r="V16" s="3">
        <f t="shared" si="41"/>
        <v>-304.70984889763531</v>
      </c>
      <c r="W16" s="3">
        <f t="shared" si="41"/>
        <v>296.38305142972877</v>
      </c>
      <c r="X16" s="3">
        <f t="shared" ref="X16" si="42">+X14+X15</f>
        <v>1320.8129808683293</v>
      </c>
      <c r="Y16" s="3">
        <f t="shared" ref="Y16" si="43">+Y14+Y15</f>
        <v>2757.4122056264473</v>
      </c>
      <c r="Z16" s="3">
        <f t="shared" ref="Z16" si="44">+Z14+Z15</f>
        <v>3233.4013752478791</v>
      </c>
      <c r="AA16" s="3">
        <f t="shared" ref="AA16" si="45">+AA14+AA15</f>
        <v>3233.4013752478791</v>
      </c>
      <c r="AB16" s="3">
        <f t="shared" ref="AB16" si="46">+AB14+AB15</f>
        <v>3233.4013752478791</v>
      </c>
      <c r="AC16" s="3">
        <f t="shared" ref="AC16" si="47">+AC14+AC15</f>
        <v>3233.4013752478791</v>
      </c>
      <c r="AD16" s="3">
        <f t="shared" ref="AD16" si="48">+AD14+AD15</f>
        <v>3233.4013752478791</v>
      </c>
      <c r="AE16" s="3">
        <f t="shared" ref="AE16" si="49">+AE14+AE15</f>
        <v>3233.4013752478791</v>
      </c>
      <c r="AF16" s="3">
        <f t="shared" ref="AF16" si="50">+AF14+AF15</f>
        <v>3233.4013752478791</v>
      </c>
      <c r="AG16" s="3">
        <f t="shared" ref="AG16" si="51">+AG14+AG15</f>
        <v>3233.4013752478791</v>
      </c>
      <c r="AH16" s="3">
        <f t="shared" ref="AH16" si="52">+AH14+AH15</f>
        <v>3233.4013752478791</v>
      </c>
      <c r="AI16" s="3">
        <f t="shared" ref="AI16" si="53">+AI14+AI15</f>
        <v>3233.4013752478791</v>
      </c>
    </row>
    <row r="17" spans="2:123" s="3" customFormat="1" x14ac:dyDescent="0.2">
      <c r="B17" s="3" t="s">
        <v>32</v>
      </c>
      <c r="C17" s="5">
        <v>1.222</v>
      </c>
      <c r="D17" s="5">
        <v>-5.5990000000000002</v>
      </c>
      <c r="E17" s="5">
        <v>0.159</v>
      </c>
      <c r="F17" s="5">
        <v>3.6869999999999998</v>
      </c>
      <c r="G17" s="5">
        <v>0.63200000000000001</v>
      </c>
      <c r="H17" s="5">
        <v>-19.472999999999999</v>
      </c>
      <c r="I17" s="5">
        <v>3.1619999999999999</v>
      </c>
      <c r="J17" s="5">
        <v>3.4049999999999998</v>
      </c>
      <c r="K17" s="5">
        <v>0</v>
      </c>
      <c r="L17" s="5">
        <v>2.028</v>
      </c>
      <c r="M17" s="5">
        <v>0</v>
      </c>
      <c r="N17" s="5">
        <v>0</v>
      </c>
      <c r="R17" s="3">
        <v>-1.823</v>
      </c>
      <c r="S17" s="3">
        <v>-0.53100000000000003</v>
      </c>
      <c r="T17" s="3">
        <v>-12.273999999999999</v>
      </c>
      <c r="U17" s="19">
        <f t="shared" si="37"/>
        <v>2.028</v>
      </c>
      <c r="V17" s="19">
        <f t="shared" si="37"/>
        <v>2.028</v>
      </c>
      <c r="W17" s="19">
        <f t="shared" si="37"/>
        <v>0</v>
      </c>
      <c r="X17" s="19">
        <f t="shared" ref="X17" si="54">SUM(N17:Q17)</f>
        <v>0</v>
      </c>
      <c r="Y17" s="19">
        <f>+Y16*0.25</f>
        <v>689.35305140661183</v>
      </c>
      <c r="Z17" s="19">
        <f t="shared" ref="Z17:AI17" si="55">+Z16*0.25</f>
        <v>808.35034381196976</v>
      </c>
      <c r="AA17" s="19">
        <f t="shared" si="55"/>
        <v>808.35034381196976</v>
      </c>
      <c r="AB17" s="19">
        <f t="shared" si="55"/>
        <v>808.35034381196976</v>
      </c>
      <c r="AC17" s="19">
        <f t="shared" si="55"/>
        <v>808.35034381196976</v>
      </c>
      <c r="AD17" s="19">
        <f t="shared" si="55"/>
        <v>808.35034381196976</v>
      </c>
      <c r="AE17" s="19">
        <f t="shared" si="55"/>
        <v>808.35034381196976</v>
      </c>
      <c r="AF17" s="19">
        <f t="shared" si="55"/>
        <v>808.35034381196976</v>
      </c>
      <c r="AG17" s="19">
        <f t="shared" si="55"/>
        <v>808.35034381196976</v>
      </c>
      <c r="AH17" s="19">
        <f t="shared" si="55"/>
        <v>808.35034381196976</v>
      </c>
      <c r="AI17" s="19">
        <f t="shared" si="55"/>
        <v>808.35034381196976</v>
      </c>
    </row>
    <row r="18" spans="2:123" s="3" customFormat="1" x14ac:dyDescent="0.2">
      <c r="B18" s="3" t="s">
        <v>33</v>
      </c>
      <c r="C18" s="5">
        <f t="shared" ref="C18:K18" si="56">+C16-C17</f>
        <v>-132.36200000000005</v>
      </c>
      <c r="D18" s="5">
        <f t="shared" si="56"/>
        <v>-144.64199999999997</v>
      </c>
      <c r="E18" s="5">
        <f t="shared" si="56"/>
        <v>-175.46399999999997</v>
      </c>
      <c r="F18" s="5">
        <f t="shared" si="56"/>
        <v>-115.29799999999999</v>
      </c>
      <c r="G18" s="5">
        <f t="shared" si="56"/>
        <v>-162.44199999999998</v>
      </c>
      <c r="H18" s="5">
        <f t="shared" si="56"/>
        <v>-136.66300000000001</v>
      </c>
      <c r="I18" s="5">
        <f t="shared" si="56"/>
        <v>-131.69000000000003</v>
      </c>
      <c r="J18" s="5">
        <f t="shared" si="56"/>
        <v>-62.244000000000128</v>
      </c>
      <c r="K18" s="5">
        <f t="shared" si="56"/>
        <v>-232.48794318181825</v>
      </c>
      <c r="L18" s="5">
        <f t="shared" ref="L18:N18" si="57">+L16-L17</f>
        <v>-79.730999999999995</v>
      </c>
      <c r="M18" s="5">
        <f t="shared" si="57"/>
        <v>-150.0888088906251</v>
      </c>
      <c r="N18" s="5">
        <f t="shared" si="57"/>
        <v>-151.40503375000014</v>
      </c>
      <c r="R18" s="3">
        <f>+R16-R17</f>
        <v>-645.32299999999998</v>
      </c>
      <c r="S18" s="3">
        <f t="shared" ref="S18:W18" si="58">+S16-S17</f>
        <v>-577.82200000000023</v>
      </c>
      <c r="T18" s="3">
        <f t="shared" si="58"/>
        <v>-521.03099999999961</v>
      </c>
      <c r="U18" s="3">
        <f t="shared" si="58"/>
        <v>-613.71278582244327</v>
      </c>
      <c r="V18" s="3">
        <f t="shared" si="58"/>
        <v>-306.73784889763533</v>
      </c>
      <c r="W18" s="3">
        <f t="shared" si="58"/>
        <v>296.38305142972877</v>
      </c>
      <c r="X18" s="3">
        <f t="shared" ref="X18" si="59">+X16-X17</f>
        <v>1320.8129808683293</v>
      </c>
      <c r="Y18" s="3">
        <f t="shared" ref="Y18" si="60">+Y16-Y17</f>
        <v>2068.0591542198354</v>
      </c>
      <c r="Z18" s="3">
        <f t="shared" ref="Z18" si="61">+Z16-Z17</f>
        <v>2425.0510314359094</v>
      </c>
      <c r="AA18" s="3">
        <f t="shared" ref="AA18" si="62">+AA16-AA17</f>
        <v>2425.0510314359094</v>
      </c>
      <c r="AB18" s="3">
        <f t="shared" ref="AB18" si="63">+AB16-AB17</f>
        <v>2425.0510314359094</v>
      </c>
      <c r="AC18" s="3">
        <f t="shared" ref="AC18" si="64">+AC16-AC17</f>
        <v>2425.0510314359094</v>
      </c>
      <c r="AD18" s="3">
        <f t="shared" ref="AD18" si="65">+AD16-AD17</f>
        <v>2425.0510314359094</v>
      </c>
      <c r="AE18" s="3">
        <f t="shared" ref="AE18" si="66">+AE16-AE17</f>
        <v>2425.0510314359094</v>
      </c>
      <c r="AF18" s="3">
        <f t="shared" ref="AF18" si="67">+AF16-AF17</f>
        <v>2425.0510314359094</v>
      </c>
      <c r="AG18" s="3">
        <f t="shared" ref="AG18" si="68">+AG16-AG17</f>
        <v>2425.0510314359094</v>
      </c>
      <c r="AH18" s="3">
        <f t="shared" ref="AH18" si="69">+AH16-AH17</f>
        <v>2425.0510314359094</v>
      </c>
      <c r="AI18" s="3">
        <f t="shared" ref="AI18" si="70">+AI16-AI17</f>
        <v>2425.0510314359094</v>
      </c>
      <c r="AJ18" s="3">
        <f t="shared" ref="AJ18:BO18" si="71">AI18*(1+$AL$22)</f>
        <v>2376.550010807191</v>
      </c>
      <c r="AK18" s="3">
        <f t="shared" si="71"/>
        <v>2329.0190105910474</v>
      </c>
      <c r="AL18" s="3">
        <f t="shared" si="71"/>
        <v>2282.4386303792262</v>
      </c>
      <c r="AM18" s="3">
        <f t="shared" si="71"/>
        <v>2236.7898577716414</v>
      </c>
      <c r="AN18" s="3">
        <f t="shared" si="71"/>
        <v>2192.0540606162085</v>
      </c>
      <c r="AO18" s="3">
        <f t="shared" si="71"/>
        <v>2148.2129794038842</v>
      </c>
      <c r="AP18" s="3">
        <f t="shared" si="71"/>
        <v>2105.2487198158065</v>
      </c>
      <c r="AQ18" s="3">
        <f t="shared" si="71"/>
        <v>2063.1437454194902</v>
      </c>
      <c r="AR18" s="3">
        <f t="shared" si="71"/>
        <v>2021.8808705111003</v>
      </c>
      <c r="AS18" s="3">
        <f t="shared" si="71"/>
        <v>1981.4432531008783</v>
      </c>
      <c r="AT18" s="3">
        <f t="shared" si="71"/>
        <v>1941.8143880388607</v>
      </c>
      <c r="AU18" s="3">
        <f t="shared" si="71"/>
        <v>1902.9781002780835</v>
      </c>
      <c r="AV18" s="3">
        <f t="shared" si="71"/>
        <v>1864.9185382725218</v>
      </c>
      <c r="AW18" s="3">
        <f t="shared" si="71"/>
        <v>1827.6201675070713</v>
      </c>
      <c r="AX18" s="3">
        <f t="shared" si="71"/>
        <v>1791.0677641569298</v>
      </c>
      <c r="AY18" s="3">
        <f t="shared" si="71"/>
        <v>1755.2464088737911</v>
      </c>
      <c r="AZ18" s="3">
        <f t="shared" si="71"/>
        <v>1720.1414806963153</v>
      </c>
      <c r="BA18" s="3">
        <f t="shared" si="71"/>
        <v>1685.738651082389</v>
      </c>
      <c r="BB18" s="3">
        <f t="shared" si="71"/>
        <v>1652.0238780607413</v>
      </c>
      <c r="BC18" s="3">
        <f t="shared" si="71"/>
        <v>1618.9834004995264</v>
      </c>
      <c r="BD18" s="3">
        <f t="shared" si="71"/>
        <v>1586.6037324895358</v>
      </c>
      <c r="BE18" s="3">
        <f t="shared" si="71"/>
        <v>1554.871657839745</v>
      </c>
      <c r="BF18" s="3">
        <f t="shared" si="71"/>
        <v>1523.77422468295</v>
      </c>
      <c r="BG18" s="3">
        <f t="shared" si="71"/>
        <v>1493.298740189291</v>
      </c>
      <c r="BH18" s="3">
        <f t="shared" si="71"/>
        <v>1463.4327653855053</v>
      </c>
      <c r="BI18" s="3">
        <f t="shared" si="71"/>
        <v>1434.1641100777952</v>
      </c>
      <c r="BJ18" s="3">
        <f t="shared" si="71"/>
        <v>1405.4808278762391</v>
      </c>
      <c r="BK18" s="3">
        <f t="shared" si="71"/>
        <v>1377.3712113187144</v>
      </c>
      <c r="BL18" s="3">
        <f t="shared" si="71"/>
        <v>1349.8237870923401</v>
      </c>
      <c r="BM18" s="3">
        <f t="shared" si="71"/>
        <v>1322.8273113504933</v>
      </c>
      <c r="BN18" s="3">
        <f t="shared" si="71"/>
        <v>1296.3707651234834</v>
      </c>
      <c r="BO18" s="3">
        <f t="shared" si="71"/>
        <v>1270.4433498210137</v>
      </c>
      <c r="BP18" s="3">
        <f t="shared" ref="BP18:CU18" si="72">BO18*(1+$AL$22)</f>
        <v>1245.0344828245934</v>
      </c>
      <c r="BQ18" s="3">
        <f t="shared" si="72"/>
        <v>1220.1337931681014</v>
      </c>
      <c r="BR18" s="3">
        <f t="shared" si="72"/>
        <v>1195.7311173047394</v>
      </c>
      <c r="BS18" s="3">
        <f t="shared" si="72"/>
        <v>1171.8164949586446</v>
      </c>
      <c r="BT18" s="3">
        <f t="shared" si="72"/>
        <v>1148.3801650594717</v>
      </c>
      <c r="BU18" s="3">
        <f t="shared" si="72"/>
        <v>1125.4125617582822</v>
      </c>
      <c r="BV18" s="3">
        <f t="shared" si="72"/>
        <v>1102.9043105231165</v>
      </c>
      <c r="BW18" s="3">
        <f t="shared" si="72"/>
        <v>1080.8462243126542</v>
      </c>
      <c r="BX18" s="3">
        <f t="shared" si="72"/>
        <v>1059.2292998264011</v>
      </c>
      <c r="BY18" s="3">
        <f t="shared" si="72"/>
        <v>1038.044713829873</v>
      </c>
      <c r="BZ18" s="3">
        <f t="shared" si="72"/>
        <v>1017.2838195532755</v>
      </c>
      <c r="CA18" s="3">
        <f t="shared" si="72"/>
        <v>996.93814316220994</v>
      </c>
      <c r="CB18" s="3">
        <f t="shared" si="72"/>
        <v>976.99938029896578</v>
      </c>
      <c r="CC18" s="3">
        <f t="shared" si="72"/>
        <v>957.4593926929864</v>
      </c>
      <c r="CD18" s="3">
        <f t="shared" si="72"/>
        <v>938.31020483912664</v>
      </c>
      <c r="CE18" s="3">
        <f t="shared" si="72"/>
        <v>919.54400074234411</v>
      </c>
      <c r="CF18" s="3">
        <f t="shared" si="72"/>
        <v>901.15312072749725</v>
      </c>
      <c r="CG18" s="3">
        <f t="shared" si="72"/>
        <v>883.13005831294731</v>
      </c>
      <c r="CH18" s="3">
        <f t="shared" si="72"/>
        <v>865.46745714668839</v>
      </c>
      <c r="CI18" s="3">
        <f t="shared" si="72"/>
        <v>848.15810800375459</v>
      </c>
      <c r="CJ18" s="3">
        <f t="shared" si="72"/>
        <v>831.19494584367953</v>
      </c>
      <c r="CK18" s="3">
        <f t="shared" si="72"/>
        <v>814.57104692680593</v>
      </c>
      <c r="CL18" s="3">
        <f t="shared" si="72"/>
        <v>798.2796259882698</v>
      </c>
      <c r="CM18" s="3">
        <f t="shared" si="72"/>
        <v>782.31403346850436</v>
      </c>
      <c r="CN18" s="3">
        <f t="shared" si="72"/>
        <v>766.66775279913429</v>
      </c>
      <c r="CO18" s="3">
        <f t="shared" si="72"/>
        <v>751.33439774315161</v>
      </c>
      <c r="CP18" s="3">
        <f t="shared" si="72"/>
        <v>736.30770978828855</v>
      </c>
      <c r="CQ18" s="3">
        <f t="shared" si="72"/>
        <v>721.58155559252282</v>
      </c>
      <c r="CR18" s="3">
        <f t="shared" si="72"/>
        <v>707.14992448067233</v>
      </c>
      <c r="CS18" s="3">
        <f t="shared" si="72"/>
        <v>693.00692599105889</v>
      </c>
      <c r="CT18" s="3">
        <f t="shared" si="72"/>
        <v>679.14678747123776</v>
      </c>
      <c r="CU18" s="3">
        <f t="shared" si="72"/>
        <v>665.56385172181297</v>
      </c>
      <c r="CV18" s="3">
        <f t="shared" ref="CV18:DS18" si="73">CU18*(1+$AL$22)</f>
        <v>652.25257468737675</v>
      </c>
      <c r="CW18" s="3">
        <f t="shared" si="73"/>
        <v>639.20752319362919</v>
      </c>
      <c r="CX18" s="3">
        <f t="shared" si="73"/>
        <v>626.42337272975658</v>
      </c>
      <c r="CY18" s="3">
        <f t="shared" si="73"/>
        <v>613.89490527516148</v>
      </c>
      <c r="CZ18" s="3">
        <f t="shared" si="73"/>
        <v>601.61700716965822</v>
      </c>
      <c r="DA18" s="3">
        <f t="shared" si="73"/>
        <v>589.58466702626504</v>
      </c>
      <c r="DB18" s="3">
        <f t="shared" si="73"/>
        <v>577.79297368573975</v>
      </c>
      <c r="DC18" s="3">
        <f t="shared" si="73"/>
        <v>566.23711421202495</v>
      </c>
      <c r="DD18" s="3">
        <f t="shared" si="73"/>
        <v>554.91237192778442</v>
      </c>
      <c r="DE18" s="3">
        <f t="shared" si="73"/>
        <v>543.81412448922867</v>
      </c>
      <c r="DF18" s="3">
        <f t="shared" si="73"/>
        <v>532.93784199944412</v>
      </c>
      <c r="DG18" s="3">
        <f t="shared" si="73"/>
        <v>522.27908515945524</v>
      </c>
      <c r="DH18" s="3">
        <f t="shared" si="73"/>
        <v>511.8335034562661</v>
      </c>
      <c r="DI18" s="3">
        <f t="shared" si="73"/>
        <v>501.59683338714075</v>
      </c>
      <c r="DJ18" s="3">
        <f t="shared" si="73"/>
        <v>491.56489671939795</v>
      </c>
      <c r="DK18" s="3">
        <f t="shared" si="73"/>
        <v>481.73359878500997</v>
      </c>
      <c r="DL18" s="3">
        <f t="shared" si="73"/>
        <v>472.09892680930977</v>
      </c>
      <c r="DM18" s="3">
        <f t="shared" si="73"/>
        <v>462.65694827312359</v>
      </c>
      <c r="DN18" s="3">
        <f t="shared" si="73"/>
        <v>453.40380930766111</v>
      </c>
      <c r="DO18" s="3">
        <f t="shared" si="73"/>
        <v>444.33573312150787</v>
      </c>
      <c r="DP18" s="3">
        <f t="shared" si="73"/>
        <v>435.44901845907771</v>
      </c>
      <c r="DQ18" s="3">
        <f t="shared" si="73"/>
        <v>426.74003808989613</v>
      </c>
      <c r="DR18" s="3">
        <f t="shared" si="73"/>
        <v>418.20523732809818</v>
      </c>
      <c r="DS18" s="3">
        <f t="shared" si="73"/>
        <v>409.84113258153621</v>
      </c>
    </row>
    <row r="19" spans="2:123" x14ac:dyDescent="0.2">
      <c r="B19" s="7" t="s">
        <v>34</v>
      </c>
      <c r="C19" s="14">
        <f t="shared" ref="C19:K19" si="74">C18/C20</f>
        <v>-0.2321305495392009</v>
      </c>
      <c r="D19" s="14">
        <f t="shared" si="74"/>
        <v>-0.24284805249098815</v>
      </c>
      <c r="E19" s="14">
        <f t="shared" si="74"/>
        <v>-0.28558826162322282</v>
      </c>
      <c r="F19" s="14">
        <f t="shared" si="74"/>
        <v>-0.18321336066485516</v>
      </c>
      <c r="G19" s="14">
        <f t="shared" si="74"/>
        <v>-0.25363174198705934</v>
      </c>
      <c r="H19" s="14">
        <f t="shared" si="74"/>
        <v>-0.2084163844073928</v>
      </c>
      <c r="I19" s="14">
        <f t="shared" si="74"/>
        <v>-0.1963752080214255</v>
      </c>
      <c r="J19" s="14">
        <f t="shared" si="74"/>
        <v>-9.1344009016412875E-2</v>
      </c>
      <c r="K19" s="14">
        <f t="shared" si="74"/>
        <v>-0.34117956394523563</v>
      </c>
      <c r="L19" s="14">
        <f t="shared" ref="L19:N19" si="75">L18/L20</f>
        <v>-0.1152908479909307</v>
      </c>
      <c r="M19" s="14">
        <f t="shared" si="75"/>
        <v>-0.21702808256448444</v>
      </c>
      <c r="N19" s="14">
        <f t="shared" si="75"/>
        <v>-0.21893134077251006</v>
      </c>
      <c r="R19" s="1">
        <f>R18/R20</f>
        <v>-3.4052187219671786</v>
      </c>
      <c r="S19" s="1">
        <f t="shared" ref="S19:W19" si="76">S18/S20</f>
        <v>-0.95509347261938249</v>
      </c>
      <c r="T19" s="1">
        <f t="shared" si="76"/>
        <v>-0.78655211767689515</v>
      </c>
      <c r="U19" s="1">
        <f t="shared" si="76"/>
        <v>-0.92646520328738591</v>
      </c>
      <c r="V19" s="1">
        <f t="shared" si="76"/>
        <v>-0.46305364675439797</v>
      </c>
      <c r="W19" s="1">
        <f t="shared" si="76"/>
        <v>0.44742197056527055</v>
      </c>
      <c r="X19" s="1">
        <f t="shared" ref="X19" si="77">X18/X20</f>
        <v>1.9939087063094474</v>
      </c>
      <c r="Y19" s="1">
        <f t="shared" ref="Y19" si="78">Y18/Y20</f>
        <v>3.1219568648174514</v>
      </c>
      <c r="Z19" s="1">
        <f t="shared" ref="Z19" si="79">Z18/Z20</f>
        <v>3.6608743515269819</v>
      </c>
      <c r="AA19" s="1">
        <f t="shared" ref="AA19" si="80">AA18/AA20</f>
        <v>3.6608743515269819</v>
      </c>
      <c r="AB19" s="1">
        <f t="shared" ref="AB19" si="81">AB18/AB20</f>
        <v>3.6608743515269819</v>
      </c>
      <c r="AC19" s="1">
        <f t="shared" ref="AC19" si="82">AC18/AC20</f>
        <v>3.6608743515269819</v>
      </c>
      <c r="AD19" s="1">
        <f t="shared" ref="AD19" si="83">AD18/AD20</f>
        <v>3.6608743515269819</v>
      </c>
      <c r="AE19" s="1">
        <f t="shared" ref="AE19" si="84">AE18/AE20</f>
        <v>3.6608743515269819</v>
      </c>
      <c r="AF19" s="1">
        <f t="shared" ref="AF19" si="85">AF18/AF20</f>
        <v>3.6608743515269819</v>
      </c>
      <c r="AG19" s="1">
        <f t="shared" ref="AG19" si="86">AG18/AG20</f>
        <v>3.6608743515269819</v>
      </c>
      <c r="AH19" s="1">
        <f t="shared" ref="AH19" si="87">AH18/AH20</f>
        <v>3.6608743515269819</v>
      </c>
      <c r="AI19" s="1">
        <f t="shared" ref="AI19" si="88">AI18/AI20</f>
        <v>3.6608743515269819</v>
      </c>
    </row>
    <row r="20" spans="2:123" s="3" customFormat="1" x14ac:dyDescent="0.2">
      <c r="B20" s="3" t="s">
        <v>1</v>
      </c>
      <c r="C20" s="5">
        <v>570.20500000000004</v>
      </c>
      <c r="D20" s="5">
        <v>595.60699999999997</v>
      </c>
      <c r="E20" s="5">
        <v>614.39499999999998</v>
      </c>
      <c r="F20" s="5">
        <v>629.30999999999995</v>
      </c>
      <c r="G20" s="5">
        <v>640.46400000000006</v>
      </c>
      <c r="H20" s="5">
        <v>655.721</v>
      </c>
      <c r="I20" s="5">
        <v>670.60400000000004</v>
      </c>
      <c r="J20" s="5">
        <v>681.42399999999998</v>
      </c>
      <c r="K20" s="5">
        <f>+J20</f>
        <v>681.42399999999998</v>
      </c>
      <c r="L20" s="5">
        <v>691.56399999999996</v>
      </c>
      <c r="M20" s="5">
        <f t="shared" ref="M20:N20" si="89">+L20</f>
        <v>691.56399999999996</v>
      </c>
      <c r="N20" s="5">
        <f t="shared" si="89"/>
        <v>691.56399999999996</v>
      </c>
      <c r="R20" s="3">
        <v>189.51</v>
      </c>
      <c r="S20" s="3">
        <v>604.99</v>
      </c>
      <c r="T20" s="3">
        <v>662.42399999999998</v>
      </c>
      <c r="U20" s="3">
        <f>+T20</f>
        <v>662.42399999999998</v>
      </c>
      <c r="V20" s="3">
        <f>+U20</f>
        <v>662.42399999999998</v>
      </c>
      <c r="W20" s="3">
        <f>+V20</f>
        <v>662.42399999999998</v>
      </c>
      <c r="X20" s="3">
        <f t="shared" ref="X20:AI20" si="90">+W20</f>
        <v>662.42399999999998</v>
      </c>
      <c r="Y20" s="3">
        <f t="shared" si="90"/>
        <v>662.42399999999998</v>
      </c>
      <c r="Z20" s="3">
        <f t="shared" si="90"/>
        <v>662.42399999999998</v>
      </c>
      <c r="AA20" s="3">
        <f t="shared" si="90"/>
        <v>662.42399999999998</v>
      </c>
      <c r="AB20" s="3">
        <f t="shared" si="90"/>
        <v>662.42399999999998</v>
      </c>
      <c r="AC20" s="3">
        <f t="shared" si="90"/>
        <v>662.42399999999998</v>
      </c>
      <c r="AD20" s="3">
        <f t="shared" si="90"/>
        <v>662.42399999999998</v>
      </c>
      <c r="AE20" s="3">
        <f t="shared" si="90"/>
        <v>662.42399999999998</v>
      </c>
      <c r="AF20" s="3">
        <f t="shared" si="90"/>
        <v>662.42399999999998</v>
      </c>
      <c r="AG20" s="3">
        <f t="shared" si="90"/>
        <v>662.42399999999998</v>
      </c>
      <c r="AH20" s="3">
        <f t="shared" si="90"/>
        <v>662.42399999999998</v>
      </c>
      <c r="AI20" s="3">
        <f t="shared" si="90"/>
        <v>662.42399999999998</v>
      </c>
    </row>
    <row r="22" spans="2:123" s="10" customFormat="1" x14ac:dyDescent="0.2">
      <c r="B22" s="10" t="s">
        <v>20</v>
      </c>
      <c r="C22" s="11"/>
      <c r="D22" s="11"/>
      <c r="E22" s="11"/>
      <c r="F22" s="11"/>
      <c r="G22" s="13">
        <f>G7/C7-1</f>
        <v>0.74033102853584154</v>
      </c>
      <c r="H22" s="13">
        <f>H7/D7-1</f>
        <v>0.60934566865065376</v>
      </c>
      <c r="I22" s="13">
        <f>I7/E7-1</f>
        <v>0.57567277297060881</v>
      </c>
      <c r="J22" s="13">
        <f>J7/F7-1</f>
        <v>0.48300068047374323</v>
      </c>
      <c r="K22" s="13">
        <f>K7/G7-1</f>
        <v>4.870129870129869E-2</v>
      </c>
      <c r="L22" s="13">
        <f>L7/H7-1</f>
        <v>0.18340190651355637</v>
      </c>
      <c r="M22" s="13">
        <f t="shared" ref="M22:N22" si="91">M7/I7-1</f>
        <v>7.9531250000000053E-2</v>
      </c>
      <c r="N22" s="13">
        <f t="shared" si="91"/>
        <v>3.7499999999999867E-2</v>
      </c>
      <c r="S22" s="12">
        <f>S7/R7-1</f>
        <v>1.110123479071726</v>
      </c>
      <c r="T22" s="12">
        <f t="shared" ref="T22:AI22" si="92">T7/S7-1</f>
        <v>0.58092088382038498</v>
      </c>
      <c r="U22" s="12">
        <f t="shared" si="92"/>
        <v>8.3535162301894283E-2</v>
      </c>
      <c r="V22" s="12">
        <f t="shared" si="92"/>
        <v>0.36499999999999999</v>
      </c>
      <c r="W22" s="12">
        <f t="shared" si="92"/>
        <v>0.36500000000000044</v>
      </c>
      <c r="X22" s="12">
        <f t="shared" si="92"/>
        <v>0.36499999999999999</v>
      </c>
      <c r="Y22" s="12">
        <f t="shared" si="92"/>
        <v>0.36499999999999999</v>
      </c>
      <c r="Z22" s="12">
        <f t="shared" si="92"/>
        <v>8.150000000000035E-2</v>
      </c>
      <c r="AA22" s="12">
        <f t="shared" si="92"/>
        <v>0</v>
      </c>
      <c r="AB22" s="12">
        <f t="shared" si="92"/>
        <v>0</v>
      </c>
      <c r="AC22" s="12">
        <f t="shared" si="92"/>
        <v>0</v>
      </c>
      <c r="AD22" s="12">
        <f t="shared" si="92"/>
        <v>0</v>
      </c>
      <c r="AE22" s="12">
        <f t="shared" si="92"/>
        <v>0</v>
      </c>
      <c r="AF22" s="12">
        <f t="shared" si="92"/>
        <v>0</v>
      </c>
      <c r="AG22" s="12">
        <f t="shared" si="92"/>
        <v>0</v>
      </c>
      <c r="AH22" s="12">
        <f t="shared" si="92"/>
        <v>0</v>
      </c>
      <c r="AI22" s="12">
        <f t="shared" si="92"/>
        <v>0</v>
      </c>
      <c r="AK22" t="s">
        <v>56</v>
      </c>
      <c r="AL22" s="6">
        <v>-0.02</v>
      </c>
    </row>
    <row r="23" spans="2:123" s="10" customFormat="1" x14ac:dyDescent="0.2">
      <c r="B23" s="10" t="s">
        <v>61</v>
      </c>
      <c r="C23" s="11"/>
      <c r="D23" s="11"/>
      <c r="E23" s="11"/>
      <c r="F23" s="11"/>
      <c r="G23" s="13"/>
      <c r="H23" s="13" t="e">
        <f t="shared" ref="H23:H24" si="93">H4/D4-1</f>
        <v>#DIV/0!</v>
      </c>
      <c r="I23" s="13">
        <f t="shared" ref="I23:I24" si="94">I4/E4-1</f>
        <v>0.1100000000000001</v>
      </c>
      <c r="J23" s="13">
        <f>J4/F4-1</f>
        <v>9.000000000000008E-2</v>
      </c>
      <c r="K23" s="13">
        <f t="shared" ref="K23:N23" si="95">K4/G4-1</f>
        <v>4.870129870129869E-2</v>
      </c>
      <c r="L23" s="13">
        <f>L4/H4-1</f>
        <v>3.1645569620253111E-2</v>
      </c>
      <c r="M23" s="13">
        <f t="shared" si="95"/>
        <v>2.8124999999999956E-2</v>
      </c>
      <c r="N23" s="13">
        <f t="shared" si="95"/>
        <v>3.7500000000000089E-2</v>
      </c>
      <c r="S23" s="12"/>
      <c r="T23" s="12"/>
      <c r="U23" s="12">
        <f t="shared" ref="U23:AI23" si="96">U4/T4-1</f>
        <v>3.0000000000000027E-2</v>
      </c>
      <c r="V23" s="12">
        <f t="shared" si="96"/>
        <v>5.0000000000000044E-2</v>
      </c>
      <c r="W23" s="12">
        <f t="shared" si="96"/>
        <v>5.0000000000000044E-2</v>
      </c>
      <c r="X23" s="12">
        <f t="shared" si="96"/>
        <v>5.0000000000000044E-2</v>
      </c>
      <c r="Y23" s="12">
        <f t="shared" si="96"/>
        <v>5.0000000000000044E-2</v>
      </c>
      <c r="Z23" s="12">
        <f t="shared" si="96"/>
        <v>3.0000000000000027E-2</v>
      </c>
      <c r="AA23" s="12">
        <f t="shared" si="96"/>
        <v>0</v>
      </c>
      <c r="AB23" s="12">
        <f t="shared" si="96"/>
        <v>0</v>
      </c>
      <c r="AC23" s="12">
        <f t="shared" si="96"/>
        <v>0</v>
      </c>
      <c r="AD23" s="12">
        <f t="shared" si="96"/>
        <v>0</v>
      </c>
      <c r="AE23" s="12">
        <f t="shared" si="96"/>
        <v>0</v>
      </c>
      <c r="AF23" s="12">
        <f t="shared" si="96"/>
        <v>0</v>
      </c>
      <c r="AG23" s="12">
        <f t="shared" si="96"/>
        <v>0</v>
      </c>
      <c r="AH23" s="12">
        <f t="shared" si="96"/>
        <v>0</v>
      </c>
      <c r="AI23" s="12">
        <f t="shared" si="96"/>
        <v>0</v>
      </c>
      <c r="AK23" t="s">
        <v>57</v>
      </c>
      <c r="AL23" s="6">
        <v>7.0000000000000007E-2</v>
      </c>
    </row>
    <row r="24" spans="2:123" s="10" customFormat="1" x14ac:dyDescent="0.2">
      <c r="B24" s="10" t="s">
        <v>62</v>
      </c>
      <c r="C24" s="11"/>
      <c r="D24" s="11"/>
      <c r="E24" s="11"/>
      <c r="F24" s="11"/>
      <c r="G24" s="13"/>
      <c r="H24" s="13" t="e">
        <f t="shared" si="93"/>
        <v>#DIV/0!</v>
      </c>
      <c r="I24" s="13">
        <f t="shared" si="94"/>
        <v>0.4195250206942418</v>
      </c>
      <c r="J24" s="13">
        <f>J5/F5-1</f>
        <v>0.36055108300343419</v>
      </c>
      <c r="K24" s="13">
        <f t="shared" ref="K24:N24" si="97">K5/G5-1</f>
        <v>0</v>
      </c>
      <c r="L24" s="13">
        <f>L5/H5-1</f>
        <v>0</v>
      </c>
      <c r="M24" s="13">
        <f t="shared" si="97"/>
        <v>5.0000000000000044E-2</v>
      </c>
      <c r="N24" s="13">
        <f t="shared" si="97"/>
        <v>0</v>
      </c>
      <c r="S24" s="12"/>
      <c r="T24" s="12"/>
      <c r="U24" s="12">
        <f t="shared" ref="U24:AI24" si="98">U5/T5-1</f>
        <v>5.1975885729994564E-2</v>
      </c>
      <c r="V24" s="12">
        <f t="shared" si="98"/>
        <v>0.29999999999999982</v>
      </c>
      <c r="W24" s="12">
        <f t="shared" si="98"/>
        <v>0.30000000000000004</v>
      </c>
      <c r="X24" s="12">
        <f t="shared" si="98"/>
        <v>0.30000000000000004</v>
      </c>
      <c r="Y24" s="12">
        <f t="shared" si="98"/>
        <v>0.30000000000000004</v>
      </c>
      <c r="Z24" s="12">
        <f t="shared" si="98"/>
        <v>5.0000000000000044E-2</v>
      </c>
      <c r="AA24" s="12">
        <f t="shared" si="98"/>
        <v>0</v>
      </c>
      <c r="AB24" s="12">
        <f t="shared" si="98"/>
        <v>0</v>
      </c>
      <c r="AC24" s="12">
        <f t="shared" si="98"/>
        <v>0</v>
      </c>
      <c r="AD24" s="12">
        <f t="shared" si="98"/>
        <v>0</v>
      </c>
      <c r="AE24" s="12">
        <f t="shared" si="98"/>
        <v>0</v>
      </c>
      <c r="AF24" s="12">
        <f t="shared" si="98"/>
        <v>0</v>
      </c>
      <c r="AG24" s="12">
        <f t="shared" si="98"/>
        <v>0</v>
      </c>
      <c r="AH24" s="12">
        <f t="shared" si="98"/>
        <v>0</v>
      </c>
      <c r="AI24" s="12">
        <f t="shared" si="98"/>
        <v>0</v>
      </c>
      <c r="AK24" t="s">
        <v>58</v>
      </c>
      <c r="AL24" s="3">
        <f>NPV(AL23,V18:DS18)</f>
        <v>25858.389873585922</v>
      </c>
    </row>
    <row r="25" spans="2:123" s="10" customFormat="1" x14ac:dyDescent="0.2">
      <c r="C25" s="11"/>
      <c r="D25" s="11"/>
      <c r="E25" s="11"/>
      <c r="F25" s="11"/>
      <c r="G25" s="13"/>
      <c r="H25" s="13"/>
      <c r="I25" s="13"/>
      <c r="J25" s="13"/>
      <c r="K25" s="13"/>
      <c r="L25" s="13"/>
      <c r="M25" s="13"/>
      <c r="N25" s="13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K25" t="s">
        <v>4</v>
      </c>
      <c r="AL25" s="3">
        <f>Main!L5-Main!L6</f>
        <v>2100.8969999999999</v>
      </c>
    </row>
    <row r="26" spans="2:123" s="15" customFormat="1" x14ac:dyDescent="0.2">
      <c r="B26" s="15" t="s">
        <v>35</v>
      </c>
      <c r="C26" s="16"/>
      <c r="D26" s="16"/>
      <c r="E26" s="16"/>
      <c r="F26" s="16"/>
      <c r="G26" s="17">
        <f t="shared" ref="G26:K28" si="99">G10/C10-1</f>
        <v>0.72783922436108606</v>
      </c>
      <c r="H26" s="17">
        <f t="shared" si="99"/>
        <v>0.43980151289381952</v>
      </c>
      <c r="I26" s="17">
        <f t="shared" si="99"/>
        <v>0.2730360028046217</v>
      </c>
      <c r="J26" s="17">
        <f t="shared" si="99"/>
        <v>0.34033093117288105</v>
      </c>
      <c r="K26" s="17">
        <f t="shared" si="99"/>
        <v>0.30000000000000004</v>
      </c>
      <c r="L26" s="17">
        <f>L10/H10-1</f>
        <v>0.16946441658248657</v>
      </c>
      <c r="M26" s="17">
        <f t="shared" ref="M26:N26" si="100">M10/I10-1</f>
        <v>0.25</v>
      </c>
      <c r="N26" s="17">
        <f t="shared" si="100"/>
        <v>0.25</v>
      </c>
      <c r="S26" s="18"/>
      <c r="T26" s="18"/>
      <c r="AK26" s="10" t="s">
        <v>60</v>
      </c>
      <c r="AL26" s="19">
        <f>+AL24+AL25</f>
        <v>27959.286873585923</v>
      </c>
    </row>
    <row r="27" spans="2:123" s="15" customFormat="1" x14ac:dyDescent="0.2">
      <c r="B27" s="15" t="s">
        <v>36</v>
      </c>
      <c r="C27" s="16"/>
      <c r="D27" s="16"/>
      <c r="E27" s="16"/>
      <c r="F27" s="16"/>
      <c r="G27" s="17">
        <f t="shared" si="99"/>
        <v>0.69817214850002585</v>
      </c>
      <c r="H27" s="17">
        <f t="shared" si="99"/>
        <v>0.45229784758580571</v>
      </c>
      <c r="I27" s="17">
        <f t="shared" si="99"/>
        <v>0.12449681478875996</v>
      </c>
      <c r="J27" s="17">
        <f t="shared" si="99"/>
        <v>0.30988716910169223</v>
      </c>
      <c r="K27" s="17">
        <f t="shared" si="99"/>
        <v>0.30000000000000004</v>
      </c>
      <c r="L27" s="17">
        <f>L11/H11-1</f>
        <v>-2.5296954197414845E-2</v>
      </c>
      <c r="M27" s="17">
        <f t="shared" ref="M27:N27" si="101">M11/I11-1</f>
        <v>0.25</v>
      </c>
      <c r="N27" s="17">
        <f t="shared" si="101"/>
        <v>0.25</v>
      </c>
      <c r="S27" s="18"/>
      <c r="T27" s="18"/>
      <c r="AK27" s="10" t="s">
        <v>59</v>
      </c>
      <c r="AL27" s="22">
        <f>AL26/Main!L3</f>
        <v>40.429066396726732</v>
      </c>
    </row>
    <row r="28" spans="2:123" s="15" customFormat="1" x14ac:dyDescent="0.2">
      <c r="B28" s="15" t="s">
        <v>37</v>
      </c>
      <c r="C28" s="16"/>
      <c r="D28" s="16"/>
      <c r="E28" s="16"/>
      <c r="F28" s="16"/>
      <c r="G28" s="17">
        <f t="shared" si="99"/>
        <v>0.27013006138254658</v>
      </c>
      <c r="H28" s="17">
        <f t="shared" si="99"/>
        <v>0.12316553262373309</v>
      </c>
      <c r="I28" s="17">
        <f t="shared" si="99"/>
        <v>0.13414820390308813</v>
      </c>
      <c r="J28" s="17">
        <f t="shared" si="99"/>
        <v>0.10749250199488203</v>
      </c>
      <c r="K28" s="17">
        <f t="shared" si="99"/>
        <v>0.10000000000000009</v>
      </c>
      <c r="L28" s="17">
        <f>L12/H12-1</f>
        <v>-0.21674953621541726</v>
      </c>
      <c r="M28" s="17">
        <f t="shared" ref="M28:N28" si="102">M12/I12-1</f>
        <v>0.10000000000000009</v>
      </c>
      <c r="N28" s="17">
        <f t="shared" si="102"/>
        <v>0.10000000000000009</v>
      </c>
      <c r="S28" s="18"/>
      <c r="T28" s="18"/>
    </row>
    <row r="30" spans="2:123" x14ac:dyDescent="0.2">
      <c r="B30" t="s">
        <v>22</v>
      </c>
      <c r="G30" s="6">
        <f t="shared" ref="G30:H30" si="103">G9/G7</f>
        <v>0.6708828528762053</v>
      </c>
      <c r="H30" s="6">
        <f t="shared" si="103"/>
        <v>0.6663442035259951</v>
      </c>
      <c r="I30" s="6">
        <f t="shared" ref="I30:J30" si="104">I9/I7</f>
        <v>0.64830993066156972</v>
      </c>
      <c r="J30" s="6">
        <f t="shared" si="104"/>
        <v>0.70938937862522566</v>
      </c>
      <c r="K30" s="6">
        <f t="shared" ref="K30:N30" si="105">K9/K7</f>
        <v>0.7</v>
      </c>
      <c r="L30" s="6">
        <f>L9/L7</f>
        <v>0.66627755789955279</v>
      </c>
      <c r="M30" s="6">
        <f t="shared" si="105"/>
        <v>0.7</v>
      </c>
      <c r="N30" s="6">
        <f t="shared" si="105"/>
        <v>0.7</v>
      </c>
      <c r="R30" s="6">
        <f t="shared" ref="R30" si="106">R9/R7</f>
        <v>0.59885394576546491</v>
      </c>
      <c r="S30" s="6">
        <f>S9/S7</f>
        <v>0.68188952245188883</v>
      </c>
      <c r="T30" s="6">
        <f t="shared" ref="T30:AI30" si="107">T9/T7</f>
        <v>0.67121484270740917</v>
      </c>
      <c r="U30" s="6">
        <f t="shared" si="107"/>
        <v>0.69165789983074899</v>
      </c>
      <c r="V30" s="6">
        <f t="shared" si="107"/>
        <v>0.7</v>
      </c>
      <c r="W30" s="6">
        <f t="shared" si="107"/>
        <v>0.7</v>
      </c>
      <c r="X30" s="6">
        <f t="shared" si="107"/>
        <v>0.7</v>
      </c>
      <c r="Y30" s="6">
        <f t="shared" si="107"/>
        <v>0.7</v>
      </c>
      <c r="Z30" s="6">
        <f t="shared" si="107"/>
        <v>0.7</v>
      </c>
      <c r="AA30" s="6">
        <f t="shared" si="107"/>
        <v>0.7</v>
      </c>
      <c r="AB30" s="6">
        <f t="shared" si="107"/>
        <v>0.7</v>
      </c>
      <c r="AC30" s="6">
        <f t="shared" si="107"/>
        <v>0.7</v>
      </c>
      <c r="AD30" s="6">
        <f t="shared" si="107"/>
        <v>0.7</v>
      </c>
      <c r="AE30" s="6">
        <f t="shared" si="107"/>
        <v>0.7</v>
      </c>
      <c r="AF30" s="6">
        <f t="shared" si="107"/>
        <v>0.7</v>
      </c>
      <c r="AG30" s="6">
        <f t="shared" si="107"/>
        <v>0.7</v>
      </c>
      <c r="AH30" s="6">
        <f t="shared" si="107"/>
        <v>0.7</v>
      </c>
      <c r="AI30" s="6">
        <f t="shared" si="107"/>
        <v>0.7</v>
      </c>
    </row>
    <row r="31" spans="2:123" x14ac:dyDescent="0.2">
      <c r="B31" t="s">
        <v>27</v>
      </c>
      <c r="G31" s="6">
        <f t="shared" ref="G31:H31" si="108">+G10/G7</f>
        <v>0.42106120351700577</v>
      </c>
      <c r="H31" s="6">
        <f t="shared" si="108"/>
        <v>0.40198016254530911</v>
      </c>
      <c r="I31" s="6">
        <f t="shared" ref="I31:J31" si="109">+I10/I7</f>
        <v>0.36680152555086898</v>
      </c>
      <c r="J31" s="6">
        <f t="shared" si="109"/>
        <v>0.37932335218931618</v>
      </c>
      <c r="K31" s="6">
        <f t="shared" ref="K31:N31" si="110">+K10/K7</f>
        <v>0.52195946095420787</v>
      </c>
      <c r="L31" s="6">
        <f>+L10/L7</f>
        <v>0.39724585002043661</v>
      </c>
      <c r="M31" s="6">
        <f t="shared" si="110"/>
        <v>0.424723144363432</v>
      </c>
      <c r="N31" s="6">
        <f t="shared" si="110"/>
        <v>0.45701608697507978</v>
      </c>
      <c r="R31" s="6">
        <f t="shared" ref="R31:S31" si="111">+R10/R7</f>
        <v>0.47559145121749463</v>
      </c>
      <c r="S31" s="6">
        <f t="shared" si="111"/>
        <v>0.43771204561653598</v>
      </c>
      <c r="T31" s="6">
        <f>+T10/T7</f>
        <v>0.39291182453634571</v>
      </c>
    </row>
    <row r="33" spans="2:35" s="3" customFormat="1" x14ac:dyDescent="0.2">
      <c r="B33" s="3" t="s">
        <v>69</v>
      </c>
      <c r="C33" s="5"/>
      <c r="D33" s="5"/>
      <c r="E33" s="5"/>
      <c r="F33" s="5"/>
      <c r="G33" s="5"/>
      <c r="H33" s="5"/>
      <c r="I33" s="5"/>
      <c r="J33" s="5"/>
      <c r="K33" s="5"/>
      <c r="L33" s="5">
        <f>L34-L45</f>
        <v>2100.8969999999999</v>
      </c>
      <c r="M33" s="5">
        <f>L33+M18</f>
        <v>1950.8081911093748</v>
      </c>
      <c r="N33" s="5">
        <f t="shared" ref="N33" si="112">M33+N18</f>
        <v>1799.4031573593747</v>
      </c>
      <c r="U33" s="3">
        <f>N33</f>
        <v>1799.4031573593747</v>
      </c>
      <c r="V33" s="3">
        <f>+U33+V18</f>
        <v>1492.6653084617394</v>
      </c>
      <c r="W33" s="3">
        <f t="shared" ref="W33:AI33" si="113">+V33+W18</f>
        <v>1789.0483598914682</v>
      </c>
      <c r="X33" s="3">
        <f t="shared" si="113"/>
        <v>3109.8613407597977</v>
      </c>
      <c r="Y33" s="3">
        <f t="shared" si="113"/>
        <v>5177.9204949796331</v>
      </c>
      <c r="Z33" s="3">
        <f t="shared" si="113"/>
        <v>7602.971526415542</v>
      </c>
      <c r="AA33" s="3">
        <f t="shared" si="113"/>
        <v>10028.022557851451</v>
      </c>
      <c r="AB33" s="3">
        <f t="shared" si="113"/>
        <v>12453.07358928736</v>
      </c>
      <c r="AC33" s="3">
        <f t="shared" si="113"/>
        <v>14878.124620723269</v>
      </c>
      <c r="AD33" s="3">
        <f t="shared" si="113"/>
        <v>17303.175652159178</v>
      </c>
      <c r="AE33" s="3">
        <f t="shared" si="113"/>
        <v>19728.226683595087</v>
      </c>
      <c r="AF33" s="3">
        <f t="shared" si="113"/>
        <v>22153.277715030996</v>
      </c>
      <c r="AG33" s="3">
        <f t="shared" si="113"/>
        <v>24578.328746466905</v>
      </c>
      <c r="AH33" s="3">
        <f t="shared" si="113"/>
        <v>27003.379777902814</v>
      </c>
      <c r="AI33" s="3">
        <f t="shared" si="113"/>
        <v>29428.430809338723</v>
      </c>
    </row>
    <row r="34" spans="2:35" s="3" customFormat="1" x14ac:dyDescent="0.2">
      <c r="B34" s="3" t="s">
        <v>4</v>
      </c>
      <c r="C34" s="5"/>
      <c r="D34" s="5"/>
      <c r="E34" s="5"/>
      <c r="F34" s="5"/>
      <c r="G34" s="5"/>
      <c r="H34" s="5"/>
      <c r="I34" s="5"/>
      <c r="J34" s="5"/>
      <c r="K34" s="5"/>
      <c r="L34" s="5">
        <f>1027.661+2548.749</f>
        <v>3576.41</v>
      </c>
      <c r="M34" s="5"/>
      <c r="N34" s="5"/>
    </row>
    <row r="35" spans="2:35" s="3" customFormat="1" x14ac:dyDescent="0.2">
      <c r="B35" s="3" t="s">
        <v>47</v>
      </c>
      <c r="C35" s="5"/>
      <c r="D35" s="5"/>
      <c r="E35" s="5"/>
      <c r="F35" s="5"/>
      <c r="G35" s="5"/>
      <c r="H35" s="5"/>
      <c r="I35" s="5"/>
      <c r="J35" s="5"/>
      <c r="K35" s="5"/>
      <c r="L35" s="5">
        <v>576.79999999999995</v>
      </c>
      <c r="M35" s="5"/>
      <c r="N35" s="5"/>
    </row>
    <row r="36" spans="2:35" s="3" customFormat="1" x14ac:dyDescent="0.2">
      <c r="B36" s="3" t="s">
        <v>70</v>
      </c>
      <c r="C36" s="5"/>
      <c r="D36" s="5"/>
      <c r="E36" s="5"/>
      <c r="F36" s="5"/>
      <c r="G36" s="5"/>
      <c r="H36" s="5"/>
      <c r="I36" s="5"/>
      <c r="J36" s="5"/>
      <c r="K36" s="5"/>
      <c r="L36" s="5">
        <v>235.69900000000001</v>
      </c>
      <c r="M36" s="5"/>
      <c r="N36" s="5"/>
    </row>
    <row r="37" spans="2:35" s="3" customFormat="1" x14ac:dyDescent="0.2">
      <c r="B37" s="3" t="s">
        <v>71</v>
      </c>
      <c r="C37" s="5"/>
      <c r="D37" s="5"/>
      <c r="E37" s="5"/>
      <c r="F37" s="5"/>
      <c r="G37" s="5"/>
      <c r="H37" s="5"/>
      <c r="I37" s="5"/>
      <c r="J37" s="5"/>
      <c r="K37" s="5"/>
      <c r="L37" s="5">
        <v>746.71299999999997</v>
      </c>
      <c r="M37" s="5"/>
      <c r="N37" s="5"/>
    </row>
    <row r="38" spans="2:35" s="3" customFormat="1" x14ac:dyDescent="0.2">
      <c r="B38" s="3" t="s">
        <v>72</v>
      </c>
      <c r="C38" s="5"/>
      <c r="D38" s="5"/>
      <c r="E38" s="5"/>
      <c r="F38" s="5"/>
      <c r="G38" s="5"/>
      <c r="H38" s="5"/>
      <c r="I38" s="5"/>
      <c r="J38" s="5"/>
      <c r="K38" s="5"/>
      <c r="L38" s="5">
        <f>128.274+1122.533</f>
        <v>1250.8069999999998</v>
      </c>
      <c r="M38" s="5"/>
      <c r="N38" s="5"/>
    </row>
    <row r="39" spans="2:35" s="3" customFormat="1" x14ac:dyDescent="0.2">
      <c r="B39" s="3" t="s">
        <v>73</v>
      </c>
      <c r="C39" s="5"/>
      <c r="D39" s="5"/>
      <c r="E39" s="5"/>
      <c r="F39" s="5"/>
      <c r="G39" s="5"/>
      <c r="H39" s="5"/>
      <c r="I39" s="5"/>
      <c r="J39" s="5"/>
      <c r="K39" s="5"/>
      <c r="L39" s="5">
        <v>89.739000000000004</v>
      </c>
      <c r="M39" s="5"/>
      <c r="N39" s="5"/>
    </row>
    <row r="40" spans="2:35" s="3" customFormat="1" x14ac:dyDescent="0.2">
      <c r="B40" s="3" t="s">
        <v>74</v>
      </c>
      <c r="C40" s="5"/>
      <c r="D40" s="5"/>
      <c r="E40" s="5"/>
      <c r="F40" s="5"/>
      <c r="G40" s="5"/>
      <c r="H40" s="5"/>
      <c r="I40" s="5"/>
      <c r="J40" s="5"/>
      <c r="K40" s="5"/>
      <c r="L40" s="5">
        <f>SUM(L34:L39)</f>
        <v>6476.1679999999988</v>
      </c>
      <c r="M40" s="5"/>
      <c r="N40" s="5"/>
    </row>
    <row r="42" spans="2:35" s="3" customFormat="1" x14ac:dyDescent="0.2">
      <c r="B42" s="3" t="s">
        <v>75</v>
      </c>
      <c r="C42" s="5"/>
      <c r="D42" s="5"/>
      <c r="E42" s="5"/>
      <c r="F42" s="5"/>
      <c r="G42" s="5"/>
      <c r="H42" s="5"/>
      <c r="I42" s="5"/>
      <c r="J42" s="5"/>
      <c r="K42" s="5"/>
      <c r="L42" s="5">
        <v>90.352999999999994</v>
      </c>
      <c r="M42" s="5"/>
      <c r="N42" s="5"/>
    </row>
    <row r="43" spans="2:35" s="3" customFormat="1" x14ac:dyDescent="0.2">
      <c r="B43" s="3" t="s">
        <v>76</v>
      </c>
      <c r="C43" s="5"/>
      <c r="D43" s="5"/>
      <c r="E43" s="5"/>
      <c r="F43" s="5"/>
      <c r="G43" s="5"/>
      <c r="H43" s="5"/>
      <c r="I43" s="5"/>
      <c r="J43" s="5"/>
      <c r="K43" s="5"/>
      <c r="L43" s="5">
        <v>250.72</v>
      </c>
      <c r="M43" s="5"/>
      <c r="N43" s="5"/>
    </row>
    <row r="44" spans="2:35" s="3" customFormat="1" x14ac:dyDescent="0.2">
      <c r="B44" s="3" t="s">
        <v>77</v>
      </c>
      <c r="C44" s="5"/>
      <c r="D44" s="5"/>
      <c r="E44" s="5"/>
      <c r="F44" s="5"/>
      <c r="G44" s="5"/>
      <c r="H44" s="5"/>
      <c r="I44" s="5"/>
      <c r="J44" s="5"/>
      <c r="K44" s="5"/>
      <c r="L44" s="5">
        <f>81.692+45.478</f>
        <v>127.16999999999999</v>
      </c>
      <c r="M44" s="5"/>
      <c r="N44" s="5"/>
    </row>
    <row r="45" spans="2:35" s="3" customFormat="1" x14ac:dyDescent="0.2">
      <c r="B45" s="3" t="s">
        <v>5</v>
      </c>
      <c r="C45" s="5"/>
      <c r="D45" s="5"/>
      <c r="E45" s="5"/>
      <c r="F45" s="5"/>
      <c r="G45" s="5"/>
      <c r="H45" s="5"/>
      <c r="I45" s="5"/>
      <c r="J45" s="5"/>
      <c r="K45" s="5"/>
      <c r="L45" s="5">
        <v>1475.5129999999999</v>
      </c>
      <c r="M45" s="5"/>
      <c r="N45" s="5"/>
    </row>
    <row r="46" spans="2:35" s="3" customFormat="1" x14ac:dyDescent="0.2">
      <c r="B46" s="3" t="s">
        <v>78</v>
      </c>
      <c r="C46" s="5"/>
      <c r="D46" s="5"/>
      <c r="E46" s="5"/>
      <c r="F46" s="5"/>
      <c r="G46" s="5"/>
      <c r="H46" s="5"/>
      <c r="I46" s="5"/>
      <c r="J46" s="5"/>
      <c r="K46" s="5"/>
      <c r="L46" s="5">
        <v>3.847</v>
      </c>
      <c r="M46" s="5"/>
      <c r="N46" s="5"/>
    </row>
    <row r="47" spans="2:35" s="3" customFormat="1" x14ac:dyDescent="0.2">
      <c r="B47" s="3" t="s">
        <v>79</v>
      </c>
      <c r="C47" s="5"/>
      <c r="D47" s="5"/>
      <c r="E47" s="5"/>
      <c r="F47" s="5"/>
      <c r="G47" s="5"/>
      <c r="H47" s="5"/>
      <c r="I47" s="5"/>
      <c r="J47" s="5"/>
      <c r="K47" s="5"/>
      <c r="L47" s="5">
        <v>51.079000000000001</v>
      </c>
      <c r="M47" s="5"/>
      <c r="N47" s="5"/>
    </row>
    <row r="48" spans="2:35" s="3" customFormat="1" x14ac:dyDescent="0.2">
      <c r="B48" s="3" t="s">
        <v>80</v>
      </c>
      <c r="C48" s="5"/>
      <c r="D48" s="5"/>
      <c r="E48" s="5"/>
      <c r="F48" s="5"/>
      <c r="G48" s="5"/>
      <c r="H48" s="5"/>
      <c r="I48" s="5"/>
      <c r="J48" s="5"/>
      <c r="K48" s="5"/>
      <c r="L48" s="5">
        <v>4477.4859999999999</v>
      </c>
      <c r="M48" s="5"/>
      <c r="N48" s="5"/>
    </row>
    <row r="49" spans="2:14" s="3" customFormat="1" x14ac:dyDescent="0.2">
      <c r="B49" s="3" t="s">
        <v>81</v>
      </c>
      <c r="C49" s="5"/>
      <c r="D49" s="5"/>
      <c r="E49" s="5"/>
      <c r="F49" s="5"/>
      <c r="G49" s="5"/>
      <c r="H49" s="5"/>
      <c r="I49" s="5"/>
      <c r="J49" s="5"/>
      <c r="K49" s="5"/>
      <c r="L49" s="5">
        <f>SUM(L42:L48)</f>
        <v>6476.1679999999997</v>
      </c>
      <c r="M49" s="5"/>
      <c r="N49" s="5"/>
    </row>
    <row r="51" spans="2:14" s="19" customFormat="1" x14ac:dyDescent="0.2">
      <c r="B51" s="19" t="s">
        <v>39</v>
      </c>
      <c r="C51" s="20"/>
      <c r="D51" s="20"/>
      <c r="E51" s="20"/>
      <c r="F51" s="20"/>
      <c r="G51" s="20"/>
      <c r="H51" s="20"/>
      <c r="I51" s="20"/>
      <c r="J51" s="20">
        <f>+J18</f>
        <v>-62.244000000000128</v>
      </c>
      <c r="K51" s="20"/>
      <c r="L51" s="20"/>
      <c r="M51" s="20"/>
      <c r="N51" s="20"/>
    </row>
    <row r="52" spans="2:14" s="19" customFormat="1" x14ac:dyDescent="0.2">
      <c r="B52" s="19" t="s">
        <v>38</v>
      </c>
      <c r="C52" s="20"/>
      <c r="D52" s="20"/>
      <c r="E52" s="20"/>
      <c r="F52" s="20"/>
      <c r="G52" s="20"/>
      <c r="H52" s="20"/>
      <c r="I52" s="20"/>
      <c r="J52" s="20">
        <v>-90.236000000000004</v>
      </c>
      <c r="K52" s="20"/>
      <c r="L52" s="20"/>
      <c r="M52" s="20"/>
      <c r="N52" s="20"/>
    </row>
    <row r="53" spans="2:14" s="3" customFormat="1" x14ac:dyDescent="0.2">
      <c r="B53" s="3" t="s">
        <v>41</v>
      </c>
      <c r="C53" s="5"/>
      <c r="D53" s="5"/>
      <c r="E53" s="5"/>
      <c r="F53" s="5"/>
      <c r="G53" s="5"/>
      <c r="H53" s="5"/>
      <c r="I53" s="5"/>
      <c r="J53" s="5">
        <v>87.445999999999998</v>
      </c>
      <c r="K53" s="5"/>
      <c r="L53" s="5"/>
      <c r="M53" s="5"/>
      <c r="N53" s="5"/>
    </row>
    <row r="54" spans="2:14" s="3" customFormat="1" x14ac:dyDescent="0.2">
      <c r="B54" s="3" t="s">
        <v>42</v>
      </c>
      <c r="C54" s="5"/>
      <c r="D54" s="5"/>
      <c r="E54" s="5"/>
      <c r="F54" s="5"/>
      <c r="G54" s="5"/>
      <c r="H54" s="5"/>
      <c r="I54" s="5"/>
      <c r="J54" s="5">
        <v>155.05500000000001</v>
      </c>
      <c r="K54" s="5"/>
      <c r="L54" s="5"/>
      <c r="M54" s="5"/>
      <c r="N54" s="5"/>
    </row>
    <row r="55" spans="2:14" s="3" customFormat="1" x14ac:dyDescent="0.2">
      <c r="B55" s="3" t="s">
        <v>43</v>
      </c>
      <c r="C55" s="5"/>
      <c r="D55" s="5"/>
      <c r="E55" s="5"/>
      <c r="F55" s="5"/>
      <c r="G55" s="5"/>
      <c r="H55" s="5"/>
      <c r="I55" s="5"/>
      <c r="J55" s="5">
        <v>18.045999999999999</v>
      </c>
      <c r="K55" s="5"/>
      <c r="L55" s="5"/>
      <c r="M55" s="5"/>
      <c r="N55" s="5"/>
    </row>
    <row r="56" spans="2:14" s="3" customFormat="1" x14ac:dyDescent="0.2">
      <c r="B56" s="3" t="s">
        <v>44</v>
      </c>
      <c r="C56" s="5"/>
      <c r="D56" s="5"/>
      <c r="E56" s="5"/>
      <c r="F56" s="5"/>
      <c r="G56" s="5"/>
      <c r="H56" s="5"/>
      <c r="I56" s="5"/>
      <c r="J56" s="5">
        <v>5.4050000000000002</v>
      </c>
      <c r="K56" s="5"/>
      <c r="L56" s="5"/>
      <c r="M56" s="5"/>
      <c r="N56" s="5"/>
    </row>
    <row r="57" spans="2:14" s="3" customFormat="1" x14ac:dyDescent="0.2">
      <c r="B57" s="3" t="s">
        <v>45</v>
      </c>
      <c r="C57" s="5"/>
      <c r="D57" s="5"/>
      <c r="E57" s="5"/>
      <c r="F57" s="5"/>
      <c r="G57" s="5"/>
      <c r="H57" s="5"/>
      <c r="I57" s="5"/>
      <c r="J57" s="5">
        <v>-3.9049999999999998</v>
      </c>
      <c r="K57" s="5"/>
      <c r="L57" s="5"/>
      <c r="M57" s="5"/>
      <c r="N57" s="5"/>
    </row>
    <row r="58" spans="2:14" s="3" customFormat="1" x14ac:dyDescent="0.2">
      <c r="B58" s="3" t="s">
        <v>46</v>
      </c>
      <c r="C58" s="5"/>
      <c r="D58" s="5"/>
      <c r="E58" s="5"/>
      <c r="F58" s="5"/>
      <c r="G58" s="5"/>
      <c r="H58" s="5"/>
      <c r="I58" s="5"/>
      <c r="J58" s="5">
        <v>-3.8889999999999998</v>
      </c>
      <c r="K58" s="5"/>
      <c r="L58" s="5"/>
      <c r="M58" s="5"/>
      <c r="N58" s="5"/>
    </row>
    <row r="59" spans="2:14" s="3" customFormat="1" x14ac:dyDescent="0.2">
      <c r="B59" s="3" t="s">
        <v>47</v>
      </c>
      <c r="C59" s="5"/>
      <c r="D59" s="5"/>
      <c r="E59" s="5"/>
      <c r="F59" s="5"/>
      <c r="G59" s="5"/>
      <c r="H59" s="5"/>
      <c r="I59" s="5"/>
      <c r="J59" s="5">
        <v>-111.099</v>
      </c>
      <c r="K59" s="5"/>
      <c r="L59" s="5"/>
      <c r="M59" s="5"/>
      <c r="N59" s="5"/>
    </row>
    <row r="60" spans="2:14" s="3" customFormat="1" x14ac:dyDescent="0.2">
      <c r="B60" s="3" t="s">
        <v>48</v>
      </c>
      <c r="C60" s="5"/>
      <c r="D60" s="5"/>
      <c r="E60" s="5"/>
      <c r="F60" s="5"/>
      <c r="G60" s="5"/>
      <c r="H60" s="5"/>
      <c r="I60" s="5"/>
      <c r="J60" s="5">
        <v>-37.485999999999997</v>
      </c>
      <c r="K60" s="5"/>
      <c r="L60" s="5"/>
      <c r="M60" s="5"/>
      <c r="N60" s="5"/>
    </row>
    <row r="61" spans="2:14" s="3" customFormat="1" x14ac:dyDescent="0.2">
      <c r="B61" s="3" t="s">
        <v>49</v>
      </c>
      <c r="C61" s="5"/>
      <c r="D61" s="5"/>
      <c r="E61" s="5"/>
      <c r="F61" s="5"/>
      <c r="G61" s="5"/>
      <c r="H61" s="5"/>
      <c r="I61" s="5"/>
      <c r="J61" s="5">
        <v>85.866</v>
      </c>
      <c r="K61" s="5"/>
      <c r="L61" s="5"/>
      <c r="M61" s="5"/>
      <c r="N61" s="5"/>
    </row>
    <row r="62" spans="2:14" s="3" customFormat="1" x14ac:dyDescent="0.2">
      <c r="B62" s="3" t="s">
        <v>50</v>
      </c>
      <c r="C62" s="5"/>
      <c r="D62" s="5"/>
      <c r="E62" s="5"/>
      <c r="F62" s="5"/>
      <c r="G62" s="5"/>
      <c r="H62" s="5"/>
      <c r="I62" s="5"/>
      <c r="J62" s="5">
        <v>-5.9649999999999999</v>
      </c>
      <c r="K62" s="5"/>
      <c r="L62" s="5"/>
      <c r="M62" s="5"/>
      <c r="N62" s="5"/>
    </row>
    <row r="63" spans="2:14" s="3" customFormat="1" x14ac:dyDescent="0.2">
      <c r="B63" s="3" t="s">
        <v>40</v>
      </c>
      <c r="C63" s="5"/>
      <c r="D63" s="5"/>
      <c r="E63" s="5"/>
      <c r="F63" s="5"/>
      <c r="G63" s="5"/>
      <c r="H63" s="5"/>
      <c r="I63" s="5"/>
      <c r="J63" s="5">
        <f>SUM(J52:J62)</f>
        <v>99.237999999999971</v>
      </c>
      <c r="K63" s="5"/>
      <c r="L63" s="5"/>
      <c r="M63" s="5"/>
      <c r="N63" s="5"/>
    </row>
    <row r="64" spans="2:14" x14ac:dyDescent="0.2">
      <c r="B64" s="3" t="s">
        <v>51</v>
      </c>
      <c r="J64" s="5">
        <v>80.463999999999999</v>
      </c>
    </row>
    <row r="65" spans="2:10" x14ac:dyDescent="0.2">
      <c r="B65" s="3" t="s">
        <v>52</v>
      </c>
      <c r="J65" s="5">
        <f>+J63-J64</f>
        <v>18.773999999999972</v>
      </c>
    </row>
  </sheetData>
  <hyperlinks>
    <hyperlink ref="A1" location="Main!A1" display="Main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2016-03-17T00:29:02Z</dcterms:created>
  <dcterms:modified xsi:type="dcterms:W3CDTF">2016-05-07T07:54:56Z</dcterms:modified>
</cp:coreProperties>
</file>