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1570" windowHeight="7965"/>
  </bookViews>
  <sheets>
    <sheet name="Main" sheetId="1" r:id="rId1"/>
    <sheet name="Private" sheetId="3" r:id="rId2"/>
    <sheet name="Acquisitions" sheetId="4" r:id="rId3"/>
    <sheet name="Portfolio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61" i="1" l="1"/>
  <c r="F58" i="1" l="1"/>
  <c r="H6" i="2" l="1"/>
  <c r="K6" i="2" s="1"/>
  <c r="G6" i="2"/>
  <c r="G8" i="2"/>
  <c r="H8" i="2"/>
  <c r="K8" i="2" s="1"/>
  <c r="I8" i="2" l="1"/>
  <c r="J8" i="2" s="1"/>
  <c r="I6" i="2"/>
  <c r="J6" i="2" s="1"/>
  <c r="F56" i="1"/>
  <c r="F57" i="1" l="1"/>
  <c r="F51" i="1" l="1"/>
  <c r="E51" i="1"/>
  <c r="G51" i="1" l="1"/>
  <c r="E24" i="1"/>
  <c r="F81" i="1" l="1"/>
  <c r="G81" i="1" s="1"/>
  <c r="F42" i="1" l="1"/>
  <c r="E42" i="1"/>
  <c r="G42" i="1" l="1"/>
  <c r="F32" i="1"/>
  <c r="E32" i="1"/>
  <c r="G32" i="1" l="1"/>
  <c r="H7" i="2"/>
  <c r="G7" i="2"/>
  <c r="I7" i="2" l="1"/>
  <c r="J7" i="2" s="1"/>
  <c r="K7" i="2"/>
  <c r="J32" i="1"/>
  <c r="I32" i="1"/>
  <c r="F143" i="1"/>
  <c r="F4" i="1" l="1"/>
  <c r="E4" i="1"/>
  <c r="Q2" i="2" l="1"/>
  <c r="M6" i="2" s="1"/>
  <c r="N6" i="2" s="1"/>
  <c r="H10" i="2"/>
  <c r="G10" i="2"/>
  <c r="M7" i="2" l="1"/>
  <c r="N7" i="2" s="1"/>
  <c r="M8" i="2"/>
  <c r="N8" i="2" s="1"/>
  <c r="K10" i="2"/>
  <c r="I10" i="2"/>
  <c r="J10" i="2" s="1"/>
  <c r="E37" i="1"/>
  <c r="M3" i="2" l="1"/>
  <c r="M10" i="2"/>
  <c r="M5" i="2"/>
  <c r="M9" i="2"/>
  <c r="M4" i="2"/>
  <c r="F141" i="1"/>
  <c r="E141" i="1"/>
  <c r="F142" i="1"/>
  <c r="E142" i="1"/>
  <c r="G141" i="1" l="1"/>
  <c r="G142" i="1"/>
  <c r="F12" i="1"/>
  <c r="F7" i="1" l="1"/>
  <c r="H3" i="2" l="1"/>
  <c r="G3" i="2"/>
  <c r="H9" i="2"/>
  <c r="G9" i="2"/>
  <c r="H4" i="2"/>
  <c r="K4" i="2" s="1"/>
  <c r="G4" i="2"/>
  <c r="K9" i="2" l="1"/>
  <c r="I3" i="2"/>
  <c r="K3" i="2"/>
  <c r="I4" i="2"/>
  <c r="I9" i="2"/>
  <c r="F138" i="1"/>
  <c r="J9" i="2" l="1"/>
  <c r="J4" i="2"/>
  <c r="N4" i="2" s="1"/>
  <c r="J3" i="2"/>
  <c r="N3" i="2" s="1"/>
  <c r="N9" i="2"/>
  <c r="F33" i="1" l="1"/>
  <c r="E33" i="1"/>
  <c r="G33" i="1" l="1"/>
  <c r="J33" i="1" s="1"/>
  <c r="F71" i="1"/>
  <c r="E71" i="1"/>
  <c r="I33" i="1" l="1"/>
  <c r="G71" i="1"/>
  <c r="I71" i="1" s="1"/>
  <c r="F28" i="1"/>
  <c r="E28" i="1"/>
  <c r="E135" i="1"/>
  <c r="J71" i="1" l="1"/>
  <c r="G28" i="1"/>
  <c r="H5" i="2"/>
  <c r="K15" i="2" s="1"/>
  <c r="G5" i="2"/>
  <c r="K5" i="2" l="1"/>
  <c r="K13" i="2" s="1"/>
  <c r="I5" i="2"/>
  <c r="F34" i="1"/>
  <c r="I11" i="2" l="1"/>
  <c r="G14" i="2" s="1"/>
  <c r="G16" i="2" s="1"/>
  <c r="J5" i="2"/>
  <c r="N5" i="2" s="1"/>
  <c r="N10" i="2"/>
  <c r="E34" i="1"/>
  <c r="G34" i="1" s="1"/>
  <c r="D8" i="2" l="1"/>
  <c r="D6" i="2"/>
  <c r="K12" i="2"/>
  <c r="G12" i="2"/>
  <c r="K14" i="2"/>
  <c r="D7" i="2"/>
  <c r="D10" i="2"/>
  <c r="D4" i="2"/>
  <c r="D9" i="2"/>
  <c r="D5" i="2"/>
  <c r="D3" i="2"/>
  <c r="I34" i="1"/>
  <c r="J34" i="1"/>
  <c r="L11" i="1"/>
  <c r="M11" i="1" s="1"/>
  <c r="N11" i="1" s="1"/>
  <c r="O11" i="1" s="1"/>
  <c r="F25" i="1" l="1"/>
  <c r="E25" i="1"/>
  <c r="F30" i="1"/>
  <c r="E30" i="1"/>
  <c r="G25" i="1" l="1"/>
  <c r="G30" i="1"/>
  <c r="L22" i="1"/>
  <c r="M22" i="1" s="1"/>
  <c r="N22" i="1" s="1"/>
  <c r="O22" i="1" s="1"/>
  <c r="F22" i="1"/>
  <c r="E22" i="1"/>
  <c r="K26" i="1"/>
  <c r="L26" i="1" s="1"/>
  <c r="M26" i="1" s="1"/>
  <c r="N26" i="1" s="1"/>
  <c r="O26" i="1" s="1"/>
  <c r="F26" i="1"/>
  <c r="E26" i="1"/>
  <c r="G22" i="1" l="1"/>
  <c r="J22" i="1" s="1"/>
  <c r="G26" i="1"/>
  <c r="F20" i="1"/>
  <c r="F16" i="1"/>
  <c r="E16" i="1"/>
  <c r="F21" i="1"/>
  <c r="E21" i="1"/>
  <c r="I22" i="1" l="1"/>
  <c r="I26" i="1"/>
  <c r="J26" i="1"/>
  <c r="G16" i="1"/>
  <c r="G21" i="1"/>
  <c r="L18" i="1"/>
  <c r="M18" i="1" s="1"/>
  <c r="N18" i="1" s="1"/>
  <c r="O18" i="1" s="1"/>
  <c r="F18" i="1" l="1"/>
  <c r="E18" i="1"/>
  <c r="F23" i="1"/>
  <c r="M17" i="1"/>
  <c r="N17" i="1" s="1"/>
  <c r="O17" i="1" s="1"/>
  <c r="F17" i="1"/>
  <c r="G18" i="1" l="1"/>
  <c r="F14" i="1"/>
  <c r="E14" i="1"/>
  <c r="F27" i="1"/>
  <c r="E27" i="1"/>
  <c r="F31" i="1"/>
  <c r="E31" i="1"/>
  <c r="J18" i="1" l="1"/>
  <c r="I18" i="1"/>
  <c r="G14" i="1"/>
  <c r="G27" i="1"/>
  <c r="G31" i="1"/>
  <c r="F29" i="1"/>
  <c r="L13" i="1"/>
  <c r="M13" i="1" s="1"/>
  <c r="N13" i="1" s="1"/>
  <c r="O13" i="1" s="1"/>
  <c r="F13" i="1"/>
  <c r="F11" i="1" l="1"/>
  <c r="F10" i="1"/>
  <c r="E8" i="1"/>
  <c r="K15" i="1" l="1"/>
  <c r="L15" i="1" s="1"/>
  <c r="M15" i="1" s="1"/>
  <c r="N15" i="1" s="1"/>
  <c r="O15" i="1" s="1"/>
  <c r="F15" i="1"/>
  <c r="E20" i="1" l="1"/>
  <c r="G20" i="1" s="1"/>
  <c r="E15" i="1"/>
  <c r="G15" i="1" s="1"/>
  <c r="E12" i="1"/>
  <c r="G12" i="1" s="1"/>
  <c r="E11" i="1"/>
  <c r="G11" i="1" s="1"/>
  <c r="R3" i="1"/>
  <c r="Q3" i="1"/>
  <c r="E19" i="1"/>
  <c r="F19" i="1"/>
  <c r="G19" i="1" s="1"/>
  <c r="I11" i="1" l="1"/>
  <c r="J11" i="1"/>
  <c r="J15" i="1"/>
  <c r="I15" i="1"/>
  <c r="J12" i="1"/>
  <c r="I12" i="1"/>
  <c r="J19" i="1"/>
  <c r="I19" i="1"/>
  <c r="F24" i="1"/>
  <c r="G24" i="1" l="1"/>
  <c r="J24" i="1" s="1"/>
  <c r="E95" i="1"/>
  <c r="E90" i="1"/>
  <c r="E61" i="1"/>
  <c r="G61" i="1" s="1"/>
  <c r="E150" i="1"/>
  <c r="E149" i="1"/>
  <c r="E62" i="1"/>
  <c r="E94" i="1"/>
  <c r="E17" i="1"/>
  <c r="G17" i="1" s="1"/>
  <c r="E182" i="1"/>
  <c r="E181" i="1"/>
  <c r="E59" i="1"/>
  <c r="E154" i="1"/>
  <c r="E88" i="1"/>
  <c r="E153" i="1"/>
  <c r="E148" i="1"/>
  <c r="E60" i="1"/>
  <c r="E89" i="1"/>
  <c r="E145" i="1"/>
  <c r="E23" i="1"/>
  <c r="G23" i="1" s="1"/>
  <c r="E58" i="1"/>
  <c r="E147" i="1"/>
  <c r="E91" i="1"/>
  <c r="E92" i="1"/>
  <c r="E29" i="1"/>
  <c r="G29" i="1" s="1"/>
  <c r="E93" i="1"/>
  <c r="E87" i="1"/>
  <c r="E151" i="1"/>
  <c r="E86" i="1"/>
  <c r="E146" i="1"/>
  <c r="E84" i="1"/>
  <c r="E10" i="1"/>
  <c r="G10" i="1" s="1"/>
  <c r="E13" i="1"/>
  <c r="G13" i="1" s="1"/>
  <c r="E144" i="1"/>
  <c r="E143" i="1"/>
  <c r="G143" i="1" s="1"/>
  <c r="E85" i="1"/>
  <c r="E57" i="1"/>
  <c r="G57" i="1" s="1"/>
  <c r="E56" i="1"/>
  <c r="P140" i="1"/>
  <c r="P3" i="1" s="1"/>
  <c r="L140" i="1"/>
  <c r="M140" i="1" s="1"/>
  <c r="N140" i="1" s="1"/>
  <c r="O140" i="1" s="1"/>
  <c r="F140" i="1"/>
  <c r="G140" i="1" s="1"/>
  <c r="I140" i="1" s="1"/>
  <c r="F83" i="1"/>
  <c r="E83" i="1"/>
  <c r="L139" i="1"/>
  <c r="M139" i="1" s="1"/>
  <c r="N139" i="1" s="1"/>
  <c r="O139" i="1" s="1"/>
  <c r="F139" i="1"/>
  <c r="G139" i="1" s="1"/>
  <c r="L54" i="1"/>
  <c r="M54" i="1" s="1"/>
  <c r="N54" i="1" s="1"/>
  <c r="O54" i="1" s="1"/>
  <c r="S54" i="1"/>
  <c r="F54" i="1"/>
  <c r="G54" i="1" s="1"/>
  <c r="K9" i="1"/>
  <c r="L9" i="1" s="1"/>
  <c r="G9" i="1"/>
  <c r="M82" i="1"/>
  <c r="N82" i="1" s="1"/>
  <c r="O82" i="1" s="1"/>
  <c r="K8" i="1"/>
  <c r="L8" i="1" s="1"/>
  <c r="M8" i="1" s="1"/>
  <c r="N8" i="1" s="1"/>
  <c r="O8" i="1" s="1"/>
  <c r="G8" i="1"/>
  <c r="T58" i="1" l="1"/>
  <c r="G58" i="1"/>
  <c r="G56" i="1"/>
  <c r="T56" i="1"/>
  <c r="J17" i="1"/>
  <c r="I17" i="1"/>
  <c r="J29" i="1"/>
  <c r="I29" i="1"/>
  <c r="I13" i="1"/>
  <c r="J13" i="1"/>
  <c r="I8" i="1"/>
  <c r="I9" i="1"/>
  <c r="G83" i="1"/>
  <c r="I83" i="1" s="1"/>
  <c r="I139" i="1"/>
  <c r="J139" i="1"/>
  <c r="J9" i="1"/>
  <c r="M9" i="1"/>
  <c r="N9" i="1" s="1"/>
  <c r="O9" i="1" s="1"/>
  <c r="J140" i="1"/>
  <c r="J54" i="1"/>
  <c r="I54" i="1"/>
  <c r="J8" i="1"/>
  <c r="K6" i="1"/>
  <c r="L6" i="1" s="1"/>
  <c r="G6" i="1"/>
  <c r="I6" i="1" s="1"/>
  <c r="J83" i="1" l="1"/>
  <c r="J6" i="1"/>
  <c r="M6" i="1"/>
  <c r="N6" i="1" s="1"/>
  <c r="O6" i="1" s="1"/>
  <c r="U4" i="1"/>
  <c r="M138" i="1" l="1"/>
  <c r="N138" i="1" s="1"/>
  <c r="O138" i="1" s="1"/>
  <c r="M7" i="1"/>
  <c r="N7" i="1" s="1"/>
  <c r="O7" i="1" s="1"/>
  <c r="K4" i="1"/>
  <c r="G4" i="1"/>
  <c r="I4" i="1" l="1"/>
  <c r="L4" i="1"/>
  <c r="E7" i="1"/>
  <c r="G7" i="1" s="1"/>
  <c r="J7" i="1" s="1"/>
  <c r="J4" i="1" l="1"/>
  <c r="M4" i="1"/>
  <c r="N4" i="1" s="1"/>
  <c r="O4" i="1" s="1"/>
  <c r="I7" i="1"/>
  <c r="L5" i="1"/>
  <c r="M5" i="1" s="1"/>
  <c r="N5" i="1" s="1"/>
  <c r="O5" i="1" s="1"/>
  <c r="E5" i="1" l="1"/>
  <c r="F5" i="1"/>
  <c r="G5" i="1" l="1"/>
  <c r="I5" i="1" s="1"/>
  <c r="E79" i="1"/>
  <c r="G79" i="1" s="1"/>
  <c r="E82" i="1"/>
  <c r="G82" i="1" s="1"/>
  <c r="J5" i="1" l="1"/>
  <c r="J82" i="1"/>
  <c r="I82" i="1"/>
  <c r="E138" i="1" l="1"/>
  <c r="G138" i="1" s="1"/>
  <c r="I138" i="1" s="1"/>
  <c r="J138" i="1" l="1"/>
  <c r="F50" i="1"/>
  <c r="E50" i="1"/>
  <c r="G50" i="1" l="1"/>
  <c r="I50" i="1" s="1"/>
  <c r="I3" i="1" s="1"/>
  <c r="J50" i="1" l="1"/>
  <c r="J3" i="1" s="1"/>
</calcChain>
</file>

<file path=xl/sharedStrings.xml><?xml version="1.0" encoding="utf-8"?>
<sst xmlns="http://schemas.openxmlformats.org/spreadsheetml/2006/main" count="605" uniqueCount="449">
  <si>
    <t>Company</t>
  </si>
  <si>
    <t>Apple</t>
  </si>
  <si>
    <t>Microsoft</t>
  </si>
  <si>
    <t>Facebook</t>
  </si>
  <si>
    <t>AT&amp;T</t>
  </si>
  <si>
    <t>China Mobile</t>
  </si>
  <si>
    <t>Verizon</t>
  </si>
  <si>
    <t>Tencent</t>
  </si>
  <si>
    <t>Oracle</t>
  </si>
  <si>
    <t>Intel</t>
  </si>
  <si>
    <t>Cisco</t>
  </si>
  <si>
    <t>IBM</t>
  </si>
  <si>
    <t>TSMC</t>
  </si>
  <si>
    <t>SAP</t>
  </si>
  <si>
    <t>NTT Docomo</t>
  </si>
  <si>
    <t>NTT</t>
  </si>
  <si>
    <t>Vodafone</t>
  </si>
  <si>
    <t>Qualcomm</t>
  </si>
  <si>
    <t>DT</t>
  </si>
  <si>
    <t>Tata</t>
  </si>
  <si>
    <t>KDDI</t>
  </si>
  <si>
    <t>BT</t>
  </si>
  <si>
    <t>Softbank</t>
  </si>
  <si>
    <t>Baidu</t>
  </si>
  <si>
    <t>Broadcom</t>
  </si>
  <si>
    <t>Texas Instruments</t>
  </si>
  <si>
    <t>Telefonica</t>
  </si>
  <si>
    <t>EMC</t>
  </si>
  <si>
    <t>America Movil</t>
  </si>
  <si>
    <t>Salesforce.Com</t>
  </si>
  <si>
    <t>Telstra</t>
  </si>
  <si>
    <t>Orange</t>
  </si>
  <si>
    <t>Singapore Telecom</t>
  </si>
  <si>
    <t>Adobe</t>
  </si>
  <si>
    <t>Etisalat</t>
  </si>
  <si>
    <t>ASML</t>
  </si>
  <si>
    <t>China Telecom</t>
  </si>
  <si>
    <t>Infosys</t>
  </si>
  <si>
    <t>Canon</t>
  </si>
  <si>
    <t>BCE</t>
  </si>
  <si>
    <t>Saudi Telecom</t>
  </si>
  <si>
    <t>Nokia</t>
  </si>
  <si>
    <t>Cognizant</t>
  </si>
  <si>
    <t>Yahoo</t>
  </si>
  <si>
    <t>T Mobile</t>
  </si>
  <si>
    <t>Ericsson</t>
  </si>
  <si>
    <t>China Unicom</t>
  </si>
  <si>
    <t>NXP Semi</t>
  </si>
  <si>
    <t>Telekomunikasi</t>
  </si>
  <si>
    <t>MC</t>
  </si>
  <si>
    <t>AAPL US</t>
  </si>
  <si>
    <t>Ticker</t>
  </si>
  <si>
    <t>IBM US</t>
  </si>
  <si>
    <t>Price</t>
  </si>
  <si>
    <t>Net Cash</t>
  </si>
  <si>
    <t>EV</t>
  </si>
  <si>
    <t>Alphabet (Google)</t>
  </si>
  <si>
    <t>GOOGL US</t>
  </si>
  <si>
    <t>MSFT US</t>
  </si>
  <si>
    <t>FB US</t>
  </si>
  <si>
    <t>T US</t>
  </si>
  <si>
    <t>941 HK</t>
  </si>
  <si>
    <t>VZ US</t>
  </si>
  <si>
    <t>700 HK</t>
  </si>
  <si>
    <t>ORCL US</t>
  </si>
  <si>
    <t>INTC US</t>
  </si>
  <si>
    <t>CSCO US</t>
  </si>
  <si>
    <t>TCS IN</t>
  </si>
  <si>
    <t>Alarm.Com</t>
  </si>
  <si>
    <t>2016 E</t>
  </si>
  <si>
    <t>2016 EV/E</t>
  </si>
  <si>
    <t>2017 E</t>
  </si>
  <si>
    <t>2017 EV/E</t>
  </si>
  <si>
    <t>SaaS</t>
  </si>
  <si>
    <t>Enterprise Software</t>
  </si>
  <si>
    <t>Consulting</t>
  </si>
  <si>
    <t>Consulting/Outsourcing</t>
  </si>
  <si>
    <t>Consumer Electronics</t>
  </si>
  <si>
    <t>Telecom</t>
  </si>
  <si>
    <t>Search Engine</t>
  </si>
  <si>
    <t>Semiconductors</t>
  </si>
  <si>
    <t>Networking Equipment</t>
  </si>
  <si>
    <t>Amazon.Com</t>
  </si>
  <si>
    <t>AZMN US</t>
  </si>
  <si>
    <t>Ecommerce</t>
  </si>
  <si>
    <t>TXN US</t>
  </si>
  <si>
    <t>Semiconductor</t>
  </si>
  <si>
    <t>Software</t>
  </si>
  <si>
    <t>Hardware</t>
  </si>
  <si>
    <t>Swisscom</t>
  </si>
  <si>
    <t>Intuit</t>
  </si>
  <si>
    <t>Chunghwa Telecom</t>
  </si>
  <si>
    <t>Telef Vene</t>
  </si>
  <si>
    <t>Telenor</t>
  </si>
  <si>
    <t>Yahoo Japan</t>
  </si>
  <si>
    <t>Alibaba</t>
  </si>
  <si>
    <t>BABA US</t>
  </si>
  <si>
    <t>Applied Materials</t>
  </si>
  <si>
    <t>Corning</t>
  </si>
  <si>
    <t>GLW US</t>
  </si>
  <si>
    <t>AMAT US</t>
  </si>
  <si>
    <t>ALRM US</t>
  </si>
  <si>
    <t>INTU US</t>
  </si>
  <si>
    <t>VMWare</t>
  </si>
  <si>
    <t>VMW US</t>
  </si>
  <si>
    <t>TeliaSonera</t>
  </si>
  <si>
    <t>Telecom Italia</t>
  </si>
  <si>
    <t>ARM Holdings</t>
  </si>
  <si>
    <t>ARM LN</t>
  </si>
  <si>
    <t>FujiFilm</t>
  </si>
  <si>
    <t>4901 JP</t>
  </si>
  <si>
    <t>Wipro</t>
  </si>
  <si>
    <t>WPRO IN</t>
  </si>
  <si>
    <t>Bharti Airtel</t>
  </si>
  <si>
    <t>SK Hynix</t>
  </si>
  <si>
    <t>000660 KS</t>
  </si>
  <si>
    <t>Hewlett Packard Enterprises</t>
  </si>
  <si>
    <t>HPE US</t>
  </si>
  <si>
    <t>Dassault</t>
  </si>
  <si>
    <t>DSY FP</t>
  </si>
  <si>
    <t>HP Inc</t>
  </si>
  <si>
    <t>HPQ US</t>
  </si>
  <si>
    <t>Rogers</t>
  </si>
  <si>
    <t>Hedy Holding</t>
  </si>
  <si>
    <t>Netease</t>
  </si>
  <si>
    <t>Level 3</t>
  </si>
  <si>
    <t>HCL Tech</t>
  </si>
  <si>
    <t>Cerner</t>
  </si>
  <si>
    <t>Nvidia</t>
  </si>
  <si>
    <t>NVDA US</t>
  </si>
  <si>
    <t>Telus</t>
  </si>
  <si>
    <t>Tenefonica Brazil</t>
  </si>
  <si>
    <t>Analog Devices</t>
  </si>
  <si>
    <t>ADI US</t>
  </si>
  <si>
    <t>Centurylink</t>
  </si>
  <si>
    <t>MTN Group</t>
  </si>
  <si>
    <t>Altice</t>
  </si>
  <si>
    <t>Naver</t>
  </si>
  <si>
    <t>KPN</t>
  </si>
  <si>
    <t>Telefonica Deutsche</t>
  </si>
  <si>
    <t>Checkpoint</t>
  </si>
  <si>
    <t>Sandisk</t>
  </si>
  <si>
    <t>Sprint</t>
  </si>
  <si>
    <t>Advanced Info</t>
  </si>
  <si>
    <t>Cap Gemini</t>
  </si>
  <si>
    <t>SK Telecom</t>
  </si>
  <si>
    <t>QCOM US</t>
  </si>
  <si>
    <t>2018 E</t>
  </si>
  <si>
    <t>2019 E</t>
  </si>
  <si>
    <t>2020 E</t>
  </si>
  <si>
    <t>2016 RevG</t>
  </si>
  <si>
    <t>GM%</t>
  </si>
  <si>
    <t>OM%</t>
  </si>
  <si>
    <t>2016 R</t>
  </si>
  <si>
    <t>Discount</t>
  </si>
  <si>
    <t>FV</t>
  </si>
  <si>
    <t>SubSector</t>
  </si>
  <si>
    <t>HQ</t>
  </si>
  <si>
    <t>Hong Kong</t>
  </si>
  <si>
    <t>Founding</t>
  </si>
  <si>
    <t>TSM US</t>
  </si>
  <si>
    <t>EMC US</t>
  </si>
  <si>
    <t>SAP US</t>
  </si>
  <si>
    <t>ASML US</t>
  </si>
  <si>
    <t>9984 JP</t>
  </si>
  <si>
    <t>BIDU US</t>
  </si>
  <si>
    <t>CRM US</t>
  </si>
  <si>
    <t>ADBE US</t>
  </si>
  <si>
    <t>AVGO US</t>
  </si>
  <si>
    <t>ERIC US</t>
  </si>
  <si>
    <t>INFY US</t>
  </si>
  <si>
    <t>7751 JP</t>
  </si>
  <si>
    <t>NOK US</t>
  </si>
  <si>
    <t>CTSH US</t>
  </si>
  <si>
    <t>YHOO US</t>
  </si>
  <si>
    <t>NXPI US</t>
  </si>
  <si>
    <t>4689 JP</t>
  </si>
  <si>
    <t>002027 CH</t>
  </si>
  <si>
    <t>NTES US</t>
  </si>
  <si>
    <t>HCLT IN</t>
  </si>
  <si>
    <t>CERN US</t>
  </si>
  <si>
    <t>035420 KS</t>
  </si>
  <si>
    <t>CHKP US</t>
  </si>
  <si>
    <t>SNDK US</t>
  </si>
  <si>
    <t>CAP FP</t>
  </si>
  <si>
    <t>Priceline</t>
  </si>
  <si>
    <t>PCLN US</t>
  </si>
  <si>
    <t>Netflix</t>
  </si>
  <si>
    <t>NFLX US</t>
  </si>
  <si>
    <t>JD.Com</t>
  </si>
  <si>
    <t>Sony</t>
  </si>
  <si>
    <t>6758 JP</t>
  </si>
  <si>
    <t>Ebay</t>
  </si>
  <si>
    <t>EBAY US</t>
  </si>
  <si>
    <t>Samsung</t>
  </si>
  <si>
    <t>Panasonic</t>
  </si>
  <si>
    <t>Nintendo</t>
  </si>
  <si>
    <t>Hangzhou Hikvi</t>
  </si>
  <si>
    <t>Expedia</t>
  </si>
  <si>
    <t>Ctrip</t>
  </si>
  <si>
    <t>Linkedin</t>
  </si>
  <si>
    <t>Infineon</t>
  </si>
  <si>
    <t>Skyworks</t>
  </si>
  <si>
    <t>Rakuten</t>
  </si>
  <si>
    <t>Lam Research</t>
  </si>
  <si>
    <t>Xilinx</t>
  </si>
  <si>
    <t>Micron</t>
  </si>
  <si>
    <t>Twitter</t>
  </si>
  <si>
    <t>Mediatek</t>
  </si>
  <si>
    <t>KLA Tencor</t>
  </si>
  <si>
    <t>Tokyo Electron</t>
  </si>
  <si>
    <t>Linear Tech</t>
  </si>
  <si>
    <t>Renesas Electron</t>
  </si>
  <si>
    <t>Maxim</t>
  </si>
  <si>
    <t>Microchip</t>
  </si>
  <si>
    <t>Qihoo 360</t>
  </si>
  <si>
    <t>Neuromama</t>
  </si>
  <si>
    <t>Tripadvisor</t>
  </si>
  <si>
    <t>Advanced Semiconductor</t>
  </si>
  <si>
    <t>LG Electronics</t>
  </si>
  <si>
    <t>58.com</t>
  </si>
  <si>
    <t>Zalando</t>
  </si>
  <si>
    <t>Ricoh</t>
  </si>
  <si>
    <t>M3</t>
  </si>
  <si>
    <t>Garmin</t>
  </si>
  <si>
    <t>Vipshop</t>
  </si>
  <si>
    <t>Seiko Epson</t>
  </si>
  <si>
    <t>Sanan Optoelectro</t>
  </si>
  <si>
    <t>Qorvo</t>
  </si>
  <si>
    <t>Nikon</t>
  </si>
  <si>
    <t>Inotera Memories</t>
  </si>
  <si>
    <t>Kakao</t>
  </si>
  <si>
    <t>STM</t>
  </si>
  <si>
    <t>Marvell</t>
  </si>
  <si>
    <t>Liberty Ventures</t>
  </si>
  <si>
    <t>Auto Trader</t>
  </si>
  <si>
    <t>Casio</t>
  </si>
  <si>
    <t>Youku Tudou</t>
  </si>
  <si>
    <t>Rightmove</t>
  </si>
  <si>
    <t>Goertek</t>
  </si>
  <si>
    <t>United Micro</t>
  </si>
  <si>
    <t>Rea group</t>
  </si>
  <si>
    <t>Mercadolibre</t>
  </si>
  <si>
    <t>Rohm</t>
  </si>
  <si>
    <t>Godaddy</t>
  </si>
  <si>
    <t>Semiconductors/Electronics</t>
  </si>
  <si>
    <t>TWTR US</t>
  </si>
  <si>
    <t>LNKD US</t>
  </si>
  <si>
    <t>EXPE US</t>
  </si>
  <si>
    <t>JD US</t>
  </si>
  <si>
    <t>CTRP US</t>
  </si>
  <si>
    <t>4755 JP</t>
  </si>
  <si>
    <t>N/A</t>
  </si>
  <si>
    <t>QIHU US</t>
  </si>
  <si>
    <t>VRSN US</t>
  </si>
  <si>
    <t>TRIP US</t>
  </si>
  <si>
    <t>ZAL GY</t>
  </si>
  <si>
    <t>2413 JP</t>
  </si>
  <si>
    <t>VIPS US</t>
  </si>
  <si>
    <t>035720 KS</t>
  </si>
  <si>
    <t>LVNTA US</t>
  </si>
  <si>
    <t>AUTO LN</t>
  </si>
  <si>
    <t>RMV LN</t>
  </si>
  <si>
    <t>REA AU</t>
  </si>
  <si>
    <t>MELI US</t>
  </si>
  <si>
    <t>GDDY US</t>
  </si>
  <si>
    <t>WUBA US</t>
  </si>
  <si>
    <t>Match Group</t>
  </si>
  <si>
    <t>MTCH US</t>
  </si>
  <si>
    <t>Groupon</t>
  </si>
  <si>
    <t>GRPN US</t>
  </si>
  <si>
    <t>SOHU US</t>
  </si>
  <si>
    <t>Sohu.com</t>
  </si>
  <si>
    <t>Stamps.com</t>
  </si>
  <si>
    <t>STMP US</t>
  </si>
  <si>
    <t>Realpage</t>
  </si>
  <si>
    <t>RP US</t>
  </si>
  <si>
    <t>Logmein</t>
  </si>
  <si>
    <t>LOGM US</t>
  </si>
  <si>
    <t>Bankrate</t>
  </si>
  <si>
    <t>RATE US</t>
  </si>
  <si>
    <t>Makemytrip</t>
  </si>
  <si>
    <t>MMYT US</t>
  </si>
  <si>
    <t>Mimecast</t>
  </si>
  <si>
    <t>MIME US</t>
  </si>
  <si>
    <t>Angie's List</t>
  </si>
  <si>
    <t>ANGI US</t>
  </si>
  <si>
    <t>Intralinks</t>
  </si>
  <si>
    <t>IL US</t>
  </si>
  <si>
    <t>Heads</t>
  </si>
  <si>
    <t>Content</t>
  </si>
  <si>
    <t>Social</t>
  </si>
  <si>
    <t>HR</t>
  </si>
  <si>
    <t>Travel</t>
  </si>
  <si>
    <t>Search</t>
  </si>
  <si>
    <t>Verisign</t>
  </si>
  <si>
    <t>Gaming</t>
  </si>
  <si>
    <t>Activision</t>
  </si>
  <si>
    <t>ATVI US</t>
  </si>
  <si>
    <t>China</t>
  </si>
  <si>
    <t>Diverse</t>
  </si>
  <si>
    <t>Domain</t>
  </si>
  <si>
    <t>Virginia</t>
  </si>
  <si>
    <t>Berlin</t>
  </si>
  <si>
    <t>Managing Partner</t>
  </si>
  <si>
    <t>Martin Shkreli</t>
  </si>
  <si>
    <t>Investment Committee</t>
  </si>
  <si>
    <t>Enforcer</t>
  </si>
  <si>
    <t>Snapsnapy</t>
  </si>
  <si>
    <t>Akeel</t>
  </si>
  <si>
    <t>Badboy</t>
  </si>
  <si>
    <t>STMP</t>
  </si>
  <si>
    <t>Basis</t>
  </si>
  <si>
    <t>Position</t>
  </si>
  <si>
    <t>P&amp;L</t>
  </si>
  <si>
    <t>Ak He</t>
  </si>
  <si>
    <t>Junior Partner</t>
  </si>
  <si>
    <t>Deputy Managing Partner</t>
  </si>
  <si>
    <t>Lil Bitch</t>
  </si>
  <si>
    <t>Kwame B</t>
  </si>
  <si>
    <t>Non-Voting Members</t>
  </si>
  <si>
    <t>Louis</t>
  </si>
  <si>
    <t>Mike Flanagan</t>
  </si>
  <si>
    <t>Analyst</t>
  </si>
  <si>
    <t>Trades</t>
  </si>
  <si>
    <t>Bought</t>
  </si>
  <si>
    <t>Current</t>
  </si>
  <si>
    <t>HCIT</t>
  </si>
  <si>
    <t>Jason Yan</t>
  </si>
  <si>
    <t>RP</t>
  </si>
  <si>
    <t>NFLX</t>
  </si>
  <si>
    <t>Update</t>
  </si>
  <si>
    <t>Q116</t>
  </si>
  <si>
    <t>Q415</t>
  </si>
  <si>
    <t>MSFT</t>
  </si>
  <si>
    <t>% of Port</t>
  </si>
  <si>
    <t>Unrealized P&amp;L</t>
  </si>
  <si>
    <t>Realized P&amp;L</t>
  </si>
  <si>
    <t>Capital Contribution</t>
  </si>
  <si>
    <t>Short</t>
  </si>
  <si>
    <t>Portfolio Value</t>
  </si>
  <si>
    <t>Q315</t>
  </si>
  <si>
    <t>Return</t>
  </si>
  <si>
    <t>Abs</t>
  </si>
  <si>
    <t>Gross Exposure</t>
  </si>
  <si>
    <t>Net Exposure</t>
  </si>
  <si>
    <t>MU US</t>
  </si>
  <si>
    <t>XLNX US</t>
  </si>
  <si>
    <t>LCRX US</t>
  </si>
  <si>
    <t>KLAC US</t>
  </si>
  <si>
    <t>LLTC US</t>
  </si>
  <si>
    <t>005930 KS</t>
  </si>
  <si>
    <t>Currencies</t>
  </si>
  <si>
    <t>JPY</t>
  </si>
  <si>
    <t>EUR</t>
  </si>
  <si>
    <t>GBP</t>
  </si>
  <si>
    <t>KRW</t>
  </si>
  <si>
    <t>Last</t>
  </si>
  <si>
    <t>Date Entered</t>
  </si>
  <si>
    <t>IRR</t>
  </si>
  <si>
    <t>Days</t>
  </si>
  <si>
    <t>%Gain</t>
  </si>
  <si>
    <t>Uber</t>
  </si>
  <si>
    <t>AirBnB</t>
  </si>
  <si>
    <t>Lyft</t>
  </si>
  <si>
    <t>Snapchat</t>
  </si>
  <si>
    <t>YouTube</t>
  </si>
  <si>
    <t>Instagram</t>
  </si>
  <si>
    <t>WhatsApp</t>
  </si>
  <si>
    <t>Oculus</t>
  </si>
  <si>
    <t>Google</t>
  </si>
  <si>
    <t>Acquirer</t>
  </si>
  <si>
    <t>Acquiree</t>
  </si>
  <si>
    <t>Value</t>
  </si>
  <si>
    <t>Date</t>
  </si>
  <si>
    <t>PeopleSoft</t>
  </si>
  <si>
    <t>Beats</t>
  </si>
  <si>
    <t>Telecom, Software, Consulting</t>
  </si>
  <si>
    <t>AAPL</t>
  </si>
  <si>
    <t>LeEco</t>
  </si>
  <si>
    <t>FB</t>
  </si>
  <si>
    <t>Paypal</t>
  </si>
  <si>
    <t>PYPL US</t>
  </si>
  <si>
    <t>Productivity</t>
  </si>
  <si>
    <t>Beta</t>
  </si>
  <si>
    <t>Factor</t>
  </si>
  <si>
    <t>Midcap</t>
  </si>
  <si>
    <t>Largecap</t>
  </si>
  <si>
    <t>YELP US</t>
  </si>
  <si>
    <t>Yelp</t>
  </si>
  <si>
    <t>Valuation</t>
  </si>
  <si>
    <t>LivingSocial</t>
  </si>
  <si>
    <t>Affirm</t>
  </si>
  <si>
    <t>Altschool</t>
  </si>
  <si>
    <t>Investors</t>
  </si>
  <si>
    <t>AH</t>
  </si>
  <si>
    <t>bebop</t>
  </si>
  <si>
    <t>Boku</t>
  </si>
  <si>
    <t>Box</t>
  </si>
  <si>
    <t>BOX US</t>
  </si>
  <si>
    <t>Buzzfeed</t>
  </si>
  <si>
    <t>Coinbase</t>
  </si>
  <si>
    <t>Foursquare</t>
  </si>
  <si>
    <t>Genius</t>
  </si>
  <si>
    <t>GitHub</t>
  </si>
  <si>
    <t>Hem</t>
  </si>
  <si>
    <t>IFTTT</t>
  </si>
  <si>
    <t>Imgur</t>
  </si>
  <si>
    <t>Instacart</t>
  </si>
  <si>
    <t>Keybase</t>
  </si>
  <si>
    <t>Kno</t>
  </si>
  <si>
    <t>Pintrest</t>
  </si>
  <si>
    <t>Slack</t>
  </si>
  <si>
    <t>Soylent</t>
  </si>
  <si>
    <t>Stack Exchange</t>
  </si>
  <si>
    <t>Zenefits</t>
  </si>
  <si>
    <t>Magic Leap</t>
  </si>
  <si>
    <t>68B</t>
  </si>
  <si>
    <t>Saudi Arabia PIF, Toyota</t>
  </si>
  <si>
    <t>Didi Chuxing</t>
  </si>
  <si>
    <t>KnuEdge</t>
  </si>
  <si>
    <t>Twilio</t>
  </si>
  <si>
    <t>Tujia</t>
  </si>
  <si>
    <t>Workday</t>
  </si>
  <si>
    <t>WDAY US</t>
  </si>
  <si>
    <t>Balsamiq</t>
  </si>
  <si>
    <t>Citrix</t>
  </si>
  <si>
    <t>CTXS US</t>
  </si>
  <si>
    <t>Autodesk</t>
  </si>
  <si>
    <t>ADSK US</t>
  </si>
  <si>
    <t>Redhat</t>
  </si>
  <si>
    <t>RHT US</t>
  </si>
  <si>
    <t>CA</t>
  </si>
  <si>
    <t>CA US</t>
  </si>
  <si>
    <t>Splunk</t>
  </si>
  <si>
    <t>SPLK US</t>
  </si>
  <si>
    <t>Consumer Software</t>
  </si>
  <si>
    <t>ServiceNow</t>
  </si>
  <si>
    <t>NOW US</t>
  </si>
  <si>
    <t>Q216</t>
  </si>
  <si>
    <t>ADBE</t>
  </si>
  <si>
    <t>CRM</t>
  </si>
  <si>
    <t>30B</t>
  </si>
  <si>
    <t>AH, Google</t>
  </si>
  <si>
    <t>TWLO US</t>
  </si>
  <si>
    <t>2016 P/R</t>
  </si>
  <si>
    <t>25B</t>
  </si>
  <si>
    <t>Amazon</t>
  </si>
  <si>
    <t>Whole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</si>
</sst>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x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0" xfId="1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3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/>
    <xf numFmtId="3" fontId="0" fillId="2" borderId="3" xfId="0" applyNumberFormat="1" applyFill="1" applyBorder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/>
    <xf numFmtId="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4" fontId="0" fillId="0" borderId="0" xfId="0" applyNumberFormat="1" applyAlignment="1"/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9" fontId="1" fillId="0" borderId="0" xfId="0" applyNumberFormat="1" applyFont="1"/>
    <xf numFmtId="3" fontId="0" fillId="0" borderId="0" xfId="0" applyNumberFormat="1" applyAlignme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4" fillId="0" borderId="0" xfId="1" applyFont="1"/>
    <xf numFmtId="0" fontId="5" fillId="0" borderId="0" xfId="0" applyFont="1"/>
    <xf numFmtId="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8" Type="http://schemas.openxmlformats.org/officeDocument/2006/relationships/externalLink" Target="externalLinks/externalLink4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BA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TV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TE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354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NK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TR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EXP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75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689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W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ZA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RS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IP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IP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YHO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WUB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GDD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GRP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LOGM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M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MZ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AT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NGI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RC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ADB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CRM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INTU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CHKP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P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CSC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B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INTC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SM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00593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QCOM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X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998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CL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FL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ID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J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80841</v>
          </cell>
        </row>
        <row r="6">
          <cell r="J6">
            <v>5208</v>
          </cell>
        </row>
      </sheetData>
      <sheetData sheetId="1">
        <row r="19">
          <cell r="AK19">
            <v>0.06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9522</v>
          </cell>
        </row>
        <row r="6">
          <cell r="N6">
            <v>6779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5401</v>
          </cell>
        </row>
        <row r="6">
          <cell r="M6">
            <v>4079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4487.7749999999996</v>
          </cell>
        </row>
        <row r="6">
          <cell r="M6">
            <v>350.85399999999998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2134639</v>
          </cell>
        </row>
        <row r="6">
          <cell r="M6">
            <v>254957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3119.3820000000001</v>
          </cell>
        </row>
        <row r="6">
          <cell r="K6">
            <v>1126.5340000000001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6807.1929999999993</v>
          </cell>
        </row>
        <row r="6">
          <cell r="N6">
            <v>4795.5810000000001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2379.8009999999999</v>
          </cell>
        </row>
        <row r="6">
          <cell r="M6">
            <v>3201.277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652266</v>
          </cell>
        </row>
        <row r="6">
          <cell r="L6">
            <v>649195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O5">
            <v>649479</v>
          </cell>
        </row>
        <row r="6">
          <cell r="O6">
            <v>26778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3576.41</v>
          </cell>
        </row>
        <row r="6">
          <cell r="L6">
            <v>1475.5129999999999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116867</v>
          </cell>
        </row>
        <row r="6">
          <cell r="K6">
            <v>46394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1169.7</v>
          </cell>
        </row>
        <row r="6">
          <cell r="M6">
            <v>86.2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1915.4299999999998</v>
          </cell>
        </row>
        <row r="6">
          <cell r="M6">
            <v>1869.68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698</v>
          </cell>
        </row>
        <row r="6">
          <cell r="N6">
            <v>201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792.21100000000001</v>
          </cell>
        </row>
        <row r="6">
          <cell r="N6">
            <v>14.664999999999999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46231.211000000003</v>
          </cell>
        </row>
        <row r="6">
          <cell r="L6">
            <v>13845.352000000001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O5">
            <v>1132.1470000000002</v>
          </cell>
        </row>
        <row r="6">
          <cell r="O6">
            <v>276.54000000000002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352.5</v>
          </cell>
        </row>
        <row r="6">
          <cell r="M6">
            <v>1044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view"/>
    </sheetNames>
    <sheetDataSet>
      <sheetData sheetId="0">
        <row r="3">
          <cell r="K3">
            <v>580.01599999999996</v>
          </cell>
        </row>
        <row r="5">
          <cell r="K5">
            <v>866.06499999999994</v>
          </cell>
        </row>
        <row r="6">
          <cell r="K6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210.89400000000003</v>
          </cell>
        </row>
        <row r="6">
          <cell r="M6">
            <v>60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Model Reviews"/>
      <sheetName val="USPS"/>
    </sheetNames>
    <sheetDataSet>
      <sheetData sheetId="0">
        <row r="5">
          <cell r="L5">
            <v>75.207999999999998</v>
          </cell>
        </row>
        <row r="6">
          <cell r="L6">
            <v>161.62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13840</v>
          </cell>
        </row>
        <row r="6">
          <cell r="K6">
            <v>7691</v>
          </cell>
        </row>
      </sheetData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P3">
            <v>97.331999999999994</v>
          </cell>
        </row>
        <row r="5">
          <cell r="P5">
            <v>236.86600000000001</v>
          </cell>
        </row>
        <row r="6">
          <cell r="P6">
            <v>298.21199999999999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hort"/>
    </sheetNames>
    <sheetDataSet>
      <sheetData sheetId="0">
        <row r="5">
          <cell r="L5">
            <v>59.069999999999993</v>
          </cell>
        </row>
        <row r="6">
          <cell r="L6">
            <v>57.792000000000002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52335</v>
          </cell>
        </row>
        <row r="6">
          <cell r="K6">
            <v>41940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4318.4080000000004</v>
          </cell>
        </row>
        <row r="6">
          <cell r="M6">
            <v>1918.3889999999999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2268.2040000000002</v>
          </cell>
        </row>
        <row r="6">
          <cell r="M6">
            <v>1796.9290000000001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1108</v>
          </cell>
        </row>
        <row r="6">
          <cell r="M6">
            <v>1000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3708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ewers"/>
    </sheetNames>
    <sheetDataSet>
      <sheetData sheetId="0">
        <row r="5">
          <cell r="L5">
            <v>143</v>
          </cell>
        </row>
        <row r="6">
          <cell r="L6">
            <v>124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6667</v>
          </cell>
        </row>
        <row r="6">
          <cell r="N6">
            <v>109880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60375</v>
          </cell>
        </row>
        <row r="6">
          <cell r="L6">
            <v>24599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20621</v>
          </cell>
        </row>
        <row r="6">
          <cell r="L6">
            <v>0</v>
          </cell>
        </row>
      </sheetData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Phone"/>
      <sheetName val="Model"/>
      <sheetName val="IP"/>
    </sheetNames>
    <sheetDataSet>
      <sheetData sheetId="0">
        <row r="5">
          <cell r="K5">
            <v>232928</v>
          </cell>
        </row>
        <row r="6">
          <cell r="K6">
            <v>79872</v>
          </cell>
        </row>
      </sheetData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25841</v>
          </cell>
        </row>
        <row r="6">
          <cell r="L6">
            <v>22670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10">
          <cell r="L10">
            <v>10351.53125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O3">
            <v>145.944681</v>
          </cell>
        </row>
        <row r="5">
          <cell r="O5">
            <v>85101902</v>
          </cell>
        </row>
        <row r="6">
          <cell r="O6">
            <v>12652415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P5">
            <v>29984</v>
          </cell>
        </row>
        <row r="6">
          <cell r="P6">
            <v>11942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3439</v>
          </cell>
        </row>
        <row r="6">
          <cell r="N6">
            <v>4120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5529378</v>
          </cell>
        </row>
        <row r="6">
          <cell r="M6">
            <v>12381903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10580.68</v>
          </cell>
        </row>
        <row r="6">
          <cell r="M6">
            <v>6158.4430000000002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2072</v>
          </cell>
        </row>
        <row r="6">
          <cell r="K6">
            <v>2372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MB"/>
    </sheetNames>
    <sheetDataSet>
      <sheetData sheetId="0">
        <row r="11">
          <cell r="L11">
            <v>11699.118141054285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5037.1019999999999</v>
          </cell>
        </row>
        <row r="6">
          <cell r="N6">
            <v>983.9369999999999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SCO.xlsx" TargetMode="External"/><Relationship Id="rId18" Type="http://schemas.openxmlformats.org/officeDocument/2006/relationships/hyperlink" Target="NFLX.xlsx" TargetMode="External"/><Relationship Id="rId26" Type="http://schemas.openxmlformats.org/officeDocument/2006/relationships/hyperlink" Target="NTES.xlsx" TargetMode="External"/><Relationship Id="rId39" Type="http://schemas.openxmlformats.org/officeDocument/2006/relationships/hyperlink" Target="LOGM.xlsx" TargetMode="External"/><Relationship Id="rId21" Type="http://schemas.openxmlformats.org/officeDocument/2006/relationships/hyperlink" Target="BIDU.xlsx" TargetMode="External"/><Relationship Id="rId34" Type="http://schemas.openxmlformats.org/officeDocument/2006/relationships/hyperlink" Target="WUBA.xlsx" TargetMode="External"/><Relationship Id="rId42" Type="http://schemas.openxmlformats.org/officeDocument/2006/relationships/hyperlink" Target="TXN.xlsx" TargetMode="External"/><Relationship Id="rId47" Type="http://schemas.openxmlformats.org/officeDocument/2006/relationships/hyperlink" Target="CRM.xlsx" TargetMode="External"/><Relationship Id="rId50" Type="http://schemas.openxmlformats.org/officeDocument/2006/relationships/hyperlink" Target="CHKP.xlsx" TargetMode="External"/><Relationship Id="rId7" Type="http://schemas.openxmlformats.org/officeDocument/2006/relationships/hyperlink" Target="GOOGL.xlsx" TargetMode="External"/><Relationship Id="rId2" Type="http://schemas.openxmlformats.org/officeDocument/2006/relationships/hyperlink" Target="IBM.xlsx" TargetMode="External"/><Relationship Id="rId16" Type="http://schemas.openxmlformats.org/officeDocument/2006/relationships/hyperlink" Target="LNKD.xlsx" TargetMode="External"/><Relationship Id="rId29" Type="http://schemas.openxmlformats.org/officeDocument/2006/relationships/hyperlink" Target="EXPE.xlsx" TargetMode="External"/><Relationship Id="rId11" Type="http://schemas.openxmlformats.org/officeDocument/2006/relationships/hyperlink" Target="ORCL.xlsx" TargetMode="External"/><Relationship Id="rId24" Type="http://schemas.openxmlformats.org/officeDocument/2006/relationships/hyperlink" Target="TRIP.xlsx" TargetMode="External"/><Relationship Id="rId32" Type="http://schemas.openxmlformats.org/officeDocument/2006/relationships/hyperlink" Target="VRSN.xlsx" TargetMode="External"/><Relationship Id="rId37" Type="http://schemas.openxmlformats.org/officeDocument/2006/relationships/hyperlink" Target="VIPS.xlsx" TargetMode="External"/><Relationship Id="rId40" Type="http://schemas.openxmlformats.org/officeDocument/2006/relationships/hyperlink" Target="QCOM.xlsx" TargetMode="External"/><Relationship Id="rId45" Type="http://schemas.openxmlformats.org/officeDocument/2006/relationships/hyperlink" Target="VZ.xlsx" TargetMode="External"/><Relationship Id="rId5" Type="http://schemas.openxmlformats.org/officeDocument/2006/relationships/hyperlink" Target="MSFT.xlsx" TargetMode="External"/><Relationship Id="rId15" Type="http://schemas.openxmlformats.org/officeDocument/2006/relationships/hyperlink" Target="TWTR.xlsx" TargetMode="External"/><Relationship Id="rId23" Type="http://schemas.openxmlformats.org/officeDocument/2006/relationships/hyperlink" Target="GDDY.xlsx" TargetMode="External"/><Relationship Id="rId28" Type="http://schemas.openxmlformats.org/officeDocument/2006/relationships/hyperlink" Target="035420.xlsx" TargetMode="External"/><Relationship Id="rId36" Type="http://schemas.openxmlformats.org/officeDocument/2006/relationships/hyperlink" Target="STMP.xlsx" TargetMode="External"/><Relationship Id="rId49" Type="http://schemas.openxmlformats.org/officeDocument/2006/relationships/hyperlink" Target="INTU.xlsx" TargetMode="External"/><Relationship Id="rId10" Type="http://schemas.openxmlformats.org/officeDocument/2006/relationships/hyperlink" Target="700%20HK.xlsx" TargetMode="External"/><Relationship Id="rId19" Type="http://schemas.openxmlformats.org/officeDocument/2006/relationships/hyperlink" Target="9984.xlsx" TargetMode="External"/><Relationship Id="rId31" Type="http://schemas.openxmlformats.org/officeDocument/2006/relationships/hyperlink" Target="CTRP.xlsx" TargetMode="External"/><Relationship Id="rId44" Type="http://schemas.openxmlformats.org/officeDocument/2006/relationships/hyperlink" Target="RATE.xlsx" TargetMode="External"/><Relationship Id="rId4" Type="http://schemas.openxmlformats.org/officeDocument/2006/relationships/hyperlink" Target="T.xlsx" TargetMode="External"/><Relationship Id="rId9" Type="http://schemas.openxmlformats.org/officeDocument/2006/relationships/hyperlink" Target="BABA.xlsx" TargetMode="External"/><Relationship Id="rId14" Type="http://schemas.openxmlformats.org/officeDocument/2006/relationships/hyperlink" Target="TSM.xlsx" TargetMode="External"/><Relationship Id="rId22" Type="http://schemas.openxmlformats.org/officeDocument/2006/relationships/hyperlink" Target="YHOO.xlsx" TargetMode="External"/><Relationship Id="rId27" Type="http://schemas.openxmlformats.org/officeDocument/2006/relationships/hyperlink" Target="4689.xlsx" TargetMode="External"/><Relationship Id="rId30" Type="http://schemas.openxmlformats.org/officeDocument/2006/relationships/hyperlink" Target="ATVI.xlsx" TargetMode="External"/><Relationship Id="rId35" Type="http://schemas.openxmlformats.org/officeDocument/2006/relationships/hyperlink" Target="ZAL.xlsx" TargetMode="External"/><Relationship Id="rId43" Type="http://schemas.openxmlformats.org/officeDocument/2006/relationships/hyperlink" Target="GRPN.xlsx" TargetMode="External"/><Relationship Id="rId48" Type="http://schemas.openxmlformats.org/officeDocument/2006/relationships/hyperlink" Target="ADBE.xlsx" TargetMode="External"/><Relationship Id="rId8" Type="http://schemas.openxmlformats.org/officeDocument/2006/relationships/hyperlink" Target="AMZN.xlsx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ALRM.xlsx" TargetMode="External"/><Relationship Id="rId12" Type="http://schemas.openxmlformats.org/officeDocument/2006/relationships/hyperlink" Target="INTC.xlsx" TargetMode="External"/><Relationship Id="rId17" Type="http://schemas.openxmlformats.org/officeDocument/2006/relationships/hyperlink" Target="EBAY.xlsx" TargetMode="External"/><Relationship Id="rId25" Type="http://schemas.openxmlformats.org/officeDocument/2006/relationships/hyperlink" Target="JD.xlsx" TargetMode="External"/><Relationship Id="rId33" Type="http://schemas.openxmlformats.org/officeDocument/2006/relationships/hyperlink" Target="4755.xlsx" TargetMode="External"/><Relationship Id="rId38" Type="http://schemas.openxmlformats.org/officeDocument/2006/relationships/hyperlink" Target="RP.xlsx" TargetMode="External"/><Relationship Id="rId46" Type="http://schemas.openxmlformats.org/officeDocument/2006/relationships/hyperlink" Target="ANGI.xlsx" TargetMode="External"/><Relationship Id="rId20" Type="http://schemas.openxmlformats.org/officeDocument/2006/relationships/hyperlink" Target="PCLN.xlsx" TargetMode="External"/><Relationship Id="rId41" Type="http://schemas.openxmlformats.org/officeDocument/2006/relationships/hyperlink" Target="005930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FB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8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3.28515625" customWidth="1"/>
    <col min="2" max="2" width="30" customWidth="1"/>
    <col min="3" max="3" width="10.85546875" bestFit="1" customWidth="1"/>
    <col min="4" max="4" width="9.7109375" style="6" customWidth="1"/>
    <col min="5" max="5" width="11" style="8" customWidth="1"/>
    <col min="6" max="8" width="9.140625" style="8"/>
    <col min="9" max="9" width="10.42578125" style="6" customWidth="1"/>
    <col min="10" max="10" width="10.140625" customWidth="1"/>
    <col min="11" max="15" width="9.140625" style="8"/>
    <col min="16" max="16" width="11" style="6" customWidth="1"/>
    <col min="18" max="18" width="9.140625" style="6"/>
    <col min="19" max="22" width="9.140625" style="8"/>
    <col min="23" max="23" width="11.42578125" style="6" customWidth="1"/>
    <col min="25" max="25" width="9.140625" style="6"/>
    <col min="26" max="26" width="10.5703125" style="6" customWidth="1"/>
    <col min="27" max="27" width="22.42578125" style="6" bestFit="1" customWidth="1"/>
    <col min="28" max="28" width="12.85546875" bestFit="1" customWidth="1"/>
  </cols>
  <sheetData>
    <row r="2" spans="2:28" x14ac:dyDescent="0.2">
      <c r="B2" s="2" t="s">
        <v>0</v>
      </c>
      <c r="C2" s="2" t="s">
        <v>51</v>
      </c>
      <c r="D2" s="4" t="s">
        <v>53</v>
      </c>
      <c r="E2" s="10" t="s">
        <v>49</v>
      </c>
      <c r="F2" s="10" t="s">
        <v>54</v>
      </c>
      <c r="G2" s="10" t="s">
        <v>55</v>
      </c>
      <c r="H2" s="10" t="s">
        <v>331</v>
      </c>
      <c r="I2" s="4" t="s">
        <v>70</v>
      </c>
      <c r="J2" s="4" t="s">
        <v>72</v>
      </c>
      <c r="K2" s="10" t="s">
        <v>69</v>
      </c>
      <c r="L2" s="10" t="s">
        <v>71</v>
      </c>
      <c r="M2" s="10" t="s">
        <v>147</v>
      </c>
      <c r="N2" s="10" t="s">
        <v>148</v>
      </c>
      <c r="O2" s="10" t="s">
        <v>149</v>
      </c>
      <c r="P2" s="4" t="s">
        <v>150</v>
      </c>
      <c r="Q2" s="10" t="s">
        <v>151</v>
      </c>
      <c r="R2" s="10" t="s">
        <v>152</v>
      </c>
      <c r="S2" s="10" t="s">
        <v>153</v>
      </c>
      <c r="T2" s="10" t="s">
        <v>445</v>
      </c>
      <c r="U2" s="10" t="s">
        <v>154</v>
      </c>
      <c r="V2" s="10" t="s">
        <v>155</v>
      </c>
      <c r="W2" s="10" t="s">
        <v>157</v>
      </c>
      <c r="X2" s="10" t="s">
        <v>159</v>
      </c>
      <c r="Y2" s="10" t="s">
        <v>289</v>
      </c>
      <c r="Z2" s="10" t="s">
        <v>357</v>
      </c>
      <c r="AA2" s="4" t="s">
        <v>156</v>
      </c>
      <c r="AB2" s="10"/>
    </row>
    <row r="3" spans="2:28" x14ac:dyDescent="0.2">
      <c r="B3" s="2" t="s">
        <v>436</v>
      </c>
      <c r="C3" s="2"/>
      <c r="D3" s="4"/>
      <c r="E3" s="10"/>
      <c r="F3" s="10"/>
      <c r="G3" s="10"/>
      <c r="H3" s="10"/>
      <c r="I3" s="15">
        <f>TRIMMEAN(I4:I88,80%)</f>
        <v>28.835692373986205</v>
      </c>
      <c r="J3" s="15">
        <f>TRIMMEAN(J4:J88,80%)</f>
        <v>23.701550278714144</v>
      </c>
      <c r="K3" s="10"/>
      <c r="L3" s="10"/>
      <c r="M3" s="10"/>
      <c r="N3" s="10"/>
      <c r="O3" s="10"/>
      <c r="P3" s="16">
        <f>TRIMMEAN(P4:P88,80%)</f>
        <v>0.20800000000000002</v>
      </c>
      <c r="Q3" s="16">
        <f>TRIMMEAN(Q4:Q88,80%)</f>
        <v>0.65400000000000003</v>
      </c>
      <c r="R3" s="16">
        <f>TRIMMEAN(R4:R88,80%)</f>
        <v>0.27250000000000002</v>
      </c>
      <c r="S3" s="10"/>
      <c r="T3" s="10"/>
      <c r="U3" s="10"/>
      <c r="V3" s="10"/>
      <c r="W3" s="10"/>
      <c r="X3" s="10"/>
      <c r="AA3" s="4"/>
    </row>
    <row r="4" spans="2:28" x14ac:dyDescent="0.2">
      <c r="B4" s="3" t="s">
        <v>56</v>
      </c>
      <c r="C4" s="7" t="s">
        <v>57</v>
      </c>
      <c r="D4" s="5">
        <v>814.96</v>
      </c>
      <c r="E4" s="8">
        <f>+D4*687</f>
        <v>559877.52</v>
      </c>
      <c r="F4" s="8">
        <f>+[1]Main!$J$5-[1]Main!$J$6</f>
        <v>75633</v>
      </c>
      <c r="G4" s="8">
        <f t="shared" ref="G4:G9" si="0">+E4-F4</f>
        <v>484244.52</v>
      </c>
      <c r="H4" s="8" t="s">
        <v>332</v>
      </c>
      <c r="I4" s="9">
        <f t="shared" ref="I4" si="1">$G4/K4</f>
        <v>26.317636956521739</v>
      </c>
      <c r="J4" s="9">
        <f t="shared" ref="J4" si="2">$G4/L4</f>
        <v>22.884901701323251</v>
      </c>
      <c r="K4" s="8">
        <f>16000*1.15</f>
        <v>18400</v>
      </c>
      <c r="L4" s="8">
        <f>+K4*1.15</f>
        <v>21160</v>
      </c>
      <c r="M4" s="8">
        <f>+L4*1.1</f>
        <v>23276.000000000004</v>
      </c>
      <c r="N4" s="8">
        <f>+M4*1.1</f>
        <v>25603.600000000006</v>
      </c>
      <c r="O4" s="8">
        <f t="shared" ref="O4" si="3">+N4*1.1</f>
        <v>28163.96000000001</v>
      </c>
      <c r="P4" s="11">
        <v>0.18</v>
      </c>
      <c r="Q4" s="11">
        <v>0.62</v>
      </c>
      <c r="R4" s="11">
        <v>0.3</v>
      </c>
      <c r="S4" s="8">
        <v>88487</v>
      </c>
      <c r="U4" s="11">
        <f>[1]Model!$AK$19</f>
        <v>0.06</v>
      </c>
      <c r="V4" s="11"/>
      <c r="Z4" s="33">
        <v>42489</v>
      </c>
      <c r="AA4" s="6" t="s">
        <v>294</v>
      </c>
    </row>
    <row r="5" spans="2:28" x14ac:dyDescent="0.2">
      <c r="B5" s="3" t="s">
        <v>2</v>
      </c>
      <c r="C5" s="7" t="s">
        <v>58</v>
      </c>
      <c r="D5" s="5">
        <v>57.43</v>
      </c>
      <c r="E5" s="8">
        <f>+D5*7909</f>
        <v>454213.87</v>
      </c>
      <c r="F5" s="8">
        <f>[2]Main!$K$5-[2]Main!$K$6</f>
        <v>70473</v>
      </c>
      <c r="G5" s="8">
        <f t="shared" si="0"/>
        <v>383740.87</v>
      </c>
      <c r="H5" s="8" t="s">
        <v>332</v>
      </c>
      <c r="I5" s="9">
        <f>$G5/K5</f>
        <v>15.989202916666667</v>
      </c>
      <c r="J5" s="9">
        <f>$G5/L5</f>
        <v>16.150710016835017</v>
      </c>
      <c r="K5" s="8">
        <v>24000</v>
      </c>
      <c r="L5" s="8">
        <f>+K5*0.99</f>
        <v>23760</v>
      </c>
      <c r="M5" s="8">
        <f>+L5*1.1</f>
        <v>26136.000000000004</v>
      </c>
      <c r="N5" s="8">
        <f>+M5*1.1</f>
        <v>28749.600000000006</v>
      </c>
      <c r="O5" s="8">
        <f t="shared" ref="O5" si="4">+N5*1.1</f>
        <v>31624.560000000009</v>
      </c>
      <c r="P5" s="13">
        <v>0.01</v>
      </c>
      <c r="Q5" s="11">
        <v>0.63</v>
      </c>
      <c r="R5" s="11">
        <v>0.28000000000000003</v>
      </c>
      <c r="S5" s="8">
        <v>89400</v>
      </c>
      <c r="U5" s="11">
        <v>0.05</v>
      </c>
      <c r="V5" s="11"/>
      <c r="X5" s="6">
        <v>1975</v>
      </c>
      <c r="AA5" s="6" t="s">
        <v>300</v>
      </c>
    </row>
    <row r="6" spans="2:28" x14ac:dyDescent="0.2">
      <c r="B6" s="3" t="s">
        <v>82</v>
      </c>
      <c r="C6" s="7" t="s">
        <v>83</v>
      </c>
      <c r="D6" s="5">
        <v>834</v>
      </c>
      <c r="E6" s="8">
        <f>+D6*474</f>
        <v>395316</v>
      </c>
      <c r="F6" s="8">
        <f>+[3]Main!$K$5-[3]Main!$K$6</f>
        <v>6149</v>
      </c>
      <c r="G6" s="8">
        <f>+E6-F6</f>
        <v>389167</v>
      </c>
      <c r="H6" s="8" t="s">
        <v>439</v>
      </c>
      <c r="I6" s="9">
        <f>$G6/K6</f>
        <v>194.58349999999999</v>
      </c>
      <c r="J6" s="14">
        <f>$G6/L6</f>
        <v>97.291749999999993</v>
      </c>
      <c r="K6" s="8">
        <f>500*4</f>
        <v>2000</v>
      </c>
      <c r="L6" s="8">
        <f>+K6*2</f>
        <v>4000</v>
      </c>
      <c r="M6" s="8">
        <f>+L6*2</f>
        <v>8000</v>
      </c>
      <c r="N6" s="8">
        <f>+M6*1.2</f>
        <v>9600</v>
      </c>
      <c r="O6" s="8">
        <f>+N6*1.2</f>
        <v>11520</v>
      </c>
      <c r="P6" s="13">
        <v>0.22</v>
      </c>
      <c r="Q6" s="11">
        <v>0.19</v>
      </c>
      <c r="R6" s="11">
        <v>0.03</v>
      </c>
      <c r="S6" s="8">
        <v>145000</v>
      </c>
      <c r="U6" s="11">
        <v>0.08</v>
      </c>
      <c r="Z6" s="33">
        <v>42489</v>
      </c>
      <c r="AA6" s="6" t="s">
        <v>84</v>
      </c>
    </row>
    <row r="7" spans="2:28" x14ac:dyDescent="0.2">
      <c r="B7" s="3" t="s">
        <v>3</v>
      </c>
      <c r="C7" s="7" t="s">
        <v>59</v>
      </c>
      <c r="D7" s="6">
        <v>127.96</v>
      </c>
      <c r="E7" s="8">
        <f>+D7*2846</f>
        <v>364174.16</v>
      </c>
      <c r="F7" s="8">
        <f>+[4]Main!$L$5-[4]Main!$L$6</f>
        <v>20621</v>
      </c>
      <c r="G7" s="8">
        <f t="shared" si="0"/>
        <v>343553.16</v>
      </c>
      <c r="H7" s="8" t="s">
        <v>332</v>
      </c>
      <c r="I7" s="9">
        <f t="shared" ref="I7" si="5">$G7/K7</f>
        <v>34.355315999999995</v>
      </c>
      <c r="J7" s="9">
        <f>$G7/L7</f>
        <v>22.903543999999997</v>
      </c>
      <c r="K7" s="8">
        <v>10000</v>
      </c>
      <c r="L7" s="8">
        <v>15000</v>
      </c>
      <c r="M7" s="8">
        <f>+L7*1.5</f>
        <v>22500</v>
      </c>
      <c r="N7" s="8">
        <f>+M7*1.4</f>
        <v>31499.999999999996</v>
      </c>
      <c r="O7" s="8">
        <f t="shared" ref="O7" si="6">+N7*1.5</f>
        <v>47249.999999999993</v>
      </c>
      <c r="P7" s="13">
        <v>0.4</v>
      </c>
      <c r="Q7" s="11">
        <v>0.86</v>
      </c>
      <c r="R7" s="11">
        <v>0.54</v>
      </c>
      <c r="S7" s="8">
        <v>25000</v>
      </c>
      <c r="U7" s="11">
        <v>0.08</v>
      </c>
      <c r="V7" s="11"/>
      <c r="X7" s="6">
        <v>2004</v>
      </c>
      <c r="Z7" s="33">
        <v>42487</v>
      </c>
      <c r="AA7" s="6" t="s">
        <v>291</v>
      </c>
    </row>
    <row r="8" spans="2:28" s="7" customFormat="1" x14ac:dyDescent="0.2">
      <c r="B8" s="17" t="s">
        <v>95</v>
      </c>
      <c r="C8" s="7" t="s">
        <v>96</v>
      </c>
      <c r="D8" s="18">
        <v>107.71</v>
      </c>
      <c r="E8" s="19">
        <f>+D8*2475</f>
        <v>266582.25</v>
      </c>
      <c r="F8" s="19">
        <v>27857</v>
      </c>
      <c r="G8" s="19">
        <f>+E8-F8</f>
        <v>238725.25</v>
      </c>
      <c r="H8" s="19" t="s">
        <v>333</v>
      </c>
      <c r="I8" s="14">
        <f>$G8/K8</f>
        <v>24.867213541666668</v>
      </c>
      <c r="J8" s="14">
        <f>$G8/L8</f>
        <v>20.722677951388889</v>
      </c>
      <c r="K8" s="19">
        <f>8000*1.2</f>
        <v>9600</v>
      </c>
      <c r="L8" s="19">
        <f>+K8*1.2</f>
        <v>11520</v>
      </c>
      <c r="M8" s="19">
        <f t="shared" ref="M8:N8" si="7">+L8*1.2</f>
        <v>13824</v>
      </c>
      <c r="N8" s="19">
        <f t="shared" si="7"/>
        <v>16588.8</v>
      </c>
      <c r="O8" s="19">
        <f t="shared" ref="O8" si="8">+N8*1.2</f>
        <v>19906.559999999998</v>
      </c>
      <c r="P8" s="13">
        <v>0.32</v>
      </c>
      <c r="Q8" s="13">
        <v>0.68</v>
      </c>
      <c r="R8" s="13">
        <v>0.4</v>
      </c>
      <c r="S8" s="19">
        <v>16000</v>
      </c>
      <c r="T8" s="19"/>
      <c r="U8" s="19"/>
      <c r="V8" s="19"/>
      <c r="W8" s="18" t="s">
        <v>158</v>
      </c>
      <c r="Y8" s="18"/>
      <c r="Z8" s="18"/>
      <c r="AA8" s="18" t="s">
        <v>84</v>
      </c>
    </row>
    <row r="9" spans="2:28" x14ac:dyDescent="0.2">
      <c r="B9" s="3" t="s">
        <v>7</v>
      </c>
      <c r="C9" s="7" t="s">
        <v>63</v>
      </c>
      <c r="D9" s="5">
        <v>218</v>
      </c>
      <c r="E9" s="8">
        <v>178000</v>
      </c>
      <c r="F9" s="8">
        <v>23269</v>
      </c>
      <c r="G9" s="8">
        <f t="shared" si="0"/>
        <v>154731</v>
      </c>
      <c r="H9" s="8" t="s">
        <v>341</v>
      </c>
      <c r="I9" s="9">
        <f>$G9/K9</f>
        <v>22.104428571428571</v>
      </c>
      <c r="J9" s="9">
        <f>$G9/L9</f>
        <v>17.003406593406595</v>
      </c>
      <c r="K9" s="8">
        <f>5000*1.4</f>
        <v>7000</v>
      </c>
      <c r="L9" s="8">
        <f>+K9*1.3</f>
        <v>9100</v>
      </c>
      <c r="M9" s="8">
        <f>+L9*1.2</f>
        <v>10920</v>
      </c>
      <c r="N9" s="8">
        <f>+M9*1.1</f>
        <v>12012.000000000002</v>
      </c>
      <c r="O9" s="8">
        <f>+N9*1.1</f>
        <v>13213.200000000003</v>
      </c>
      <c r="P9" s="13">
        <v>0.34</v>
      </c>
      <c r="Q9" s="11">
        <v>0.59</v>
      </c>
      <c r="R9" s="13">
        <v>0.34</v>
      </c>
      <c r="S9" s="8">
        <v>15415</v>
      </c>
      <c r="W9" s="18" t="s">
        <v>158</v>
      </c>
      <c r="X9" s="6">
        <v>1998</v>
      </c>
      <c r="AA9" s="6" t="s">
        <v>300</v>
      </c>
    </row>
    <row r="10" spans="2:28" x14ac:dyDescent="0.2">
      <c r="B10" s="3" t="s">
        <v>22</v>
      </c>
      <c r="C10" t="s">
        <v>164</v>
      </c>
      <c r="D10" s="8">
        <v>6658</v>
      </c>
      <c r="E10" s="8">
        <f>+D10*1200/113</f>
        <v>70704.424778761066</v>
      </c>
      <c r="F10" s="8">
        <f>+([5]Main!$M$5-[5]Main!$M$6)/112</f>
        <v>-61183.258928571428</v>
      </c>
      <c r="G10" s="8">
        <f t="shared" ref="G10:G15" si="9">+E10-F10</f>
        <v>131887.6837073325</v>
      </c>
      <c r="H10" s="8" t="s">
        <v>333</v>
      </c>
      <c r="I10" s="20"/>
      <c r="J10" s="21"/>
      <c r="K10" s="22"/>
      <c r="L10" s="22"/>
      <c r="M10" s="22"/>
      <c r="N10" s="22"/>
      <c r="O10" s="22"/>
      <c r="P10" s="23"/>
      <c r="Q10" s="24"/>
      <c r="R10" s="23"/>
      <c r="S10" s="22"/>
      <c r="T10" s="22"/>
      <c r="U10" s="25"/>
      <c r="AA10" s="6" t="s">
        <v>84</v>
      </c>
    </row>
    <row r="11" spans="2:28" x14ac:dyDescent="0.2">
      <c r="B11" s="3" t="s">
        <v>185</v>
      </c>
      <c r="C11" t="s">
        <v>186</v>
      </c>
      <c r="D11" s="5">
        <v>1456</v>
      </c>
      <c r="E11" s="8">
        <f>+D11*49.6</f>
        <v>72217.600000000006</v>
      </c>
      <c r="F11" s="8">
        <f>+[6]Main!$M$5-[6]Main!$M$6</f>
        <v>4422.2370000000001</v>
      </c>
      <c r="G11" s="8">
        <f t="shared" si="9"/>
        <v>67795.363000000012</v>
      </c>
      <c r="H11" s="8" t="s">
        <v>333</v>
      </c>
      <c r="I11" s="14">
        <f t="shared" ref="I11" si="10">$G11/K11</f>
        <v>15.408037045454549</v>
      </c>
      <c r="J11" s="14">
        <f t="shared" ref="J11" si="11">$G11/L11</f>
        <v>14.674320995670998</v>
      </c>
      <c r="K11" s="8">
        <v>4400</v>
      </c>
      <c r="L11" s="8">
        <f>+K11*1.05</f>
        <v>4620</v>
      </c>
      <c r="M11" s="8">
        <f t="shared" ref="M11:O11" si="12">+L11*1.05</f>
        <v>4851</v>
      </c>
      <c r="N11" s="8">
        <f t="shared" si="12"/>
        <v>5093.55</v>
      </c>
      <c r="O11" s="8">
        <f t="shared" si="12"/>
        <v>5348.2275</v>
      </c>
      <c r="P11" s="11">
        <v>0.09</v>
      </c>
      <c r="Q11" s="11">
        <v>0.94</v>
      </c>
      <c r="R11" s="11">
        <v>0.36</v>
      </c>
      <c r="S11" s="8">
        <v>6000</v>
      </c>
      <c r="AA11" s="6" t="s">
        <v>293</v>
      </c>
    </row>
    <row r="12" spans="2:28" x14ac:dyDescent="0.2">
      <c r="B12" s="3" t="s">
        <v>187</v>
      </c>
      <c r="C12" t="s">
        <v>188</v>
      </c>
      <c r="D12" s="6">
        <v>95.94</v>
      </c>
      <c r="E12" s="8">
        <f>+D12*428</f>
        <v>41062.32</v>
      </c>
      <c r="F12" s="8">
        <f>+[7]Main!$K$5-[7]Main!$K$6</f>
        <v>-300</v>
      </c>
      <c r="G12" s="8">
        <f t="shared" si="9"/>
        <v>41362.32</v>
      </c>
      <c r="H12" s="8" t="s">
        <v>332</v>
      </c>
      <c r="I12" s="14">
        <f>$G12/K12</f>
        <v>158.47632183908047</v>
      </c>
      <c r="J12" s="14">
        <f>$G12/L12</f>
        <v>63.245137614678896</v>
      </c>
      <c r="K12" s="8">
        <v>261</v>
      </c>
      <c r="L12" s="8">
        <v>654</v>
      </c>
      <c r="M12" s="8">
        <v>1088</v>
      </c>
      <c r="N12" s="8">
        <v>1572</v>
      </c>
      <c r="O12" s="8">
        <v>2031</v>
      </c>
      <c r="P12" s="11">
        <v>0.23</v>
      </c>
      <c r="Q12" s="11">
        <v>0.31</v>
      </c>
      <c r="R12" s="11">
        <v>0.03</v>
      </c>
      <c r="S12" s="8">
        <v>8844</v>
      </c>
      <c r="U12" s="11">
        <v>7.0000000000000007E-2</v>
      </c>
      <c r="AA12" s="6" t="s">
        <v>290</v>
      </c>
    </row>
    <row r="13" spans="2:28" x14ac:dyDescent="0.2">
      <c r="B13" s="3" t="s">
        <v>23</v>
      </c>
      <c r="C13" t="s">
        <v>165</v>
      </c>
      <c r="D13" s="6">
        <v>191.72</v>
      </c>
      <c r="E13" s="8">
        <f>+D13*271</f>
        <v>51956.12</v>
      </c>
      <c r="F13" s="8">
        <f>+[8]Main!$L$11</f>
        <v>11699.118141054285</v>
      </c>
      <c r="G13" s="8">
        <f t="shared" si="9"/>
        <v>40257.001858945718</v>
      </c>
      <c r="I13" s="14">
        <f>$G13/K13</f>
        <v>28.75500132781837</v>
      </c>
      <c r="J13" s="14">
        <f>$G13/L13</f>
        <v>26.140910298016696</v>
      </c>
      <c r="K13" s="8">
        <v>1400</v>
      </c>
      <c r="L13" s="8">
        <f>+K13*1.1</f>
        <v>1540.0000000000002</v>
      </c>
      <c r="M13" s="8">
        <f t="shared" ref="M13:O13" si="13">+L13*1.1</f>
        <v>1694.0000000000005</v>
      </c>
      <c r="N13" s="8">
        <f t="shared" si="13"/>
        <v>1863.4000000000005</v>
      </c>
      <c r="O13" s="8">
        <f t="shared" si="13"/>
        <v>2049.7400000000007</v>
      </c>
      <c r="P13" s="11">
        <v>0.35</v>
      </c>
      <c r="Q13" s="11">
        <v>0.56000000000000005</v>
      </c>
      <c r="R13" s="11">
        <v>0.19</v>
      </c>
      <c r="S13" s="8">
        <v>10213</v>
      </c>
      <c r="AA13" s="6" t="s">
        <v>79</v>
      </c>
    </row>
    <row r="14" spans="2:28" x14ac:dyDescent="0.2">
      <c r="B14" s="3" t="s">
        <v>189</v>
      </c>
      <c r="C14" t="s">
        <v>249</v>
      </c>
      <c r="D14" s="6">
        <v>26.84</v>
      </c>
      <c r="E14" s="8">
        <f>+D14*1397</f>
        <v>37495.480000000003</v>
      </c>
      <c r="F14" s="8">
        <f>+[9]Main!$N$5-[9]Main!$N$6</f>
        <v>4053.165</v>
      </c>
      <c r="G14" s="8">
        <f t="shared" si="9"/>
        <v>33442.315000000002</v>
      </c>
      <c r="AA14" s="6" t="s">
        <v>84</v>
      </c>
    </row>
    <row r="15" spans="2:28" x14ac:dyDescent="0.2">
      <c r="B15" s="3" t="s">
        <v>192</v>
      </c>
      <c r="C15" t="s">
        <v>193</v>
      </c>
      <c r="D15" s="5">
        <v>32</v>
      </c>
      <c r="E15" s="8">
        <f>+D15*1178</f>
        <v>37696</v>
      </c>
      <c r="F15" s="8">
        <f>+[10]Main!$N$5-[10]Main!$N$6</f>
        <v>2743</v>
      </c>
      <c r="G15" s="8">
        <f t="shared" si="9"/>
        <v>34953</v>
      </c>
      <c r="I15" s="14">
        <f>$G15/K15</f>
        <v>18.897088638391047</v>
      </c>
      <c r="J15" s="14">
        <f>$G15/L15</f>
        <v>19.891672250937948</v>
      </c>
      <c r="K15" s="8">
        <f>1947*0.95</f>
        <v>1849.6499999999999</v>
      </c>
      <c r="L15" s="8">
        <f>+K15*0.95</f>
        <v>1757.1674999999998</v>
      </c>
      <c r="M15" s="8">
        <f t="shared" ref="M15:O15" si="14">+L15*0.95</f>
        <v>1669.3091249999998</v>
      </c>
      <c r="N15" s="8">
        <f t="shared" si="14"/>
        <v>1585.8436687499998</v>
      </c>
      <c r="O15" s="8">
        <f t="shared" si="14"/>
        <v>1506.5514853124996</v>
      </c>
      <c r="P15" s="11">
        <v>0</v>
      </c>
      <c r="Q15" s="11">
        <v>0.79</v>
      </c>
      <c r="R15" s="11">
        <v>0.28999999999999998</v>
      </c>
      <c r="S15" s="8">
        <v>8612</v>
      </c>
      <c r="U15" s="11">
        <v>0.08</v>
      </c>
      <c r="AA15" s="6" t="s">
        <v>84</v>
      </c>
    </row>
    <row r="16" spans="2:28" x14ac:dyDescent="0.2">
      <c r="B16" s="3" t="s">
        <v>297</v>
      </c>
      <c r="C16" t="s">
        <v>298</v>
      </c>
      <c r="D16" s="6">
        <v>44.36</v>
      </c>
      <c r="E16" s="8">
        <f>+D16*735</f>
        <v>32604.6</v>
      </c>
      <c r="F16" s="8">
        <f>+[11]Main!$M$5-[11]Main!$M$6</f>
        <v>1322</v>
      </c>
      <c r="G16" s="8">
        <f>+E16-F16</f>
        <v>31282.6</v>
      </c>
      <c r="H16" s="8" t="s">
        <v>333</v>
      </c>
      <c r="AA16" s="6" t="s">
        <v>296</v>
      </c>
    </row>
    <row r="17" spans="2:28" x14ac:dyDescent="0.2">
      <c r="B17" s="3" t="s">
        <v>124</v>
      </c>
      <c r="C17" t="s">
        <v>178</v>
      </c>
      <c r="D17" s="5">
        <v>247</v>
      </c>
      <c r="E17" s="8">
        <f>+D17*131</f>
        <v>32357</v>
      </c>
      <c r="F17" s="8">
        <f>+[12]Main!$M$5-[12]Main!$M$6</f>
        <v>4136.9209999999994</v>
      </c>
      <c r="G17" s="8">
        <f>+E17-F17</f>
        <v>28220.079000000002</v>
      </c>
      <c r="H17" s="8" t="s">
        <v>333</v>
      </c>
      <c r="I17" s="14">
        <f t="shared" ref="I17:J19" si="15">$G17/K17</f>
        <v>23.5167325</v>
      </c>
      <c r="J17" s="14">
        <f t="shared" si="15"/>
        <v>18.813386000000001</v>
      </c>
      <c r="K17" s="8">
        <v>1200</v>
      </c>
      <c r="L17" s="8">
        <v>1500</v>
      </c>
      <c r="M17" s="8">
        <f>+L17*1.05</f>
        <v>1575</v>
      </c>
      <c r="N17" s="8">
        <f t="shared" ref="N17:O17" si="16">+M17*1.05</f>
        <v>1653.75</v>
      </c>
      <c r="O17" s="8">
        <f t="shared" si="16"/>
        <v>1736.4375</v>
      </c>
      <c r="P17" s="26">
        <v>1.05</v>
      </c>
      <c r="Q17" s="11">
        <v>0.53</v>
      </c>
      <c r="R17" s="11">
        <v>0.31</v>
      </c>
      <c r="S17" s="8">
        <v>5000</v>
      </c>
      <c r="U17" s="11">
        <v>0.1</v>
      </c>
      <c r="W17" s="6" t="s">
        <v>299</v>
      </c>
      <c r="AA17" s="6" t="s">
        <v>296</v>
      </c>
    </row>
    <row r="18" spans="2:28" x14ac:dyDescent="0.2">
      <c r="B18" s="3" t="s">
        <v>137</v>
      </c>
      <c r="C18" t="s">
        <v>181</v>
      </c>
      <c r="D18" s="8">
        <v>878000</v>
      </c>
      <c r="E18" s="8">
        <f>+D18*0.0275</f>
        <v>24145</v>
      </c>
      <c r="F18" s="8">
        <f>([13]Main!$M$5-[13]Main!$M$6)/1147</f>
        <v>1638.7811682650392</v>
      </c>
      <c r="G18" s="8">
        <f>+E18-F18</f>
        <v>22506.218831734961</v>
      </c>
      <c r="I18" s="14">
        <f t="shared" si="15"/>
        <v>45.012437663469925</v>
      </c>
      <c r="J18" s="14">
        <f t="shared" si="15"/>
        <v>40.920397875881747</v>
      </c>
      <c r="K18" s="8">
        <v>500</v>
      </c>
      <c r="L18" s="8">
        <f>+K18*1.1</f>
        <v>550</v>
      </c>
      <c r="M18" s="8">
        <f t="shared" ref="M18:O18" si="17">+L18*1.1</f>
        <v>605</v>
      </c>
      <c r="N18" s="8">
        <f t="shared" si="17"/>
        <v>665.5</v>
      </c>
      <c r="O18" s="8">
        <f t="shared" si="17"/>
        <v>732.05000000000007</v>
      </c>
      <c r="P18" s="11">
        <v>0.19</v>
      </c>
      <c r="AA18" s="6" t="s">
        <v>294</v>
      </c>
    </row>
    <row r="19" spans="2:28" s="51" customFormat="1" x14ac:dyDescent="0.2">
      <c r="B19" s="50" t="s">
        <v>200</v>
      </c>
      <c r="C19" s="51" t="s">
        <v>247</v>
      </c>
      <c r="D19" s="52">
        <v>192</v>
      </c>
      <c r="E19" s="53">
        <f>+D19*132</f>
        <v>25344</v>
      </c>
      <c r="F19" s="53">
        <f>+[14]Main!$K$5-[14]Main!$K$6</f>
        <v>1992.848</v>
      </c>
      <c r="G19" s="53">
        <f>+E19-F19</f>
        <v>23351.152000000002</v>
      </c>
      <c r="H19" s="53" t="s">
        <v>333</v>
      </c>
      <c r="I19" s="54">
        <f t="shared" si="15"/>
        <v>77.83717333333334</v>
      </c>
      <c r="J19" s="54">
        <f t="shared" si="15"/>
        <v>38.91858666666667</v>
      </c>
      <c r="K19" s="53">
        <v>300</v>
      </c>
      <c r="L19" s="53">
        <v>600</v>
      </c>
      <c r="M19" s="53">
        <v>900</v>
      </c>
      <c r="N19" s="53">
        <v>1200</v>
      </c>
      <c r="O19" s="53">
        <v>1500</v>
      </c>
      <c r="P19" s="55">
        <v>0.34</v>
      </c>
      <c r="Q19" s="55">
        <v>0.86</v>
      </c>
      <c r="R19" s="55">
        <v>0.13</v>
      </c>
      <c r="S19" s="53">
        <v>3902</v>
      </c>
      <c r="T19" s="53"/>
      <c r="U19" s="55">
        <v>0.08</v>
      </c>
      <c r="V19" s="55"/>
      <c r="W19" s="56"/>
      <c r="X19" s="56">
        <v>2002</v>
      </c>
      <c r="Y19" s="56"/>
      <c r="Z19" s="56"/>
      <c r="AA19" s="56" t="s">
        <v>292</v>
      </c>
    </row>
    <row r="20" spans="2:28" x14ac:dyDescent="0.2">
      <c r="B20" s="3" t="s">
        <v>199</v>
      </c>
      <c r="C20" t="s">
        <v>250</v>
      </c>
      <c r="D20" s="6">
        <v>46.02</v>
      </c>
      <c r="E20" s="8">
        <f>+D20*450</f>
        <v>20709</v>
      </c>
      <c r="F20" s="8">
        <f>+[15]Main!$N$5-[15]Main!$N$6</f>
        <v>2011.6119999999992</v>
      </c>
      <c r="G20" s="8">
        <f>+E20-F20</f>
        <v>18697.387999999999</v>
      </c>
      <c r="W20" s="6" t="s">
        <v>299</v>
      </c>
      <c r="AA20" s="6" t="s">
        <v>293</v>
      </c>
    </row>
    <row r="21" spans="2:28" x14ac:dyDescent="0.2">
      <c r="B21" s="3" t="s">
        <v>198</v>
      </c>
      <c r="C21" t="s">
        <v>248</v>
      </c>
      <c r="D21" s="5">
        <v>109</v>
      </c>
      <c r="E21" s="8">
        <f>+D21*151</f>
        <v>16459</v>
      </c>
      <c r="F21" s="8">
        <f>[16]Main!$M$5-[16]Main!$M$6</f>
        <v>-821.47600000000011</v>
      </c>
      <c r="G21" s="8">
        <f t="shared" ref="G21:G31" si="18">+E21-F21</f>
        <v>17280.475999999999</v>
      </c>
      <c r="AA21" s="6" t="s">
        <v>293</v>
      </c>
    </row>
    <row r="22" spans="2:28" x14ac:dyDescent="0.2">
      <c r="B22" s="3" t="s">
        <v>203</v>
      </c>
      <c r="C22" t="s">
        <v>251</v>
      </c>
      <c r="D22" s="8">
        <v>1383</v>
      </c>
      <c r="E22" s="8">
        <f>+(D22*1375)/112</f>
        <v>16978.794642857141</v>
      </c>
      <c r="F22" s="8">
        <f>([17]Main!$L$5-[17]Main!$L$6)/112</f>
        <v>27.419642857142858</v>
      </c>
      <c r="G22" s="8">
        <f t="shared" si="18"/>
        <v>16951.375</v>
      </c>
      <c r="I22" s="14">
        <f t="shared" ref="I22:J26" si="19">$G22/K22</f>
        <v>33.902749999999997</v>
      </c>
      <c r="J22" s="14">
        <f t="shared" si="19"/>
        <v>30.820681818181818</v>
      </c>
      <c r="K22" s="8">
        <v>500</v>
      </c>
      <c r="L22" s="8">
        <f>+K22*1.1</f>
        <v>550</v>
      </c>
      <c r="M22" s="8">
        <f t="shared" ref="M22:O22" si="20">+L22*1.1</f>
        <v>605</v>
      </c>
      <c r="N22" s="8">
        <f t="shared" si="20"/>
        <v>665.5</v>
      </c>
      <c r="O22" s="8">
        <f t="shared" si="20"/>
        <v>732.05000000000007</v>
      </c>
      <c r="AA22" s="6" t="s">
        <v>84</v>
      </c>
    </row>
    <row r="23" spans="2:28" x14ac:dyDescent="0.2">
      <c r="B23" s="3" t="s">
        <v>94</v>
      </c>
      <c r="C23" t="s">
        <v>176</v>
      </c>
      <c r="D23" s="6">
        <v>410</v>
      </c>
      <c r="E23" s="8">
        <f>+D23*5695/113</f>
        <v>20663.274336283186</v>
      </c>
      <c r="F23" s="8">
        <f>([18]Main!$O$5-[18]Main!$O$6)/112</f>
        <v>5559.8303571428569</v>
      </c>
      <c r="G23" s="8">
        <f>+E23-F23</f>
        <v>15103.443979140329</v>
      </c>
      <c r="AA23" s="6" t="s">
        <v>294</v>
      </c>
    </row>
    <row r="24" spans="2:28" x14ac:dyDescent="0.2">
      <c r="B24" s="3" t="s">
        <v>207</v>
      </c>
      <c r="C24" t="s">
        <v>246</v>
      </c>
      <c r="D24" s="5">
        <v>22.62</v>
      </c>
      <c r="E24" s="8">
        <f>+D24*692</f>
        <v>15653.04</v>
      </c>
      <c r="F24" s="8">
        <f>+[19]Main!$L$5-[19]Main!$L$6</f>
        <v>2100.8969999999999</v>
      </c>
      <c r="G24" s="8">
        <f>+E24-F24</f>
        <v>13552.143</v>
      </c>
      <c r="H24" s="8" t="s">
        <v>332</v>
      </c>
      <c r="I24" s="14" t="s">
        <v>252</v>
      </c>
      <c r="J24" s="14">
        <f>$G24/L24</f>
        <v>167.31040740740741</v>
      </c>
      <c r="K24" s="8">
        <v>-327</v>
      </c>
      <c r="L24" s="8">
        <v>81</v>
      </c>
      <c r="M24" s="8">
        <v>858</v>
      </c>
      <c r="N24" s="8">
        <v>2126</v>
      </c>
      <c r="O24" s="8">
        <v>2923</v>
      </c>
      <c r="P24" s="16">
        <v>0.48</v>
      </c>
      <c r="Q24" s="13">
        <v>0.69</v>
      </c>
      <c r="R24" s="11">
        <v>0</v>
      </c>
      <c r="S24" s="8">
        <v>2924</v>
      </c>
      <c r="U24" s="11">
        <v>0.1</v>
      </c>
      <c r="X24" s="6">
        <v>2006</v>
      </c>
      <c r="AA24" s="6" t="s">
        <v>291</v>
      </c>
    </row>
    <row r="25" spans="2:28" x14ac:dyDescent="0.2">
      <c r="B25" s="3" t="s">
        <v>221</v>
      </c>
      <c r="C25" t="s">
        <v>256</v>
      </c>
      <c r="D25" s="5">
        <v>37</v>
      </c>
      <c r="E25" s="8">
        <f>+D25*246*1.14</f>
        <v>10376.279999999999</v>
      </c>
      <c r="F25" s="8">
        <f>+([20]Main!$M$5-[20]Main!$M$6)*1.14</f>
        <v>1235.1899999999998</v>
      </c>
      <c r="G25" s="8">
        <f>+E25-F25</f>
        <v>9141.0899999999983</v>
      </c>
      <c r="W25" s="6" t="s">
        <v>303</v>
      </c>
      <c r="AA25" s="6" t="s">
        <v>84</v>
      </c>
    </row>
    <row r="26" spans="2:28" x14ac:dyDescent="0.2">
      <c r="B26" s="3" t="s">
        <v>295</v>
      </c>
      <c r="C26" t="s">
        <v>254</v>
      </c>
      <c r="D26" s="6">
        <v>78.53</v>
      </c>
      <c r="E26" s="8">
        <f>+D26*109</f>
        <v>8559.77</v>
      </c>
      <c r="F26" s="8">
        <f>+[21]Main!$M$5-[21]Main!$M$6</f>
        <v>45.749999999999773</v>
      </c>
      <c r="G26" s="8">
        <f t="shared" si="18"/>
        <v>8514.02</v>
      </c>
      <c r="I26" s="14">
        <f t="shared" si="19"/>
        <v>21.622907936507939</v>
      </c>
      <c r="J26" s="14">
        <f t="shared" si="19"/>
        <v>20.593245653817082</v>
      </c>
      <c r="K26" s="8">
        <f>375*1.05</f>
        <v>393.75</v>
      </c>
      <c r="L26" s="8">
        <f>+K26*1.05</f>
        <v>413.4375</v>
      </c>
      <c r="M26" s="8">
        <f t="shared" ref="M26:O26" si="21">+L26*1.05</f>
        <v>434.109375</v>
      </c>
      <c r="N26" s="8">
        <f t="shared" si="21"/>
        <v>455.81484375000002</v>
      </c>
      <c r="O26" s="8">
        <f t="shared" si="21"/>
        <v>478.60558593750005</v>
      </c>
      <c r="P26" s="11">
        <v>0.05</v>
      </c>
      <c r="Q26" s="11">
        <v>0.82</v>
      </c>
      <c r="R26" s="11">
        <v>0.56999999999999995</v>
      </c>
      <c r="S26" s="8">
        <v>1100</v>
      </c>
      <c r="W26" s="6" t="s">
        <v>302</v>
      </c>
      <c r="X26" s="6">
        <v>1995</v>
      </c>
      <c r="Y26" s="8">
        <v>1019</v>
      </c>
      <c r="AA26" s="6" t="s">
        <v>301</v>
      </c>
    </row>
    <row r="27" spans="2:28" x14ac:dyDescent="0.2">
      <c r="B27" s="3" t="s">
        <v>217</v>
      </c>
      <c r="C27" t="s">
        <v>255</v>
      </c>
      <c r="D27" s="6">
        <v>61.87</v>
      </c>
      <c r="E27" s="8">
        <f>+D27*145</f>
        <v>8971.15</v>
      </c>
      <c r="F27" s="8">
        <f>+[22]Main!$N$5-[22]Main!$N$6</f>
        <v>497</v>
      </c>
      <c r="G27" s="8">
        <f t="shared" si="18"/>
        <v>8474.15</v>
      </c>
      <c r="AA27" s="6" t="s">
        <v>293</v>
      </c>
    </row>
    <row r="28" spans="2:28" x14ac:dyDescent="0.2">
      <c r="B28" s="3" t="s">
        <v>225</v>
      </c>
      <c r="C28" t="s">
        <v>258</v>
      </c>
      <c r="D28" s="6">
        <v>15.25</v>
      </c>
      <c r="E28" s="8">
        <f>+D28*628</f>
        <v>9577</v>
      </c>
      <c r="F28" s="8">
        <f>+[23]Main!$N$5-[23]Main!$N$6</f>
        <v>777.54600000000005</v>
      </c>
      <c r="G28" s="8">
        <f>+E28-F28</f>
        <v>8799.4539999999997</v>
      </c>
      <c r="W28" s="6" t="s">
        <v>299</v>
      </c>
      <c r="AA28" s="6" t="s">
        <v>84</v>
      </c>
    </row>
    <row r="29" spans="2:28" x14ac:dyDescent="0.2">
      <c r="B29" s="3" t="s">
        <v>43</v>
      </c>
      <c r="C29" t="s">
        <v>174</v>
      </c>
      <c r="D29" s="5">
        <v>42.8</v>
      </c>
      <c r="E29" s="8">
        <f>+D29*946.8</f>
        <v>40523.039999999994</v>
      </c>
      <c r="F29" s="8">
        <f>+[24]Main!$L$5-[24]Main!$L$6</f>
        <v>32385.859000000004</v>
      </c>
      <c r="G29" s="8">
        <f>+E29-F29</f>
        <v>8137.1809999999896</v>
      </c>
      <c r="H29" s="19" t="s">
        <v>333</v>
      </c>
      <c r="I29" s="14">
        <f>$G29/K29</f>
        <v>1627.4361999999978</v>
      </c>
      <c r="J29" s="14">
        <f>$G29/L29</f>
        <v>81.371809999999897</v>
      </c>
      <c r="K29" s="8">
        <v>5</v>
      </c>
      <c r="L29" s="8">
        <v>100</v>
      </c>
      <c r="M29" s="8">
        <v>200</v>
      </c>
      <c r="N29" s="8">
        <v>300</v>
      </c>
      <c r="O29" s="8">
        <v>400</v>
      </c>
      <c r="U29" s="11">
        <v>0.08</v>
      </c>
      <c r="X29" s="6">
        <v>1994</v>
      </c>
      <c r="Y29" s="8">
        <v>10400</v>
      </c>
      <c r="Z29" s="33">
        <v>42469</v>
      </c>
      <c r="AA29" s="6" t="s">
        <v>290</v>
      </c>
      <c r="AB29" s="33"/>
    </row>
    <row r="30" spans="2:28" x14ac:dyDescent="0.2">
      <c r="B30" s="3" t="s">
        <v>220</v>
      </c>
      <c r="C30" t="s">
        <v>266</v>
      </c>
      <c r="D30" s="6">
        <v>49.47</v>
      </c>
      <c r="E30" s="8">
        <f>+D30*142</f>
        <v>7024.74</v>
      </c>
      <c r="F30" s="8">
        <f>+[25]Main!$O$5-[25]Main!$O$6</f>
        <v>855.6070000000002</v>
      </c>
      <c r="G30" s="8">
        <f>+E30-F30</f>
        <v>6169.1329999999998</v>
      </c>
      <c r="W30" s="6" t="s">
        <v>299</v>
      </c>
      <c r="AA30" s="6" t="s">
        <v>84</v>
      </c>
    </row>
    <row r="31" spans="2:28" x14ac:dyDescent="0.2">
      <c r="B31" s="3" t="s">
        <v>244</v>
      </c>
      <c r="C31" t="s">
        <v>265</v>
      </c>
      <c r="D31" s="6">
        <v>34.29</v>
      </c>
      <c r="E31" s="8">
        <f>+D31*158</f>
        <v>5417.82</v>
      </c>
      <c r="F31" s="8">
        <f>+[26]Main!$M$5-[26]Main!$M$6</f>
        <v>-691.5</v>
      </c>
      <c r="G31" s="8">
        <f t="shared" si="18"/>
        <v>6109.32</v>
      </c>
      <c r="AA31" s="6" t="s">
        <v>301</v>
      </c>
    </row>
    <row r="32" spans="2:28" x14ac:dyDescent="0.2">
      <c r="B32" s="3" t="s">
        <v>269</v>
      </c>
      <c r="C32" t="s">
        <v>270</v>
      </c>
      <c r="D32" s="6">
        <v>5.32</v>
      </c>
      <c r="E32" s="8">
        <f>+D32*[27]Main!$K$3</f>
        <v>3085.6851200000001</v>
      </c>
      <c r="F32" s="8">
        <f>+[27]Main!$K$5-[27]Main!$K$6</f>
        <v>866.06499999999994</v>
      </c>
      <c r="G32" s="8">
        <f>+E32-F32</f>
        <v>2219.62012</v>
      </c>
      <c r="H32" s="8" t="s">
        <v>332</v>
      </c>
      <c r="I32" s="14">
        <f t="shared" ref="I32:J34" si="22">$G32/K32</f>
        <v>221.96201200000002</v>
      </c>
      <c r="J32" s="14">
        <f t="shared" si="22"/>
        <v>44.392402400000002</v>
      </c>
      <c r="K32" s="8">
        <v>10</v>
      </c>
      <c r="L32" s="8">
        <v>50</v>
      </c>
      <c r="M32" s="8">
        <v>100</v>
      </c>
      <c r="N32" s="8">
        <v>125</v>
      </c>
      <c r="O32" s="8">
        <v>150</v>
      </c>
      <c r="P32" s="11">
        <v>-0.05</v>
      </c>
      <c r="Q32" s="11">
        <v>0.46</v>
      </c>
      <c r="R32" s="11">
        <v>0</v>
      </c>
      <c r="S32" s="8">
        <v>3000</v>
      </c>
      <c r="U32" s="11">
        <v>7.0000000000000007E-2</v>
      </c>
      <c r="X32" s="6">
        <v>2008</v>
      </c>
      <c r="Y32" s="8">
        <v>9200</v>
      </c>
      <c r="Z32" s="33">
        <v>42491</v>
      </c>
      <c r="AA32" s="18" t="s">
        <v>84</v>
      </c>
    </row>
    <row r="33" spans="2:28" x14ac:dyDescent="0.2">
      <c r="B33" s="3" t="s">
        <v>277</v>
      </c>
      <c r="C33" t="s">
        <v>278</v>
      </c>
      <c r="D33" s="5">
        <v>89.71</v>
      </c>
      <c r="E33" s="8">
        <f>+D33*25.099749</f>
        <v>2251.6984827899996</v>
      </c>
      <c r="F33" s="8">
        <f>+[28]Main!$M$5-[28]Main!$M$6</f>
        <v>150.89400000000003</v>
      </c>
      <c r="G33" s="19">
        <f>+E33-F33</f>
        <v>2100.8044827899994</v>
      </c>
      <c r="H33" s="19" t="s">
        <v>333</v>
      </c>
      <c r="I33" s="14">
        <f t="shared" si="22"/>
        <v>42.016089655799988</v>
      </c>
      <c r="J33" s="14">
        <f t="shared" si="22"/>
        <v>28.010726437199992</v>
      </c>
      <c r="K33" s="8">
        <v>50</v>
      </c>
      <c r="L33" s="8">
        <v>75</v>
      </c>
      <c r="M33" s="8">
        <v>100</v>
      </c>
      <c r="N33" s="8">
        <v>125</v>
      </c>
      <c r="O33" s="8">
        <v>150</v>
      </c>
      <c r="P33" s="11">
        <v>0.25</v>
      </c>
      <c r="Q33" s="11">
        <v>0.87</v>
      </c>
      <c r="U33" s="11"/>
      <c r="X33" s="6"/>
      <c r="Y33" s="8"/>
      <c r="Z33" s="33">
        <v>42486</v>
      </c>
      <c r="AA33" s="6" t="s">
        <v>383</v>
      </c>
    </row>
    <row r="34" spans="2:28" s="7" customFormat="1" x14ac:dyDescent="0.2">
      <c r="B34" s="17" t="s">
        <v>273</v>
      </c>
      <c r="C34" s="7" t="s">
        <v>274</v>
      </c>
      <c r="D34" s="32">
        <v>94.32</v>
      </c>
      <c r="E34" s="19">
        <f>+D34*16.712</f>
        <v>1576.2758399999998</v>
      </c>
      <c r="F34" s="19">
        <f>+[29]Main!$L$5-[29]Main!$L$6</f>
        <v>-86.412000000000006</v>
      </c>
      <c r="G34" s="19">
        <f>+E34-F34</f>
        <v>1662.6878399999998</v>
      </c>
      <c r="H34" s="19" t="s">
        <v>333</v>
      </c>
      <c r="I34" s="14">
        <f t="shared" si="22"/>
        <v>24.816236417910446</v>
      </c>
      <c r="J34" s="14">
        <f t="shared" si="22"/>
        <v>21.316510769230767</v>
      </c>
      <c r="K34" s="19">
        <v>67</v>
      </c>
      <c r="L34" s="19">
        <v>78</v>
      </c>
      <c r="M34" s="19">
        <v>87</v>
      </c>
      <c r="N34" s="19">
        <v>104</v>
      </c>
      <c r="O34" s="19">
        <v>123</v>
      </c>
      <c r="P34" s="13">
        <v>0.38</v>
      </c>
      <c r="Q34" s="13">
        <v>0.8</v>
      </c>
      <c r="R34" s="13">
        <v>0.23</v>
      </c>
      <c r="S34" s="19">
        <v>295</v>
      </c>
      <c r="T34" s="19"/>
      <c r="U34" s="13">
        <v>0.06</v>
      </c>
      <c r="V34" s="19"/>
      <c r="W34" s="18"/>
      <c r="Y34" s="18"/>
      <c r="Z34" s="34">
        <v>42476</v>
      </c>
      <c r="AA34" s="18" t="s">
        <v>84</v>
      </c>
      <c r="AB34" s="34"/>
    </row>
    <row r="35" spans="2:28" x14ac:dyDescent="0.2">
      <c r="B35" t="s">
        <v>381</v>
      </c>
      <c r="C35" t="s">
        <v>382</v>
      </c>
      <c r="D35" s="6">
        <v>40.07</v>
      </c>
    </row>
    <row r="36" spans="2:28" x14ac:dyDescent="0.2">
      <c r="B36" t="s">
        <v>231</v>
      </c>
      <c r="C36" t="s">
        <v>259</v>
      </c>
      <c r="D36" s="8">
        <v>83600</v>
      </c>
    </row>
    <row r="37" spans="2:28" x14ac:dyDescent="0.2">
      <c r="B37" t="s">
        <v>234</v>
      </c>
      <c r="C37" t="s">
        <v>260</v>
      </c>
      <c r="D37" s="6">
        <v>39.17</v>
      </c>
      <c r="E37" s="8">
        <f>+D37*(135.023+7.092)</f>
        <v>5566.6445500000009</v>
      </c>
    </row>
    <row r="38" spans="2:28" x14ac:dyDescent="0.2">
      <c r="B38" t="s">
        <v>235</v>
      </c>
      <c r="C38" t="s">
        <v>261</v>
      </c>
      <c r="D38" s="6">
        <v>401</v>
      </c>
    </row>
    <row r="39" spans="2:28" x14ac:dyDescent="0.2">
      <c r="B39" t="s">
        <v>389</v>
      </c>
      <c r="C39" t="s">
        <v>388</v>
      </c>
      <c r="D39" s="6">
        <v>39.380000000000003</v>
      </c>
    </row>
    <row r="40" spans="2:28" x14ac:dyDescent="0.2">
      <c r="B40" t="s">
        <v>238</v>
      </c>
      <c r="C40" t="s">
        <v>262</v>
      </c>
      <c r="D40" s="6">
        <v>4093</v>
      </c>
    </row>
    <row r="41" spans="2:28" x14ac:dyDescent="0.2">
      <c r="B41" t="s">
        <v>272</v>
      </c>
      <c r="C41" t="s">
        <v>271</v>
      </c>
      <c r="D41" s="5">
        <v>44</v>
      </c>
    </row>
    <row r="42" spans="2:28" x14ac:dyDescent="0.2">
      <c r="B42" s="3" t="s">
        <v>279</v>
      </c>
      <c r="C42" t="s">
        <v>280</v>
      </c>
      <c r="D42" s="6">
        <v>8.31</v>
      </c>
      <c r="E42" s="8">
        <f>+D42*[30]Main!$P$3</f>
        <v>808.82892000000004</v>
      </c>
      <c r="F42" s="8">
        <f>+[30]Main!$P$5-[30]Main!$P$6</f>
        <v>-61.345999999999975</v>
      </c>
      <c r="G42" s="8">
        <f>+E42-F42</f>
        <v>870.17492000000004</v>
      </c>
      <c r="H42" s="8" t="s">
        <v>333</v>
      </c>
    </row>
    <row r="43" spans="2:28" s="7" customFormat="1" x14ac:dyDescent="0.2">
      <c r="B43" s="7" t="s">
        <v>281</v>
      </c>
      <c r="C43" s="7" t="s">
        <v>282</v>
      </c>
      <c r="D43" s="18">
        <v>22.89</v>
      </c>
      <c r="E43" s="19"/>
      <c r="F43" s="19"/>
      <c r="G43" s="19"/>
      <c r="H43" s="19"/>
      <c r="I43" s="18"/>
      <c r="K43" s="19"/>
      <c r="L43" s="19"/>
      <c r="M43" s="19"/>
      <c r="N43" s="19"/>
      <c r="O43" s="19"/>
      <c r="P43" s="18"/>
      <c r="R43" s="18"/>
      <c r="S43" s="19"/>
      <c r="T43" s="19"/>
      <c r="U43" s="19"/>
      <c r="V43" s="19"/>
      <c r="W43" s="18"/>
      <c r="Y43" s="18"/>
      <c r="Z43" s="18"/>
      <c r="AA43" s="18"/>
    </row>
    <row r="44" spans="2:28" x14ac:dyDescent="0.2">
      <c r="B44" t="s">
        <v>283</v>
      </c>
      <c r="C44" t="s">
        <v>284</v>
      </c>
      <c r="D44" s="6">
        <v>16.239999999999998</v>
      </c>
    </row>
    <row r="45" spans="2:28" x14ac:dyDescent="0.2">
      <c r="B45" t="s">
        <v>421</v>
      </c>
      <c r="C45" t="s">
        <v>444</v>
      </c>
      <c r="D45" s="6">
        <v>64.069999999999993</v>
      </c>
    </row>
    <row r="46" spans="2:28" x14ac:dyDescent="0.2">
      <c r="B46" t="s">
        <v>267</v>
      </c>
      <c r="C46" t="s">
        <v>268</v>
      </c>
      <c r="D46" s="6">
        <v>17.59</v>
      </c>
    </row>
    <row r="47" spans="2:28" x14ac:dyDescent="0.2">
      <c r="B47" t="s">
        <v>241</v>
      </c>
      <c r="C47" t="s">
        <v>263</v>
      </c>
      <c r="D47" s="6">
        <v>55.61</v>
      </c>
    </row>
    <row r="48" spans="2:28" x14ac:dyDescent="0.2">
      <c r="B48" t="s">
        <v>398</v>
      </c>
      <c r="C48" t="s">
        <v>399</v>
      </c>
      <c r="D48" s="5">
        <v>14.51</v>
      </c>
    </row>
    <row r="49" spans="2:27" x14ac:dyDescent="0.2">
      <c r="B49" t="s">
        <v>242</v>
      </c>
      <c r="C49" t="s">
        <v>264</v>
      </c>
      <c r="D49" s="5">
        <v>187.09</v>
      </c>
    </row>
    <row r="50" spans="2:27" x14ac:dyDescent="0.2">
      <c r="B50" s="3" t="s">
        <v>68</v>
      </c>
      <c r="C50" t="s">
        <v>101</v>
      </c>
      <c r="D50" s="5">
        <v>26.95</v>
      </c>
      <c r="E50" s="8">
        <f>+D50*45.582</f>
        <v>1228.4349</v>
      </c>
      <c r="F50" s="8">
        <f>128-7</f>
        <v>121</v>
      </c>
      <c r="G50" s="8">
        <f>+E50-F50</f>
        <v>1107.4349</v>
      </c>
      <c r="I50" s="9">
        <f>$G50/K50</f>
        <v>55.371744999999997</v>
      </c>
      <c r="J50" s="9">
        <f>$G50/L50</f>
        <v>44.297395999999999</v>
      </c>
      <c r="K50" s="8">
        <v>20</v>
      </c>
      <c r="L50" s="8">
        <v>25</v>
      </c>
      <c r="P50" s="11"/>
      <c r="AA50" s="6" t="s">
        <v>73</v>
      </c>
    </row>
    <row r="51" spans="2:27" s="7" customFormat="1" x14ac:dyDescent="0.2">
      <c r="B51" s="3" t="s">
        <v>285</v>
      </c>
      <c r="C51" s="7" t="s">
        <v>286</v>
      </c>
      <c r="D51" s="32">
        <v>10.25</v>
      </c>
      <c r="E51" s="19">
        <f>+D51*67</f>
        <v>686.75</v>
      </c>
      <c r="F51" s="19">
        <f>+[31]Main!$L$5-[31]Main!$L$6</f>
        <v>1.2779999999999916</v>
      </c>
      <c r="G51" s="19">
        <f>+E51-F51</f>
        <v>685.47199999999998</v>
      </c>
      <c r="H51" s="19" t="s">
        <v>332</v>
      </c>
      <c r="I51" s="18" t="s">
        <v>252</v>
      </c>
      <c r="J51" s="18" t="s">
        <v>252</v>
      </c>
      <c r="K51" s="19">
        <v>4</v>
      </c>
      <c r="L51" s="19">
        <v>-2</v>
      </c>
      <c r="M51" s="19">
        <v>-2</v>
      </c>
      <c r="N51" s="19">
        <v>0</v>
      </c>
      <c r="O51" s="19">
        <v>2</v>
      </c>
      <c r="P51" s="13">
        <v>-0.04</v>
      </c>
      <c r="Q51" s="13">
        <v>0.8</v>
      </c>
      <c r="R51" s="13">
        <v>0</v>
      </c>
      <c r="S51" s="19">
        <v>330</v>
      </c>
      <c r="T51" s="19"/>
      <c r="U51" s="13">
        <v>0.06</v>
      </c>
      <c r="V51" s="19"/>
      <c r="W51" s="18"/>
      <c r="Y51" s="18"/>
      <c r="Z51" s="18"/>
      <c r="AA51" s="18"/>
    </row>
    <row r="53" spans="2:27" x14ac:dyDescent="0.2">
      <c r="B53" s="2" t="s">
        <v>74</v>
      </c>
    </row>
    <row r="54" spans="2:27" x14ac:dyDescent="0.2">
      <c r="B54" s="3" t="s">
        <v>8</v>
      </c>
      <c r="C54" s="7" t="s">
        <v>64</v>
      </c>
      <c r="D54" s="5">
        <v>39.229999999999997</v>
      </c>
      <c r="E54" s="8">
        <v>159000</v>
      </c>
      <c r="F54" s="8">
        <f>+[32]Main!$K$5-[32]Main!$K$6</f>
        <v>10395</v>
      </c>
      <c r="G54" s="8">
        <f>+E54-F54</f>
        <v>148605</v>
      </c>
      <c r="H54" s="8" t="s">
        <v>333</v>
      </c>
      <c r="I54" s="14">
        <f>$G54/K54</f>
        <v>13.509545454545455</v>
      </c>
      <c r="J54" s="14">
        <f>$G54/L54</f>
        <v>13.646005509641872</v>
      </c>
      <c r="K54" s="8">
        <v>11000</v>
      </c>
      <c r="L54" s="8">
        <f>+K54*0.99</f>
        <v>10890</v>
      </c>
      <c r="M54" s="8">
        <f t="shared" ref="M54:O54" si="23">+L54*0.99</f>
        <v>10781.1</v>
      </c>
      <c r="N54" s="8">
        <f t="shared" si="23"/>
        <v>10673.289000000001</v>
      </c>
      <c r="O54" s="8">
        <f t="shared" si="23"/>
        <v>10566.556110000001</v>
      </c>
      <c r="P54" s="11">
        <v>-0.06</v>
      </c>
      <c r="R54" s="11">
        <v>0.39</v>
      </c>
      <c r="S54" s="8">
        <f>9000*4</f>
        <v>36000</v>
      </c>
      <c r="AA54" s="6" t="s">
        <v>74</v>
      </c>
    </row>
    <row r="55" spans="2:27" x14ac:dyDescent="0.2">
      <c r="B55" s="1" t="s">
        <v>13</v>
      </c>
      <c r="C55" t="s">
        <v>162</v>
      </c>
      <c r="D55" s="6">
        <v>91.54</v>
      </c>
      <c r="E55" s="8">
        <v>94000</v>
      </c>
      <c r="AA55" s="6" t="s">
        <v>74</v>
      </c>
    </row>
    <row r="56" spans="2:27" x14ac:dyDescent="0.2">
      <c r="B56" s="3" t="s">
        <v>33</v>
      </c>
      <c r="C56" t="s">
        <v>167</v>
      </c>
      <c r="D56" s="5">
        <v>107.47</v>
      </c>
      <c r="E56" s="8">
        <f>+D56*501</f>
        <v>53842.47</v>
      </c>
      <c r="F56" s="8">
        <f>[33]Main!$M$5-[33]Main!$M$6</f>
        <v>2400.0190000000002</v>
      </c>
      <c r="G56" s="8">
        <f>E56-F56</f>
        <v>51442.451000000001</v>
      </c>
      <c r="H56" s="8" t="s">
        <v>439</v>
      </c>
      <c r="S56" s="8">
        <v>5879</v>
      </c>
      <c r="T56" s="32">
        <f>E56/S56</f>
        <v>9.1584402109202241</v>
      </c>
      <c r="AA56" s="6" t="s">
        <v>87</v>
      </c>
    </row>
    <row r="57" spans="2:27" x14ac:dyDescent="0.2">
      <c r="B57" s="3" t="s">
        <v>29</v>
      </c>
      <c r="C57" t="s">
        <v>166</v>
      </c>
      <c r="D57" s="5">
        <v>70.39</v>
      </c>
      <c r="E57" s="8">
        <f>+D57*671</f>
        <v>47231.69</v>
      </c>
      <c r="F57" s="8">
        <f>+[34]Main!$M$5-[34]Main!$M$6</f>
        <v>471.27500000000009</v>
      </c>
      <c r="G57" s="8">
        <f>+E57-F57</f>
        <v>46760.415000000001</v>
      </c>
      <c r="H57" s="8" t="s">
        <v>439</v>
      </c>
      <c r="AA57" s="6" t="s">
        <v>73</v>
      </c>
    </row>
    <row r="58" spans="2:27" s="7" customFormat="1" x14ac:dyDescent="0.2">
      <c r="B58" s="3" t="s">
        <v>90</v>
      </c>
      <c r="C58" s="7" t="s">
        <v>102</v>
      </c>
      <c r="D58" s="32">
        <v>109.9</v>
      </c>
      <c r="E58" s="19">
        <f>+D58*256</f>
        <v>28134.400000000001</v>
      </c>
      <c r="F58" s="19">
        <f>+[35]Main!$M$5-[35]Main!$M$6</f>
        <v>108</v>
      </c>
      <c r="G58" s="19">
        <f>+E58-F58</f>
        <v>28026.400000000001</v>
      </c>
      <c r="H58" s="19" t="s">
        <v>439</v>
      </c>
      <c r="I58" s="18"/>
      <c r="K58" s="19"/>
      <c r="L58" s="19"/>
      <c r="M58" s="19"/>
      <c r="N58" s="19"/>
      <c r="O58" s="19"/>
      <c r="P58" s="18"/>
      <c r="R58" s="18"/>
      <c r="S58" s="19">
        <v>4694</v>
      </c>
      <c r="T58" s="32">
        <f>E58/S58</f>
        <v>5.9936940775458032</v>
      </c>
      <c r="U58" s="19"/>
      <c r="V58" s="19"/>
      <c r="W58" s="18"/>
      <c r="Y58" s="18"/>
      <c r="Z58" s="18"/>
      <c r="AA58" s="18" t="s">
        <v>73</v>
      </c>
    </row>
    <row r="59" spans="2:27" x14ac:dyDescent="0.2">
      <c r="B59" t="s">
        <v>118</v>
      </c>
      <c r="C59" t="s">
        <v>119</v>
      </c>
      <c r="D59" s="6">
        <v>78.02</v>
      </c>
      <c r="E59" s="8">
        <f>+D59*256.9*1.1</f>
        <v>22047.671799999996</v>
      </c>
      <c r="AA59" s="6" t="s">
        <v>87</v>
      </c>
    </row>
    <row r="60" spans="2:27" x14ac:dyDescent="0.2">
      <c r="B60" t="s">
        <v>103</v>
      </c>
      <c r="C60" t="s">
        <v>104</v>
      </c>
      <c r="D60" s="6">
        <v>73.38</v>
      </c>
      <c r="E60" s="8">
        <f>423*D60</f>
        <v>31039.739999999998</v>
      </c>
      <c r="AA60" s="6" t="s">
        <v>87</v>
      </c>
    </row>
    <row r="61" spans="2:27" x14ac:dyDescent="0.2">
      <c r="B61" s="3" t="s">
        <v>140</v>
      </c>
      <c r="C61" t="s">
        <v>182</v>
      </c>
      <c r="D61" s="5">
        <v>75.7</v>
      </c>
      <c r="E61" s="8">
        <f>+D61*181</f>
        <v>13701.7</v>
      </c>
      <c r="F61" s="8">
        <f>+[36]Main!$M$5-[36]Main!$M$6</f>
        <v>3708</v>
      </c>
      <c r="G61" s="8">
        <f>E61-F61</f>
        <v>9993.7000000000007</v>
      </c>
      <c r="H61" s="8" t="s">
        <v>439</v>
      </c>
      <c r="AA61" s="6" t="s">
        <v>87</v>
      </c>
    </row>
    <row r="62" spans="2:27" x14ac:dyDescent="0.2">
      <c r="B62" t="s">
        <v>127</v>
      </c>
      <c r="C62" t="s">
        <v>180</v>
      </c>
      <c r="D62" s="6">
        <v>62.75</v>
      </c>
      <c r="E62" s="8">
        <f>+D62*340</f>
        <v>21335</v>
      </c>
      <c r="AA62" s="6" t="s">
        <v>87</v>
      </c>
    </row>
    <row r="63" spans="2:27" x14ac:dyDescent="0.2">
      <c r="B63" t="s">
        <v>423</v>
      </c>
      <c r="C63" t="s">
        <v>424</v>
      </c>
      <c r="D63" s="6">
        <v>89.51</v>
      </c>
    </row>
    <row r="64" spans="2:27" x14ac:dyDescent="0.2">
      <c r="B64" t="s">
        <v>287</v>
      </c>
      <c r="C64" t="s">
        <v>288</v>
      </c>
      <c r="D64" s="6">
        <v>10.130000000000001</v>
      </c>
    </row>
    <row r="65" spans="2:28" x14ac:dyDescent="0.2">
      <c r="B65" t="s">
        <v>426</v>
      </c>
      <c r="C65" t="s">
        <v>427</v>
      </c>
      <c r="D65" s="6">
        <v>84.91</v>
      </c>
    </row>
    <row r="66" spans="2:28" x14ac:dyDescent="0.2">
      <c r="B66" t="s">
        <v>437</v>
      </c>
      <c r="C66" t="s">
        <v>438</v>
      </c>
      <c r="D66" s="6">
        <v>77.45</v>
      </c>
    </row>
    <row r="67" spans="2:28" x14ac:dyDescent="0.2">
      <c r="B67" t="s">
        <v>434</v>
      </c>
      <c r="C67" t="s">
        <v>435</v>
      </c>
      <c r="D67" s="6">
        <v>58.15</v>
      </c>
    </row>
    <row r="68" spans="2:28" x14ac:dyDescent="0.2">
      <c r="B68" t="s">
        <v>428</v>
      </c>
      <c r="C68" t="s">
        <v>429</v>
      </c>
      <c r="D68" s="6">
        <v>71.67</v>
      </c>
    </row>
    <row r="69" spans="2:28" x14ac:dyDescent="0.2">
      <c r="B69" t="s">
        <v>432</v>
      </c>
      <c r="C69" t="s">
        <v>433</v>
      </c>
      <c r="D69" s="6">
        <v>32.630000000000003</v>
      </c>
    </row>
    <row r="70" spans="2:28" x14ac:dyDescent="0.2">
      <c r="B70" t="s">
        <v>430</v>
      </c>
      <c r="C70" t="s">
        <v>431</v>
      </c>
      <c r="D70" s="6">
        <v>79.13</v>
      </c>
    </row>
    <row r="71" spans="2:28" x14ac:dyDescent="0.2">
      <c r="B71" s="3" t="s">
        <v>275</v>
      </c>
      <c r="C71" t="s">
        <v>276</v>
      </c>
      <c r="D71" s="5">
        <v>25.89</v>
      </c>
      <c r="E71" s="8">
        <f>+D71*78.793</f>
        <v>2039.9507700000001</v>
      </c>
      <c r="F71" s="8">
        <f>+[37]Main!$L$5-[37]Main!$L$6</f>
        <v>19</v>
      </c>
      <c r="G71" s="8">
        <f>+E71-F71</f>
        <v>2020.9507700000001</v>
      </c>
      <c r="H71" s="8" t="s">
        <v>332</v>
      </c>
      <c r="I71" s="14">
        <f>$G71/K71</f>
        <v>40.419015400000006</v>
      </c>
      <c r="J71" s="14">
        <f>$G71/L71</f>
        <v>25.261884625</v>
      </c>
      <c r="K71" s="8">
        <v>50</v>
      </c>
      <c r="L71" s="8">
        <v>80</v>
      </c>
      <c r="M71" s="8">
        <v>100</v>
      </c>
      <c r="N71" s="8">
        <v>125</v>
      </c>
      <c r="O71" s="8">
        <v>150</v>
      </c>
      <c r="P71" s="11">
        <v>0.22</v>
      </c>
      <c r="Q71" s="11">
        <v>0.65</v>
      </c>
      <c r="R71" s="11">
        <v>0.1</v>
      </c>
      <c r="S71" s="8">
        <v>500</v>
      </c>
      <c r="U71" s="8">
        <v>7.0000000000000007E-2</v>
      </c>
      <c r="AB71" s="33">
        <v>42483</v>
      </c>
    </row>
    <row r="78" spans="2:28" x14ac:dyDescent="0.2">
      <c r="B78" s="2" t="s">
        <v>377</v>
      </c>
    </row>
    <row r="79" spans="2:28" x14ac:dyDescent="0.2">
      <c r="B79" s="3" t="s">
        <v>4</v>
      </c>
      <c r="C79" s="7" t="s">
        <v>60</v>
      </c>
      <c r="D79" s="6">
        <v>37.93</v>
      </c>
      <c r="E79" s="8">
        <f>+D79*6151</f>
        <v>233307.43</v>
      </c>
      <c r="F79" s="8">
        <v>-119424</v>
      </c>
      <c r="G79" s="8">
        <f>+E79-F79</f>
        <v>352731.43</v>
      </c>
      <c r="H79" s="8" t="s">
        <v>333</v>
      </c>
      <c r="AA79" s="6" t="s">
        <v>78</v>
      </c>
    </row>
    <row r="80" spans="2:28" x14ac:dyDescent="0.2">
      <c r="B80" s="7" t="s">
        <v>5</v>
      </c>
      <c r="C80" s="7" t="s">
        <v>61</v>
      </c>
      <c r="D80" s="6">
        <v>88.95</v>
      </c>
      <c r="E80" s="8">
        <v>226000</v>
      </c>
      <c r="AA80" s="6" t="s">
        <v>78</v>
      </c>
    </row>
    <row r="81" spans="2:27" x14ac:dyDescent="0.2">
      <c r="B81" s="3" t="s">
        <v>6</v>
      </c>
      <c r="C81" s="7" t="s">
        <v>62</v>
      </c>
      <c r="D81" s="6">
        <v>51.32</v>
      </c>
      <c r="E81" s="8">
        <v>211000</v>
      </c>
      <c r="F81" s="8">
        <f>+[38]Main!$N$5-[38]Main!$N$6</f>
        <v>-103213</v>
      </c>
      <c r="G81" s="8">
        <f>+E81-F81</f>
        <v>314213</v>
      </c>
      <c r="H81" s="8" t="s">
        <v>332</v>
      </c>
      <c r="AA81" s="6" t="s">
        <v>78</v>
      </c>
    </row>
    <row r="82" spans="2:27" x14ac:dyDescent="0.2">
      <c r="B82" s="3" t="s">
        <v>11</v>
      </c>
      <c r="C82" t="s">
        <v>52</v>
      </c>
      <c r="D82" s="5">
        <v>137.80000000000001</v>
      </c>
      <c r="E82" s="8">
        <f>+D82*970</f>
        <v>133666</v>
      </c>
      <c r="F82" s="8">
        <v>-31695</v>
      </c>
      <c r="G82" s="8">
        <f>+E82-F82</f>
        <v>165361</v>
      </c>
      <c r="H82" s="8" t="s">
        <v>341</v>
      </c>
      <c r="I82" s="14">
        <f t="shared" ref="I82:J83" si="24">$G82/K82</f>
        <v>12.94917776037588</v>
      </c>
      <c r="J82" s="9">
        <f t="shared" si="24"/>
        <v>12.720076923076924</v>
      </c>
      <c r="K82" s="8">
        <v>12770</v>
      </c>
      <c r="L82" s="8">
        <v>13000</v>
      </c>
      <c r="M82" s="8">
        <f>+L82*0.99</f>
        <v>12870</v>
      </c>
      <c r="N82" s="8">
        <f>+M82*0.99</f>
        <v>12741.3</v>
      </c>
      <c r="O82" s="8">
        <f>+N82*0.99</f>
        <v>12613.886999999999</v>
      </c>
      <c r="P82" s="13">
        <v>-0.01</v>
      </c>
      <c r="Q82" s="11">
        <v>0.5</v>
      </c>
      <c r="AA82" s="6" t="s">
        <v>76</v>
      </c>
    </row>
    <row r="83" spans="2:27" x14ac:dyDescent="0.2">
      <c r="B83" s="3" t="s">
        <v>10</v>
      </c>
      <c r="C83" s="7" t="s">
        <v>66</v>
      </c>
      <c r="D83" s="6">
        <v>27.86</v>
      </c>
      <c r="E83" s="8">
        <f>+D83*5032</f>
        <v>140191.51999999999</v>
      </c>
      <c r="F83" s="8">
        <f>+[39]Main!$L$5-[39]Main!$L$6</f>
        <v>35776</v>
      </c>
      <c r="G83" s="8">
        <f>+E83-F83</f>
        <v>104415.51999999999</v>
      </c>
      <c r="H83" s="8" t="s">
        <v>333</v>
      </c>
      <c r="I83" s="14">
        <f t="shared" si="24"/>
        <v>9.4923199999999994</v>
      </c>
      <c r="J83" s="14">
        <f t="shared" si="24"/>
        <v>9.4923199999999994</v>
      </c>
      <c r="K83" s="8">
        <v>11000</v>
      </c>
      <c r="L83" s="8">
        <v>11000</v>
      </c>
      <c r="M83" s="8">
        <v>11000</v>
      </c>
      <c r="N83" s="8">
        <v>11000</v>
      </c>
      <c r="O83" s="8">
        <v>11000</v>
      </c>
      <c r="P83" s="11">
        <v>0.01</v>
      </c>
      <c r="Q83" s="11">
        <v>0.62</v>
      </c>
      <c r="R83" s="11">
        <v>0.28999999999999998</v>
      </c>
      <c r="S83" s="8">
        <v>50000</v>
      </c>
      <c r="AA83" s="6" t="s">
        <v>81</v>
      </c>
    </row>
    <row r="84" spans="2:27" x14ac:dyDescent="0.2">
      <c r="B84" s="1" t="s">
        <v>19</v>
      </c>
      <c r="C84" s="1" t="s">
        <v>67</v>
      </c>
      <c r="D84" s="6">
        <v>2365</v>
      </c>
      <c r="E84" s="8">
        <f>+D84*29.4029850746269</f>
        <v>69538.059701492617</v>
      </c>
      <c r="AA84" s="12" t="s">
        <v>76</v>
      </c>
    </row>
    <row r="85" spans="2:27" x14ac:dyDescent="0.2">
      <c r="B85" t="s">
        <v>27</v>
      </c>
      <c r="C85" t="s">
        <v>161</v>
      </c>
      <c r="D85" s="6">
        <v>26.24</v>
      </c>
      <c r="E85" s="8">
        <f>+D85*1947</f>
        <v>51089.279999999999</v>
      </c>
      <c r="AA85" s="6" t="s">
        <v>88</v>
      </c>
    </row>
    <row r="86" spans="2:27" x14ac:dyDescent="0.2">
      <c r="B86" t="s">
        <v>37</v>
      </c>
      <c r="C86" t="s">
        <v>170</v>
      </c>
      <c r="D86" s="6">
        <v>17.96</v>
      </c>
      <c r="E86" s="8">
        <f>+D86*2304</f>
        <v>41379.840000000004</v>
      </c>
      <c r="AA86" s="6" t="s">
        <v>76</v>
      </c>
    </row>
    <row r="87" spans="2:27" x14ac:dyDescent="0.2">
      <c r="B87" t="s">
        <v>41</v>
      </c>
      <c r="C87" t="s">
        <v>172</v>
      </c>
      <c r="D87" s="6">
        <v>6.01</v>
      </c>
      <c r="E87" s="8">
        <f>+D87*5769</f>
        <v>34671.69</v>
      </c>
      <c r="AA87" s="6" t="s">
        <v>81</v>
      </c>
    </row>
    <row r="88" spans="2:27" x14ac:dyDescent="0.2">
      <c r="B88" t="s">
        <v>111</v>
      </c>
      <c r="C88" t="s">
        <v>112</v>
      </c>
      <c r="D88" s="6">
        <v>539</v>
      </c>
      <c r="E88" s="8">
        <f>+D88*36.865671641791</f>
        <v>19870.597014925352</v>
      </c>
      <c r="AA88" s="6" t="s">
        <v>75</v>
      </c>
    </row>
    <row r="89" spans="2:27" x14ac:dyDescent="0.2">
      <c r="B89" t="s">
        <v>98</v>
      </c>
      <c r="C89" t="s">
        <v>99</v>
      </c>
      <c r="D89" s="6">
        <v>19.45</v>
      </c>
      <c r="E89" s="8">
        <f>+D89*1112</f>
        <v>21628.399999999998</v>
      </c>
      <c r="AA89" s="6" t="s">
        <v>88</v>
      </c>
    </row>
    <row r="90" spans="2:27" x14ac:dyDescent="0.2">
      <c r="B90" t="s">
        <v>141</v>
      </c>
      <c r="C90" t="s">
        <v>183</v>
      </c>
      <c r="D90" s="5">
        <v>76.7</v>
      </c>
      <c r="E90" s="8">
        <f>+D90*201</f>
        <v>15416.7</v>
      </c>
      <c r="AA90" s="6" t="s">
        <v>88</v>
      </c>
    </row>
    <row r="91" spans="2:27" x14ac:dyDescent="0.2">
      <c r="B91" t="s">
        <v>116</v>
      </c>
      <c r="C91" t="s">
        <v>117</v>
      </c>
      <c r="D91" s="6">
        <v>16.329999999999998</v>
      </c>
      <c r="E91" s="8">
        <f>+D91*1716</f>
        <v>28022.28</v>
      </c>
      <c r="AA91" s="6" t="s">
        <v>87</v>
      </c>
    </row>
    <row r="92" spans="2:27" x14ac:dyDescent="0.2">
      <c r="B92" t="s">
        <v>45</v>
      </c>
      <c r="C92" t="s">
        <v>169</v>
      </c>
      <c r="D92" s="6">
        <v>9.4499999999999993</v>
      </c>
      <c r="E92" s="8">
        <f>+D92*3043</f>
        <v>28756.35</v>
      </c>
      <c r="AA92" s="6" t="s">
        <v>81</v>
      </c>
    </row>
    <row r="93" spans="2:27" x14ac:dyDescent="0.2">
      <c r="B93" t="s">
        <v>42</v>
      </c>
      <c r="C93" t="s">
        <v>173</v>
      </c>
      <c r="D93" s="6">
        <v>56.97</v>
      </c>
      <c r="E93" s="8">
        <f>+D93*609</f>
        <v>34694.729999999996</v>
      </c>
      <c r="AA93" s="6" t="s">
        <v>76</v>
      </c>
    </row>
    <row r="94" spans="2:27" x14ac:dyDescent="0.2">
      <c r="B94" t="s">
        <v>126</v>
      </c>
      <c r="C94" t="s">
        <v>179</v>
      </c>
      <c r="D94" s="5">
        <v>823</v>
      </c>
      <c r="E94" s="8">
        <f>+D94*20.7352941176471</f>
        <v>17065.147058823564</v>
      </c>
      <c r="AA94" s="6" t="s">
        <v>76</v>
      </c>
    </row>
    <row r="95" spans="2:27" x14ac:dyDescent="0.2">
      <c r="B95" t="s">
        <v>144</v>
      </c>
      <c r="C95" t="s">
        <v>184</v>
      </c>
      <c r="D95" s="6">
        <v>78.209999999999994</v>
      </c>
      <c r="E95" s="8">
        <f>+D95*172*1.1</f>
        <v>14797.332</v>
      </c>
      <c r="AA95" s="6" t="s">
        <v>76</v>
      </c>
    </row>
    <row r="96" spans="2:27" x14ac:dyDescent="0.2">
      <c r="B96" t="s">
        <v>14</v>
      </c>
      <c r="AA96" s="6" t="s">
        <v>78</v>
      </c>
    </row>
    <row r="97" spans="2:27" x14ac:dyDescent="0.2">
      <c r="B97" t="s">
        <v>15</v>
      </c>
      <c r="AA97" s="6" t="s">
        <v>78</v>
      </c>
    </row>
    <row r="98" spans="2:27" x14ac:dyDescent="0.2">
      <c r="B98" t="s">
        <v>20</v>
      </c>
    </row>
    <row r="99" spans="2:27" x14ac:dyDescent="0.2">
      <c r="B99" t="s">
        <v>16</v>
      </c>
      <c r="AA99" s="6" t="s">
        <v>78</v>
      </c>
    </row>
    <row r="100" spans="2:27" x14ac:dyDescent="0.2">
      <c r="B100" t="s">
        <v>18</v>
      </c>
      <c r="AA100" s="6" t="s">
        <v>78</v>
      </c>
    </row>
    <row r="101" spans="2:27" x14ac:dyDescent="0.2">
      <c r="B101" t="s">
        <v>34</v>
      </c>
      <c r="AA101" s="6" t="s">
        <v>78</v>
      </c>
    </row>
    <row r="102" spans="2:27" x14ac:dyDescent="0.2">
      <c r="B102" t="s">
        <v>21</v>
      </c>
      <c r="AA102" s="6" t="s">
        <v>78</v>
      </c>
    </row>
    <row r="103" spans="2:27" x14ac:dyDescent="0.2">
      <c r="B103" t="s">
        <v>26</v>
      </c>
    </row>
    <row r="104" spans="2:27" x14ac:dyDescent="0.2">
      <c r="B104" t="s">
        <v>28</v>
      </c>
    </row>
    <row r="105" spans="2:27" x14ac:dyDescent="0.2">
      <c r="B105" t="s">
        <v>30</v>
      </c>
    </row>
    <row r="106" spans="2:27" x14ac:dyDescent="0.2">
      <c r="B106" t="s">
        <v>31</v>
      </c>
    </row>
    <row r="107" spans="2:27" x14ac:dyDescent="0.2">
      <c r="B107" t="s">
        <v>36</v>
      </c>
    </row>
    <row r="108" spans="2:27" x14ac:dyDescent="0.2">
      <c r="B108" t="s">
        <v>135</v>
      </c>
    </row>
    <row r="109" spans="2:27" x14ac:dyDescent="0.2">
      <c r="B109" t="s">
        <v>39</v>
      </c>
    </row>
    <row r="110" spans="2:27" x14ac:dyDescent="0.2">
      <c r="B110" t="s">
        <v>40</v>
      </c>
    </row>
    <row r="111" spans="2:27" x14ac:dyDescent="0.2">
      <c r="B111" t="s">
        <v>136</v>
      </c>
    </row>
    <row r="112" spans="2:27" x14ac:dyDescent="0.2">
      <c r="B112" t="s">
        <v>32</v>
      </c>
    </row>
    <row r="113" spans="2:5" x14ac:dyDescent="0.2">
      <c r="B113" t="s">
        <v>44</v>
      </c>
    </row>
    <row r="114" spans="2:5" x14ac:dyDescent="0.2">
      <c r="B114" t="s">
        <v>48</v>
      </c>
      <c r="E114" s="8">
        <v>26000</v>
      </c>
    </row>
    <row r="115" spans="2:5" x14ac:dyDescent="0.2">
      <c r="B115" t="s">
        <v>46</v>
      </c>
    </row>
    <row r="116" spans="2:5" x14ac:dyDescent="0.2">
      <c r="B116" t="s">
        <v>89</v>
      </c>
    </row>
    <row r="117" spans="2:5" x14ac:dyDescent="0.2">
      <c r="B117" t="s">
        <v>91</v>
      </c>
    </row>
    <row r="118" spans="2:5" x14ac:dyDescent="0.2">
      <c r="B118" t="s">
        <v>92</v>
      </c>
    </row>
    <row r="119" spans="2:5" x14ac:dyDescent="0.2">
      <c r="B119" t="s">
        <v>93</v>
      </c>
    </row>
    <row r="120" spans="2:5" x14ac:dyDescent="0.2">
      <c r="B120" t="s">
        <v>105</v>
      </c>
    </row>
    <row r="121" spans="2:5" x14ac:dyDescent="0.2">
      <c r="B121" t="s">
        <v>143</v>
      </c>
    </row>
    <row r="122" spans="2:5" x14ac:dyDescent="0.2">
      <c r="B122" t="s">
        <v>106</v>
      </c>
    </row>
    <row r="123" spans="2:5" x14ac:dyDescent="0.2">
      <c r="B123" t="s">
        <v>113</v>
      </c>
    </row>
    <row r="124" spans="2:5" x14ac:dyDescent="0.2">
      <c r="B124" t="s">
        <v>122</v>
      </c>
    </row>
    <row r="125" spans="2:5" x14ac:dyDescent="0.2">
      <c r="B125" t="s">
        <v>125</v>
      </c>
    </row>
    <row r="126" spans="2:5" x14ac:dyDescent="0.2">
      <c r="B126" t="s">
        <v>130</v>
      </c>
    </row>
    <row r="127" spans="2:5" x14ac:dyDescent="0.2">
      <c r="B127" t="s">
        <v>131</v>
      </c>
    </row>
    <row r="128" spans="2:5" x14ac:dyDescent="0.2">
      <c r="B128" t="s">
        <v>138</v>
      </c>
    </row>
    <row r="129" spans="2:27" x14ac:dyDescent="0.2">
      <c r="B129" t="s">
        <v>139</v>
      </c>
    </row>
    <row r="130" spans="2:27" x14ac:dyDescent="0.2">
      <c r="B130" t="s">
        <v>134</v>
      </c>
    </row>
    <row r="131" spans="2:27" x14ac:dyDescent="0.2">
      <c r="B131" t="s">
        <v>142</v>
      </c>
    </row>
    <row r="132" spans="2:27" x14ac:dyDescent="0.2">
      <c r="B132" t="s">
        <v>145</v>
      </c>
      <c r="E132" s="8">
        <v>14600</v>
      </c>
    </row>
    <row r="133" spans="2:27" x14ac:dyDescent="0.2">
      <c r="B133" t="s">
        <v>237</v>
      </c>
    </row>
    <row r="134" spans="2:27" x14ac:dyDescent="0.2">
      <c r="B134" t="s">
        <v>215</v>
      </c>
      <c r="C134" t="s">
        <v>253</v>
      </c>
    </row>
    <row r="135" spans="2:27" x14ac:dyDescent="0.2">
      <c r="B135" t="s">
        <v>223</v>
      </c>
      <c r="C135" t="s">
        <v>257</v>
      </c>
      <c r="D135" s="8">
        <v>2849</v>
      </c>
      <c r="E135" s="8">
        <f>+(D135*324)/113</f>
        <v>8168.8141592920356</v>
      </c>
      <c r="AA135" s="6" t="s">
        <v>327</v>
      </c>
    </row>
    <row r="137" spans="2:27" x14ac:dyDescent="0.2">
      <c r="B137" s="2" t="s">
        <v>245</v>
      </c>
    </row>
    <row r="138" spans="2:27" x14ac:dyDescent="0.2">
      <c r="B138" s="3" t="s">
        <v>1</v>
      </c>
      <c r="C138" t="s">
        <v>50</v>
      </c>
      <c r="D138" s="5">
        <v>95.9</v>
      </c>
      <c r="E138" s="8">
        <f>+D138*5545</f>
        <v>531765.5</v>
      </c>
      <c r="F138" s="8">
        <f>+[40]Main!$K$5-[40]Main!$K$6</f>
        <v>153056</v>
      </c>
      <c r="G138" s="8">
        <f t="shared" ref="G138:G143" si="25">+E138-F138</f>
        <v>378709.5</v>
      </c>
      <c r="H138" s="8" t="s">
        <v>332</v>
      </c>
      <c r="I138" s="14">
        <f t="shared" ref="I138:J140" si="26">$G138/K138</f>
        <v>7.5741899999999998</v>
      </c>
      <c r="J138" s="9">
        <f t="shared" si="26"/>
        <v>7.1454622641509431</v>
      </c>
      <c r="K138" s="8">
        <v>50000</v>
      </c>
      <c r="L138" s="8">
        <v>53000</v>
      </c>
      <c r="M138" s="8">
        <f>+L138*0.9</f>
        <v>47700</v>
      </c>
      <c r="N138" s="8">
        <f>+M138*0.9</f>
        <v>42930</v>
      </c>
      <c r="O138" s="8">
        <f t="shared" ref="O138" si="27">+N138*0.9</f>
        <v>38637</v>
      </c>
      <c r="P138" s="13">
        <v>-0.02</v>
      </c>
      <c r="Q138" s="11">
        <v>0.4</v>
      </c>
      <c r="R138" s="11">
        <v>0.3</v>
      </c>
      <c r="S138" s="8">
        <v>228000</v>
      </c>
      <c r="U138" s="11">
        <v>7.0000000000000007E-2</v>
      </c>
      <c r="V138" s="5">
        <v>70</v>
      </c>
      <c r="Z138" s="33">
        <v>42486</v>
      </c>
      <c r="AA138" s="6" t="s">
        <v>77</v>
      </c>
    </row>
    <row r="139" spans="2:27" x14ac:dyDescent="0.2">
      <c r="B139" s="3" t="s">
        <v>9</v>
      </c>
      <c r="C139" s="7" t="s">
        <v>65</v>
      </c>
      <c r="D139" s="6">
        <v>31.64</v>
      </c>
      <c r="E139" s="8">
        <v>144000</v>
      </c>
      <c r="F139" s="8">
        <f>+[41]Main!$L$5-[41]Main!$L$6</f>
        <v>3171</v>
      </c>
      <c r="G139" s="8">
        <f t="shared" si="25"/>
        <v>140829</v>
      </c>
      <c r="H139" s="8" t="s">
        <v>333</v>
      </c>
      <c r="I139" s="14">
        <f t="shared" si="26"/>
        <v>12.802636363636363</v>
      </c>
      <c r="J139" s="14">
        <f t="shared" si="26"/>
        <v>12.931955922865013</v>
      </c>
      <c r="K139" s="8">
        <v>11000</v>
      </c>
      <c r="L139" s="8">
        <f>+K139*0.99</f>
        <v>10890</v>
      </c>
      <c r="M139" s="8">
        <f t="shared" ref="M139:O139" si="28">+L139*0.99</f>
        <v>10781.1</v>
      </c>
      <c r="N139" s="8">
        <f t="shared" si="28"/>
        <v>10673.289000000001</v>
      </c>
      <c r="O139" s="8">
        <f t="shared" si="28"/>
        <v>10566.556110000001</v>
      </c>
      <c r="P139" s="13">
        <v>0.01</v>
      </c>
      <c r="Q139" s="11">
        <v>0.64</v>
      </c>
      <c r="R139" s="11">
        <v>0.28999999999999998</v>
      </c>
      <c r="S139" s="8">
        <v>55000</v>
      </c>
      <c r="AA139" s="6" t="s">
        <v>80</v>
      </c>
    </row>
    <row r="140" spans="2:27" x14ac:dyDescent="0.2">
      <c r="B140" s="3" t="s">
        <v>12</v>
      </c>
      <c r="C140" t="s">
        <v>160</v>
      </c>
      <c r="D140" s="6">
        <v>25.35</v>
      </c>
      <c r="E140" s="8">
        <v>122000</v>
      </c>
      <c r="F140" s="8">
        <f>+[42]Main!$L$10</f>
        <v>10351.53125</v>
      </c>
      <c r="G140" s="8">
        <f t="shared" si="25"/>
        <v>111648.46875</v>
      </c>
      <c r="H140" s="8" t="s">
        <v>333</v>
      </c>
      <c r="I140" s="14">
        <f t="shared" si="26"/>
        <v>11.164846875</v>
      </c>
      <c r="J140" s="14">
        <f t="shared" si="26"/>
        <v>11.164846875</v>
      </c>
      <c r="K140" s="8">
        <v>10000</v>
      </c>
      <c r="L140" s="8">
        <f>+K140</f>
        <v>10000</v>
      </c>
      <c r="M140" s="8">
        <f t="shared" ref="M140:O140" si="29">+L140</f>
        <v>10000</v>
      </c>
      <c r="N140" s="8">
        <f t="shared" si="29"/>
        <v>10000</v>
      </c>
      <c r="O140" s="8">
        <f t="shared" si="29"/>
        <v>10000</v>
      </c>
      <c r="P140" s="11">
        <f>843/762-1</f>
        <v>0.10629921259842523</v>
      </c>
      <c r="Q140" s="11">
        <v>0.5</v>
      </c>
      <c r="R140" s="11">
        <v>0.4</v>
      </c>
      <c r="AA140" s="6" t="s">
        <v>80</v>
      </c>
    </row>
    <row r="141" spans="2:27" x14ac:dyDescent="0.2">
      <c r="B141" s="3" t="s">
        <v>194</v>
      </c>
      <c r="C141" t="s">
        <v>351</v>
      </c>
      <c r="D141" s="8">
        <v>1300000</v>
      </c>
      <c r="E141" s="8">
        <f>D141*[43]Main!$O$3/Portfolio!Q23</f>
        <v>165268.36698606273</v>
      </c>
      <c r="F141" s="8">
        <f>([43]Main!$O$5-[43]Main!$O$6)/Portfolio!$Q$23</f>
        <v>63109.30923344948</v>
      </c>
      <c r="G141" s="8">
        <f t="shared" si="25"/>
        <v>102159.05775261324</v>
      </c>
      <c r="H141" s="8" t="s">
        <v>333</v>
      </c>
      <c r="Z141" s="33">
        <v>42486</v>
      </c>
      <c r="AA141" s="6" t="s">
        <v>77</v>
      </c>
    </row>
    <row r="142" spans="2:27" x14ac:dyDescent="0.2">
      <c r="B142" s="3" t="s">
        <v>17</v>
      </c>
      <c r="C142" t="s">
        <v>146</v>
      </c>
      <c r="D142" s="5">
        <v>52.9</v>
      </c>
      <c r="E142" s="8">
        <f>+D142*1469</f>
        <v>77710.099999999991</v>
      </c>
      <c r="F142" s="8">
        <f>+[44]Main!$P$5-[44]Main!$P$6</f>
        <v>18042</v>
      </c>
      <c r="G142" s="8">
        <f t="shared" si="25"/>
        <v>59668.099999999991</v>
      </c>
      <c r="H142" s="8" t="s">
        <v>332</v>
      </c>
      <c r="Z142" s="33">
        <v>42486</v>
      </c>
      <c r="AA142" s="6" t="s">
        <v>80</v>
      </c>
    </row>
    <row r="143" spans="2:27" x14ac:dyDescent="0.2">
      <c r="B143" s="3" t="s">
        <v>25</v>
      </c>
      <c r="C143" t="s">
        <v>85</v>
      </c>
      <c r="D143" s="6">
        <v>56.06</v>
      </c>
      <c r="E143" s="8">
        <f>+D143*1005</f>
        <v>56340.3</v>
      </c>
      <c r="F143" s="8">
        <f>+[45]Main!$N$5-[45]Main!$N$6</f>
        <v>-681</v>
      </c>
      <c r="G143" s="8">
        <f t="shared" si="25"/>
        <v>57021.3</v>
      </c>
      <c r="H143" s="8" t="s">
        <v>333</v>
      </c>
      <c r="AA143" s="6" t="s">
        <v>86</v>
      </c>
    </row>
    <row r="144" spans="2:27" x14ac:dyDescent="0.2">
      <c r="B144" t="s">
        <v>24</v>
      </c>
      <c r="C144" t="s">
        <v>168</v>
      </c>
      <c r="D144" s="6">
        <v>148.82</v>
      </c>
      <c r="E144" s="8">
        <f>+D144*390.4</f>
        <v>58099.327999999994</v>
      </c>
      <c r="AA144" s="6" t="s">
        <v>86</v>
      </c>
    </row>
    <row r="145" spans="2:27" x14ac:dyDescent="0.2">
      <c r="B145" t="s">
        <v>97</v>
      </c>
      <c r="C145" t="s">
        <v>100</v>
      </c>
      <c r="D145" s="5">
        <v>20</v>
      </c>
      <c r="E145" s="8">
        <f>+D145*1130</f>
        <v>22600</v>
      </c>
      <c r="AA145" s="6" t="s">
        <v>80</v>
      </c>
    </row>
    <row r="146" spans="2:27" x14ac:dyDescent="0.2">
      <c r="B146" t="s">
        <v>35</v>
      </c>
      <c r="C146" t="s">
        <v>163</v>
      </c>
      <c r="D146" s="6">
        <v>97.75</v>
      </c>
      <c r="E146" s="8">
        <f>+D146*433</f>
        <v>42325.75</v>
      </c>
      <c r="AA146" s="6" t="s">
        <v>80</v>
      </c>
    </row>
    <row r="147" spans="2:27" x14ac:dyDescent="0.2">
      <c r="B147" t="s">
        <v>47</v>
      </c>
      <c r="C147" t="s">
        <v>175</v>
      </c>
      <c r="D147" s="5">
        <v>78.099999999999994</v>
      </c>
      <c r="E147" s="8">
        <f>+D147*346</f>
        <v>27022.6</v>
      </c>
      <c r="AA147" s="6" t="s">
        <v>80</v>
      </c>
    </row>
    <row r="148" spans="2:27" x14ac:dyDescent="0.2">
      <c r="B148" t="s">
        <v>107</v>
      </c>
      <c r="C148" t="s">
        <v>108</v>
      </c>
      <c r="D148" s="6">
        <v>983</v>
      </c>
      <c r="E148" s="8">
        <f>+D148*14.08*1.4</f>
        <v>19376.895999999997</v>
      </c>
      <c r="AA148" s="6" t="s">
        <v>80</v>
      </c>
    </row>
    <row r="149" spans="2:27" x14ac:dyDescent="0.2">
      <c r="B149" t="s">
        <v>128</v>
      </c>
      <c r="C149" t="s">
        <v>129</v>
      </c>
      <c r="D149" s="6">
        <v>32.22</v>
      </c>
      <c r="E149" s="8">
        <f>+D149*538</f>
        <v>17334.36</v>
      </c>
      <c r="AA149" s="6" t="s">
        <v>80</v>
      </c>
    </row>
    <row r="150" spans="2:27" x14ac:dyDescent="0.2">
      <c r="B150" t="s">
        <v>132</v>
      </c>
      <c r="C150" t="s">
        <v>133</v>
      </c>
      <c r="D150" s="6">
        <v>55.94</v>
      </c>
      <c r="E150" s="8">
        <f>+D150*310</f>
        <v>17341.399999999998</v>
      </c>
      <c r="AA150" s="6" t="s">
        <v>80</v>
      </c>
    </row>
    <row r="151" spans="2:27" x14ac:dyDescent="0.2">
      <c r="B151" t="s">
        <v>38</v>
      </c>
      <c r="C151" t="s">
        <v>171</v>
      </c>
      <c r="D151" s="6">
        <v>3363</v>
      </c>
      <c r="E151" s="8">
        <f>+D151*11.7964601769912</f>
        <v>39671.495575221408</v>
      </c>
      <c r="AA151" s="6" t="s">
        <v>88</v>
      </c>
    </row>
    <row r="152" spans="2:27" x14ac:dyDescent="0.2">
      <c r="B152" t="s">
        <v>190</v>
      </c>
      <c r="C152" t="s">
        <v>191</v>
      </c>
    </row>
    <row r="153" spans="2:27" x14ac:dyDescent="0.2">
      <c r="B153" t="s">
        <v>109</v>
      </c>
      <c r="C153" t="s">
        <v>110</v>
      </c>
      <c r="D153" s="8">
        <v>4426</v>
      </c>
      <c r="E153" s="8">
        <f>+D153*514.6/113</f>
        <v>20155.925663716815</v>
      </c>
      <c r="AA153" s="6" t="s">
        <v>77</v>
      </c>
    </row>
    <row r="154" spans="2:27" x14ac:dyDescent="0.2">
      <c r="B154" t="s">
        <v>114</v>
      </c>
      <c r="C154" t="s">
        <v>115</v>
      </c>
      <c r="D154" s="8">
        <v>30700</v>
      </c>
      <c r="E154" s="8">
        <f>+D154*0.610226320201174</f>
        <v>18733.948030176041</v>
      </c>
      <c r="AA154" s="6" t="s">
        <v>80</v>
      </c>
    </row>
    <row r="155" spans="2:27" x14ac:dyDescent="0.2">
      <c r="B155" t="s">
        <v>204</v>
      </c>
      <c r="C155" t="s">
        <v>348</v>
      </c>
    </row>
    <row r="156" spans="2:27" x14ac:dyDescent="0.2">
      <c r="B156" t="s">
        <v>205</v>
      </c>
      <c r="C156" t="s">
        <v>347</v>
      </c>
    </row>
    <row r="157" spans="2:27" x14ac:dyDescent="0.2">
      <c r="B157" t="s">
        <v>206</v>
      </c>
      <c r="C157" t="s">
        <v>346</v>
      </c>
    </row>
    <row r="158" spans="2:27" x14ac:dyDescent="0.2">
      <c r="B158" t="s">
        <v>222</v>
      </c>
    </row>
    <row r="159" spans="2:27" x14ac:dyDescent="0.2">
      <c r="B159" t="s">
        <v>209</v>
      </c>
      <c r="C159" t="s">
        <v>349</v>
      </c>
    </row>
    <row r="160" spans="2:27" x14ac:dyDescent="0.2">
      <c r="B160" t="s">
        <v>210</v>
      </c>
    </row>
    <row r="161" spans="2:3" x14ac:dyDescent="0.2">
      <c r="B161" t="s">
        <v>211</v>
      </c>
      <c r="C161" t="s">
        <v>350</v>
      </c>
    </row>
    <row r="162" spans="2:3" x14ac:dyDescent="0.2">
      <c r="B162" t="s">
        <v>227</v>
      </c>
    </row>
    <row r="163" spans="2:3" x14ac:dyDescent="0.2">
      <c r="B163" t="s">
        <v>226</v>
      </c>
    </row>
    <row r="164" spans="2:3" x14ac:dyDescent="0.2">
      <c r="B164" t="s">
        <v>229</v>
      </c>
    </row>
    <row r="165" spans="2:3" x14ac:dyDescent="0.2">
      <c r="B165" t="s">
        <v>236</v>
      </c>
    </row>
    <row r="166" spans="2:3" x14ac:dyDescent="0.2">
      <c r="B166" t="s">
        <v>228</v>
      </c>
    </row>
    <row r="167" spans="2:3" x14ac:dyDescent="0.2">
      <c r="B167" t="s">
        <v>230</v>
      </c>
    </row>
    <row r="168" spans="2:3" x14ac:dyDescent="0.2">
      <c r="B168" t="s">
        <v>201</v>
      </c>
    </row>
    <row r="169" spans="2:3" x14ac:dyDescent="0.2">
      <c r="B169" t="s">
        <v>224</v>
      </c>
    </row>
    <row r="170" spans="2:3" x14ac:dyDescent="0.2">
      <c r="B170" t="s">
        <v>202</v>
      </c>
    </row>
    <row r="171" spans="2:3" x14ac:dyDescent="0.2">
      <c r="B171" t="s">
        <v>213</v>
      </c>
    </row>
    <row r="172" spans="2:3" x14ac:dyDescent="0.2">
      <c r="B172" t="s">
        <v>214</v>
      </c>
    </row>
    <row r="173" spans="2:3" x14ac:dyDescent="0.2">
      <c r="B173" t="s">
        <v>240</v>
      </c>
    </row>
    <row r="174" spans="2:3" x14ac:dyDescent="0.2">
      <c r="B174" t="s">
        <v>239</v>
      </c>
    </row>
    <row r="175" spans="2:3" x14ac:dyDescent="0.2">
      <c r="B175" t="s">
        <v>232</v>
      </c>
    </row>
    <row r="176" spans="2:3" x14ac:dyDescent="0.2">
      <c r="B176" t="s">
        <v>233</v>
      </c>
    </row>
    <row r="177" spans="2:27" x14ac:dyDescent="0.2">
      <c r="B177" t="s">
        <v>243</v>
      </c>
    </row>
    <row r="178" spans="2:27" x14ac:dyDescent="0.2">
      <c r="B178" t="s">
        <v>195</v>
      </c>
    </row>
    <row r="179" spans="2:27" x14ac:dyDescent="0.2">
      <c r="B179" t="s">
        <v>208</v>
      </c>
    </row>
    <row r="180" spans="2:27" x14ac:dyDescent="0.2">
      <c r="B180" t="s">
        <v>196</v>
      </c>
    </row>
    <row r="181" spans="2:27" x14ac:dyDescent="0.2">
      <c r="B181" t="s">
        <v>120</v>
      </c>
      <c r="C181" t="s">
        <v>121</v>
      </c>
      <c r="D181" s="5">
        <v>11.7</v>
      </c>
      <c r="E181" s="8">
        <f>+D181*1726</f>
        <v>20194.199999999997</v>
      </c>
      <c r="AA181" s="6" t="s">
        <v>77</v>
      </c>
    </row>
    <row r="182" spans="2:27" x14ac:dyDescent="0.2">
      <c r="B182" t="s">
        <v>123</v>
      </c>
      <c r="C182" t="s">
        <v>177</v>
      </c>
      <c r="D182" s="6">
        <v>27.48</v>
      </c>
      <c r="E182" s="8">
        <f>+D182*4115/6.7</f>
        <v>16877.641791044774</v>
      </c>
      <c r="AA182" s="6" t="s">
        <v>88</v>
      </c>
    </row>
    <row r="183" spans="2:27" x14ac:dyDescent="0.2">
      <c r="B183" t="s">
        <v>197</v>
      </c>
    </row>
    <row r="184" spans="2:27" x14ac:dyDescent="0.2">
      <c r="B184" t="s">
        <v>212</v>
      </c>
    </row>
    <row r="185" spans="2:27" x14ac:dyDescent="0.2">
      <c r="B185" t="s">
        <v>218</v>
      </c>
    </row>
    <row r="186" spans="2:27" x14ac:dyDescent="0.2">
      <c r="B186" t="s">
        <v>219</v>
      </c>
    </row>
    <row r="187" spans="2:27" x14ac:dyDescent="0.2">
      <c r="B187" t="s">
        <v>216</v>
      </c>
    </row>
  </sheetData>
  <hyperlinks>
    <hyperlink ref="B138" r:id="rId1"/>
    <hyperlink ref="B82" r:id="rId2"/>
    <hyperlink ref="B50" r:id="rId3"/>
    <hyperlink ref="B79" r:id="rId4"/>
    <hyperlink ref="B5" r:id="rId5"/>
    <hyperlink ref="B7" r:id="rId6"/>
    <hyperlink ref="B4" r:id="rId7"/>
    <hyperlink ref="B6" r:id="rId8"/>
    <hyperlink ref="B8" r:id="rId9"/>
    <hyperlink ref="B9" r:id="rId10"/>
    <hyperlink ref="B54" r:id="rId11"/>
    <hyperlink ref="B139" r:id="rId12"/>
    <hyperlink ref="B83" r:id="rId13"/>
    <hyperlink ref="B140" r:id="rId14"/>
    <hyperlink ref="B24" r:id="rId15"/>
    <hyperlink ref="B19" r:id="rId16"/>
    <hyperlink ref="B15" r:id="rId17"/>
    <hyperlink ref="B12" r:id="rId18"/>
    <hyperlink ref="B10" r:id="rId19"/>
    <hyperlink ref="B11" r:id="rId20"/>
    <hyperlink ref="B13" r:id="rId21"/>
    <hyperlink ref="B29" r:id="rId22"/>
    <hyperlink ref="B31" r:id="rId23"/>
    <hyperlink ref="B27" r:id="rId24"/>
    <hyperlink ref="B14" r:id="rId25"/>
    <hyperlink ref="B17" r:id="rId26"/>
    <hyperlink ref="B23" r:id="rId27"/>
    <hyperlink ref="B18" r:id="rId28"/>
    <hyperlink ref="B21" r:id="rId29"/>
    <hyperlink ref="B16" r:id="rId30"/>
    <hyperlink ref="B20" r:id="rId31"/>
    <hyperlink ref="B26" r:id="rId32"/>
    <hyperlink ref="B22" r:id="rId33"/>
    <hyperlink ref="B30" r:id="rId34"/>
    <hyperlink ref="B25" r:id="rId35"/>
    <hyperlink ref="B34" r:id="rId36"/>
    <hyperlink ref="B28" r:id="rId37"/>
    <hyperlink ref="B71" r:id="rId38"/>
    <hyperlink ref="B33" r:id="rId39"/>
    <hyperlink ref="B142" r:id="rId40"/>
    <hyperlink ref="B141" r:id="rId41"/>
    <hyperlink ref="B143" r:id="rId42"/>
    <hyperlink ref="B32" r:id="rId43"/>
    <hyperlink ref="B42" r:id="rId44"/>
    <hyperlink ref="B81" r:id="rId45"/>
    <hyperlink ref="B51" r:id="rId46"/>
    <hyperlink ref="B57" r:id="rId47"/>
    <hyperlink ref="B56" r:id="rId48"/>
    <hyperlink ref="B58" r:id="rId49"/>
    <hyperlink ref="B61" r:id="rId50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B4" sqref="B4"/>
    </sheetView>
  </sheetViews>
  <sheetFormatPr defaultRowHeight="12.75" x14ac:dyDescent="0.2"/>
  <cols>
    <col min="2" max="2" width="14.85546875" bestFit="1" customWidth="1"/>
  </cols>
  <sheetData>
    <row r="2" spans="2:4" x14ac:dyDescent="0.2">
      <c r="C2" t="s">
        <v>390</v>
      </c>
      <c r="D2" t="s">
        <v>394</v>
      </c>
    </row>
    <row r="3" spans="2:4" x14ac:dyDescent="0.2">
      <c r="B3" t="s">
        <v>362</v>
      </c>
      <c r="C3" t="s">
        <v>417</v>
      </c>
      <c r="D3" t="s">
        <v>418</v>
      </c>
    </row>
    <row r="4" spans="2:4" x14ac:dyDescent="0.2">
      <c r="B4" t="s">
        <v>363</v>
      </c>
      <c r="C4" t="s">
        <v>442</v>
      </c>
      <c r="D4" t="s">
        <v>443</v>
      </c>
    </row>
    <row r="5" spans="2:4" x14ac:dyDescent="0.2">
      <c r="B5" t="s">
        <v>365</v>
      </c>
      <c r="C5" t="s">
        <v>446</v>
      </c>
    </row>
    <row r="6" spans="2:4" x14ac:dyDescent="0.2">
      <c r="B6" t="s">
        <v>364</v>
      </c>
      <c r="D6" t="s">
        <v>395</v>
      </c>
    </row>
    <row r="7" spans="2:4" x14ac:dyDescent="0.2">
      <c r="B7" t="s">
        <v>379</v>
      </c>
    </row>
    <row r="8" spans="2:4" x14ac:dyDescent="0.2">
      <c r="B8" t="s">
        <v>391</v>
      </c>
    </row>
    <row r="9" spans="2:4" x14ac:dyDescent="0.2">
      <c r="B9" t="s">
        <v>392</v>
      </c>
    </row>
    <row r="10" spans="2:4" x14ac:dyDescent="0.2">
      <c r="B10" t="s">
        <v>393</v>
      </c>
      <c r="D10" t="s">
        <v>395</v>
      </c>
    </row>
    <row r="11" spans="2:4" x14ac:dyDescent="0.2">
      <c r="B11" t="s">
        <v>396</v>
      </c>
      <c r="D11" t="s">
        <v>395</v>
      </c>
    </row>
    <row r="12" spans="2:4" x14ac:dyDescent="0.2">
      <c r="B12" t="s">
        <v>397</v>
      </c>
      <c r="D12" t="s">
        <v>395</v>
      </c>
    </row>
    <row r="13" spans="2:4" x14ac:dyDescent="0.2">
      <c r="B13" t="s">
        <v>398</v>
      </c>
      <c r="D13" t="s">
        <v>395</v>
      </c>
    </row>
    <row r="14" spans="2:4" x14ac:dyDescent="0.2">
      <c r="B14" t="s">
        <v>400</v>
      </c>
      <c r="D14" t="s">
        <v>395</v>
      </c>
    </row>
    <row r="15" spans="2:4" x14ac:dyDescent="0.2">
      <c r="B15" t="s">
        <v>401</v>
      </c>
      <c r="D15" t="s">
        <v>395</v>
      </c>
    </row>
    <row r="16" spans="2:4" x14ac:dyDescent="0.2">
      <c r="B16" t="s">
        <v>402</v>
      </c>
      <c r="D16" t="s">
        <v>395</v>
      </c>
    </row>
    <row r="17" spans="2:4" x14ac:dyDescent="0.2">
      <c r="B17" t="s">
        <v>403</v>
      </c>
      <c r="D17" t="s">
        <v>395</v>
      </c>
    </row>
    <row r="18" spans="2:4" x14ac:dyDescent="0.2">
      <c r="B18" t="s">
        <v>404</v>
      </c>
      <c r="D18" t="s">
        <v>395</v>
      </c>
    </row>
    <row r="19" spans="2:4" x14ac:dyDescent="0.2">
      <c r="B19" t="s">
        <v>405</v>
      </c>
      <c r="D19" t="s">
        <v>395</v>
      </c>
    </row>
    <row r="20" spans="2:4" x14ac:dyDescent="0.2">
      <c r="B20" t="s">
        <v>406</v>
      </c>
      <c r="D20" t="s">
        <v>395</v>
      </c>
    </row>
    <row r="21" spans="2:4" x14ac:dyDescent="0.2">
      <c r="B21" t="s">
        <v>407</v>
      </c>
      <c r="D21" t="s">
        <v>395</v>
      </c>
    </row>
    <row r="22" spans="2:4" x14ac:dyDescent="0.2">
      <c r="B22" t="s">
        <v>408</v>
      </c>
      <c r="D22" t="s">
        <v>395</v>
      </c>
    </row>
    <row r="23" spans="2:4" x14ac:dyDescent="0.2">
      <c r="B23" t="s">
        <v>409</v>
      </c>
      <c r="D23" t="s">
        <v>395</v>
      </c>
    </row>
    <row r="24" spans="2:4" x14ac:dyDescent="0.2">
      <c r="B24" t="s">
        <v>410</v>
      </c>
      <c r="D24" t="s">
        <v>395</v>
      </c>
    </row>
    <row r="25" spans="2:4" x14ac:dyDescent="0.2">
      <c r="B25" t="s">
        <v>411</v>
      </c>
      <c r="D25" t="s">
        <v>395</v>
      </c>
    </row>
    <row r="26" spans="2:4" x14ac:dyDescent="0.2">
      <c r="B26" t="s">
        <v>412</v>
      </c>
      <c r="D26" t="s">
        <v>395</v>
      </c>
    </row>
    <row r="27" spans="2:4" x14ac:dyDescent="0.2">
      <c r="B27" t="s">
        <v>413</v>
      </c>
      <c r="D27" t="s">
        <v>395</v>
      </c>
    </row>
    <row r="28" spans="2:4" x14ac:dyDescent="0.2">
      <c r="B28" t="s">
        <v>414</v>
      </c>
      <c r="D28" t="s">
        <v>395</v>
      </c>
    </row>
    <row r="29" spans="2:4" x14ac:dyDescent="0.2">
      <c r="B29" t="s">
        <v>415</v>
      </c>
      <c r="D29" t="s">
        <v>395</v>
      </c>
    </row>
    <row r="30" spans="2:4" x14ac:dyDescent="0.2">
      <c r="B30" t="s">
        <v>416</v>
      </c>
    </row>
    <row r="31" spans="2:4" x14ac:dyDescent="0.2">
      <c r="B31" t="s">
        <v>419</v>
      </c>
      <c r="D31" t="s">
        <v>1</v>
      </c>
    </row>
    <row r="32" spans="2:4" x14ac:dyDescent="0.2">
      <c r="B32" t="s">
        <v>420</v>
      </c>
    </row>
    <row r="33" spans="2:2" x14ac:dyDescent="0.2">
      <c r="B33" t="s">
        <v>422</v>
      </c>
    </row>
    <row r="34" spans="2:2" x14ac:dyDescent="0.2">
      <c r="B34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2.75" x14ac:dyDescent="0.2"/>
  <cols>
    <col min="2" max="2" width="12" bestFit="1" customWidth="1"/>
    <col min="3" max="3" width="9.140625" bestFit="1" customWidth="1"/>
    <col min="4" max="4" width="5.7109375" bestFit="1" customWidth="1"/>
    <col min="5" max="5" width="4.85546875" bestFit="1" customWidth="1"/>
  </cols>
  <sheetData>
    <row r="2" spans="2:5" x14ac:dyDescent="0.2">
      <c r="B2" t="s">
        <v>372</v>
      </c>
      <c r="C2" t="s">
        <v>371</v>
      </c>
      <c r="D2" t="s">
        <v>373</v>
      </c>
      <c r="E2" t="s">
        <v>374</v>
      </c>
    </row>
    <row r="3" spans="2:5" x14ac:dyDescent="0.2">
      <c r="B3" t="s">
        <v>366</v>
      </c>
      <c r="C3" t="s">
        <v>370</v>
      </c>
    </row>
    <row r="4" spans="2:5" x14ac:dyDescent="0.2">
      <c r="B4" t="s">
        <v>367</v>
      </c>
      <c r="C4" t="s">
        <v>3</v>
      </c>
    </row>
    <row r="5" spans="2:5" x14ac:dyDescent="0.2">
      <c r="B5" t="s">
        <v>368</v>
      </c>
      <c r="C5" t="s">
        <v>3</v>
      </c>
    </row>
    <row r="6" spans="2:5" x14ac:dyDescent="0.2">
      <c r="B6" t="s">
        <v>369</v>
      </c>
      <c r="C6" t="s">
        <v>3</v>
      </c>
    </row>
    <row r="7" spans="2:5" x14ac:dyDescent="0.2">
      <c r="B7" t="s">
        <v>375</v>
      </c>
      <c r="C7" t="s">
        <v>8</v>
      </c>
    </row>
    <row r="8" spans="2:5" x14ac:dyDescent="0.2">
      <c r="C8" t="s">
        <v>8</v>
      </c>
    </row>
    <row r="9" spans="2:5" x14ac:dyDescent="0.2">
      <c r="C9" t="s">
        <v>8</v>
      </c>
    </row>
    <row r="10" spans="2:5" x14ac:dyDescent="0.2">
      <c r="C10" t="s">
        <v>2</v>
      </c>
    </row>
    <row r="11" spans="2:5" x14ac:dyDescent="0.2">
      <c r="B11" t="s">
        <v>376</v>
      </c>
      <c r="C11" t="s">
        <v>1</v>
      </c>
    </row>
    <row r="12" spans="2:5" x14ac:dyDescent="0.2">
      <c r="C12" t="s">
        <v>13</v>
      </c>
    </row>
    <row r="13" spans="2:5" x14ac:dyDescent="0.2">
      <c r="B13" t="s">
        <v>448</v>
      </c>
      <c r="C13" t="s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RowHeight="12.75" x14ac:dyDescent="0.2"/>
  <cols>
    <col min="1" max="1" width="5.42578125" customWidth="1"/>
    <col min="2" max="2" width="24.28515625" customWidth="1"/>
    <col min="3" max="3" width="8" customWidth="1"/>
    <col min="4" max="4" width="9.7109375" customWidth="1"/>
    <col min="7" max="7" width="11.28515625" customWidth="1"/>
    <col min="12" max="12" width="15.140625" bestFit="1" customWidth="1"/>
    <col min="13" max="13" width="5.28515625" bestFit="1" customWidth="1"/>
    <col min="14" max="14" width="8" customWidth="1"/>
    <col min="16" max="16" width="10.7109375" style="38" bestFit="1" customWidth="1"/>
  </cols>
  <sheetData>
    <row r="2" spans="2:20" x14ac:dyDescent="0.2">
      <c r="C2" s="27" t="s">
        <v>313</v>
      </c>
      <c r="D2" s="27" t="s">
        <v>335</v>
      </c>
      <c r="E2" s="27" t="s">
        <v>53</v>
      </c>
      <c r="F2" s="27" t="s">
        <v>312</v>
      </c>
      <c r="G2" s="27" t="s">
        <v>312</v>
      </c>
      <c r="H2" s="27" t="s">
        <v>326</v>
      </c>
      <c r="I2" s="27" t="s">
        <v>314</v>
      </c>
      <c r="J2" s="27" t="s">
        <v>361</v>
      </c>
      <c r="K2" s="27" t="s">
        <v>343</v>
      </c>
      <c r="L2" s="27" t="s">
        <v>358</v>
      </c>
      <c r="M2" s="27" t="s">
        <v>360</v>
      </c>
      <c r="N2" s="27" t="s">
        <v>359</v>
      </c>
      <c r="O2" s="27" t="s">
        <v>384</v>
      </c>
      <c r="P2" s="38" t="s">
        <v>385</v>
      </c>
      <c r="Q2" s="44">
        <f ca="1">TODAY()+1</f>
        <v>42911</v>
      </c>
      <c r="R2" s="27"/>
      <c r="S2" s="27"/>
      <c r="T2" s="27"/>
    </row>
    <row r="3" spans="2:20" x14ac:dyDescent="0.2">
      <c r="B3" t="s">
        <v>334</v>
      </c>
      <c r="C3" s="42">
        <v>500</v>
      </c>
      <c r="D3" s="36">
        <f t="shared" ref="D3:D8" si="0">H3/$G$16</f>
        <v>2.8625864782241058E-2</v>
      </c>
      <c r="E3" s="28">
        <v>57.43</v>
      </c>
      <c r="F3" s="28">
        <v>51.87</v>
      </c>
      <c r="G3" s="29">
        <f>F3*C3</f>
        <v>25935</v>
      </c>
      <c r="H3" s="29">
        <f>E3*C3</f>
        <v>28715</v>
      </c>
      <c r="I3" s="29">
        <f>H3-G3</f>
        <v>2780</v>
      </c>
      <c r="J3" s="36">
        <f t="shared" ref="J3" si="1">I3/ABS(G3)</f>
        <v>0.10719105455947561</v>
      </c>
      <c r="K3" s="29">
        <f>ABS(H3)</f>
        <v>28715</v>
      </c>
      <c r="L3" s="44">
        <v>42485</v>
      </c>
      <c r="M3" s="29">
        <f ca="1">$Q$2-L3</f>
        <v>426</v>
      </c>
      <c r="N3" s="37">
        <f t="shared" ref="N3:N6" ca="1" si="2">1*(1+J3)^(365/M3)-1</f>
        <v>9.1164501289148658E-2</v>
      </c>
      <c r="O3" s="27"/>
      <c r="P3" s="38" t="s">
        <v>387</v>
      </c>
      <c r="Q3" s="27"/>
      <c r="R3" s="27"/>
      <c r="S3" s="27"/>
      <c r="T3" s="27"/>
    </row>
    <row r="4" spans="2:20" x14ac:dyDescent="0.2">
      <c r="B4" t="s">
        <v>329</v>
      </c>
      <c r="C4" s="42">
        <v>950</v>
      </c>
      <c r="D4" s="36">
        <f t="shared" si="0"/>
        <v>2.4519152263681347E-2</v>
      </c>
      <c r="E4" s="28">
        <v>25.89</v>
      </c>
      <c r="F4" s="28">
        <v>21.36</v>
      </c>
      <c r="G4" s="29">
        <f>F4*C4</f>
        <v>20292</v>
      </c>
      <c r="H4" s="29">
        <f>E4*C4</f>
        <v>24595.5</v>
      </c>
      <c r="I4" s="29">
        <f>H4-G4</f>
        <v>4303.5</v>
      </c>
      <c r="J4" s="36">
        <f>I4/ABS(G4)</f>
        <v>0.21207865168539325</v>
      </c>
      <c r="K4" s="29">
        <f t="shared" ref="K4:K9" si="3">ABS(H4)</f>
        <v>24595.5</v>
      </c>
      <c r="L4" s="44">
        <v>42485</v>
      </c>
      <c r="M4" s="29">
        <f t="shared" ref="M4:M9" ca="1" si="4">$Q$2-L4</f>
        <v>426</v>
      </c>
      <c r="N4" s="37">
        <f t="shared" ca="1" si="2"/>
        <v>0.17915207257029198</v>
      </c>
      <c r="O4" s="27"/>
      <c r="P4" s="38" t="s">
        <v>386</v>
      </c>
      <c r="Q4" s="27"/>
      <c r="R4" s="27"/>
      <c r="S4" s="27"/>
      <c r="T4" s="27"/>
    </row>
    <row r="5" spans="2:20" x14ac:dyDescent="0.2">
      <c r="B5" t="s">
        <v>311</v>
      </c>
      <c r="C5" s="29">
        <v>215</v>
      </c>
      <c r="D5" s="36">
        <f t="shared" si="0"/>
        <v>2.0215851880414762E-2</v>
      </c>
      <c r="E5" s="28">
        <v>94.32</v>
      </c>
      <c r="F5" s="28">
        <v>94.5</v>
      </c>
      <c r="G5" s="29">
        <f>F5*C5</f>
        <v>20317.5</v>
      </c>
      <c r="H5" s="29">
        <f>E5*C5</f>
        <v>20278.8</v>
      </c>
      <c r="I5" s="29">
        <f>H5-G5</f>
        <v>-38.700000000000728</v>
      </c>
      <c r="J5" s="36">
        <f>I5/ABS(G5)</f>
        <v>-1.9047619047619405E-3</v>
      </c>
      <c r="K5" s="29">
        <f t="shared" si="3"/>
        <v>20278.8</v>
      </c>
      <c r="L5" s="44">
        <v>42478</v>
      </c>
      <c r="M5" s="29">
        <f t="shared" ca="1" si="4"/>
        <v>433</v>
      </c>
      <c r="N5" s="37">
        <f t="shared" ca="1" si="2"/>
        <v>-1.605871028658501E-3</v>
      </c>
      <c r="O5" s="27"/>
      <c r="P5" s="38" t="s">
        <v>386</v>
      </c>
      <c r="Q5" s="27"/>
      <c r="R5" s="27"/>
      <c r="S5" s="27"/>
      <c r="T5" s="27"/>
    </row>
    <row r="6" spans="2:20" x14ac:dyDescent="0.2">
      <c r="B6" t="s">
        <v>441</v>
      </c>
      <c r="C6" s="29">
        <v>150</v>
      </c>
      <c r="D6" s="36">
        <f t="shared" si="0"/>
        <v>1.0525724997502775E-2</v>
      </c>
      <c r="E6" s="28">
        <v>70.39</v>
      </c>
      <c r="F6" s="28">
        <v>70.33</v>
      </c>
      <c r="G6" s="29">
        <f t="shared" ref="G6" si="5">F6*C6</f>
        <v>10549.5</v>
      </c>
      <c r="H6" s="29">
        <f t="shared" ref="H6" si="6">E6*C6</f>
        <v>10558.5</v>
      </c>
      <c r="I6" s="29">
        <f t="shared" ref="I6" si="7">H6-G6</f>
        <v>9</v>
      </c>
      <c r="J6" s="36">
        <f t="shared" ref="J6" si="8">I6/ABS(G6)</f>
        <v>8.5312100099530787E-4</v>
      </c>
      <c r="K6" s="29">
        <f t="shared" ref="K6" si="9">ABS(H6)</f>
        <v>10558.5</v>
      </c>
      <c r="L6" s="44">
        <v>42636</v>
      </c>
      <c r="M6" s="29">
        <f t="shared" ca="1" si="4"/>
        <v>275</v>
      </c>
      <c r="N6" s="37">
        <f t="shared" ca="1" si="2"/>
        <v>1.1324822817508906E-3</v>
      </c>
      <c r="O6" s="27"/>
      <c r="P6" s="38" t="s">
        <v>387</v>
      </c>
      <c r="Q6" s="27"/>
      <c r="R6" s="27"/>
      <c r="S6" s="27"/>
      <c r="T6" s="27"/>
    </row>
    <row r="7" spans="2:20" x14ac:dyDescent="0.2">
      <c r="B7" t="s">
        <v>380</v>
      </c>
      <c r="C7" s="42">
        <v>100</v>
      </c>
      <c r="D7" s="36">
        <f t="shared" si="0"/>
        <v>1.2756279496902544E-2</v>
      </c>
      <c r="E7" s="28">
        <v>127.96</v>
      </c>
      <c r="F7" s="28">
        <v>116.2</v>
      </c>
      <c r="G7" s="29">
        <f>F7*C7</f>
        <v>11620</v>
      </c>
      <c r="H7" s="29">
        <f>E7*C7</f>
        <v>12796</v>
      </c>
      <c r="I7" s="29">
        <f t="shared" ref="I7:I8" si="10">H7-G7</f>
        <v>1176</v>
      </c>
      <c r="J7" s="36">
        <f>I7/ABS(G7)</f>
        <v>0.10120481927710843</v>
      </c>
      <c r="K7" s="29">
        <f>ABS(H7)</f>
        <v>12796</v>
      </c>
      <c r="L7" s="44">
        <v>42489</v>
      </c>
      <c r="M7" s="29">
        <f ca="1">$Q$2-L7</f>
        <v>422</v>
      </c>
      <c r="N7" s="37">
        <f ca="1">1*(1+J7)^(365/M7)-1</f>
        <v>8.6958424738684981E-2</v>
      </c>
      <c r="O7" s="27"/>
      <c r="P7" s="38" t="s">
        <v>387</v>
      </c>
      <c r="R7" s="27"/>
      <c r="S7" s="27"/>
      <c r="T7" s="27"/>
    </row>
    <row r="8" spans="2:20" x14ac:dyDescent="0.2">
      <c r="B8" t="s">
        <v>440</v>
      </c>
      <c r="C8" s="42">
        <v>-100</v>
      </c>
      <c r="D8" s="36">
        <f t="shared" si="0"/>
        <v>-1.0713639868178465E-2</v>
      </c>
      <c r="E8" s="28">
        <v>107.47</v>
      </c>
      <c r="F8" s="28">
        <v>107.62</v>
      </c>
      <c r="G8" s="29">
        <f>F8*C8</f>
        <v>-10762</v>
      </c>
      <c r="H8" s="29">
        <f>E8*C8</f>
        <v>-10747</v>
      </c>
      <c r="I8" s="29">
        <f t="shared" si="10"/>
        <v>15</v>
      </c>
      <c r="J8" s="36">
        <f>I8/ABS(G8)</f>
        <v>1.3937929752834046E-3</v>
      </c>
      <c r="K8" s="29">
        <f>ABS(H8)</f>
        <v>10747</v>
      </c>
      <c r="L8" s="44">
        <v>42636</v>
      </c>
      <c r="M8" s="29">
        <f ca="1">$Q$2-L8</f>
        <v>275</v>
      </c>
      <c r="N8" s="37">
        <f ca="1">1*(1+J8)^(365/M8)-1</f>
        <v>1.8503651980006364E-3</v>
      </c>
      <c r="O8" s="27"/>
      <c r="P8" s="38" t="s">
        <v>387</v>
      </c>
      <c r="R8" s="27"/>
      <c r="S8" s="27"/>
      <c r="T8" s="27"/>
    </row>
    <row r="9" spans="2:20" x14ac:dyDescent="0.2">
      <c r="B9" t="s">
        <v>330</v>
      </c>
      <c r="C9" s="42">
        <v>-100</v>
      </c>
      <c r="D9" s="36">
        <f t="shared" ref="D9:D10" si="11">H9/$G$16</f>
        <v>-9.5642189350799468E-3</v>
      </c>
      <c r="E9" s="28">
        <v>95.94</v>
      </c>
      <c r="F9" s="28">
        <v>93.44</v>
      </c>
      <c r="G9" s="29">
        <f>F9*C9</f>
        <v>-9344</v>
      </c>
      <c r="H9" s="29">
        <f>E9*C9</f>
        <v>-9594</v>
      </c>
      <c r="I9" s="29">
        <f>H9-G9</f>
        <v>-250</v>
      </c>
      <c r="J9" s="36">
        <f>I9/ABS(G9)</f>
        <v>-2.6755136986301369E-2</v>
      </c>
      <c r="K9" s="29">
        <f t="shared" si="3"/>
        <v>9594</v>
      </c>
      <c r="L9" s="44">
        <v>42485</v>
      </c>
      <c r="M9" s="29">
        <f t="shared" ca="1" si="4"/>
        <v>426</v>
      </c>
      <c r="N9" s="37">
        <f ca="1">1*(1+J9)^(365/M9)-1</f>
        <v>-2.2968369051395432E-2</v>
      </c>
      <c r="O9" s="27"/>
      <c r="P9" s="38" t="s">
        <v>387</v>
      </c>
      <c r="R9" s="27"/>
      <c r="S9" s="27"/>
      <c r="T9" s="27"/>
    </row>
    <row r="10" spans="2:20" x14ac:dyDescent="0.2">
      <c r="B10" t="s">
        <v>378</v>
      </c>
      <c r="C10" s="42">
        <v>-300</v>
      </c>
      <c r="D10" s="36">
        <f t="shared" si="11"/>
        <v>-3.370803990534274E-2</v>
      </c>
      <c r="E10" s="28">
        <v>112.71</v>
      </c>
      <c r="F10" s="28">
        <v>96.44</v>
      </c>
      <c r="G10" s="29">
        <f t="shared" ref="G10" si="12">F10*C10</f>
        <v>-28932</v>
      </c>
      <c r="H10" s="29">
        <f t="shared" ref="H10" si="13">E10*C10</f>
        <v>-33813</v>
      </c>
      <c r="I10" s="29">
        <f>H10-G10</f>
        <v>-4881</v>
      </c>
      <c r="J10" s="36">
        <f>I10/ABS(G10)</f>
        <v>-0.16870593114890087</v>
      </c>
      <c r="K10" s="29">
        <f t="shared" ref="K10" si="14">ABS(H10)</f>
        <v>33813</v>
      </c>
      <c r="L10" s="44">
        <v>42488</v>
      </c>
      <c r="M10" s="29">
        <f t="shared" ref="M10" ca="1" si="15">$Q$2-L10</f>
        <v>423</v>
      </c>
      <c r="N10" s="37">
        <f t="shared" ref="N10" ca="1" si="16">1*(1+J10)^(365/M10)-1</f>
        <v>-0.14737593550274464</v>
      </c>
      <c r="O10" s="27"/>
      <c r="P10" s="38" t="s">
        <v>387</v>
      </c>
      <c r="R10" s="27"/>
      <c r="S10" s="27"/>
      <c r="T10" s="27"/>
    </row>
    <row r="11" spans="2:20" x14ac:dyDescent="0.2">
      <c r="C11" s="35"/>
      <c r="D11" s="36"/>
      <c r="E11" s="28"/>
      <c r="F11" s="28"/>
      <c r="G11" s="29"/>
      <c r="H11" s="29"/>
      <c r="I11" s="45">
        <f>SUM(I3:I10)</f>
        <v>3113.7999999999993</v>
      </c>
      <c r="J11" s="29"/>
      <c r="K11" s="27"/>
      <c r="L11" s="27"/>
      <c r="M11" s="27"/>
      <c r="N11" s="27"/>
      <c r="O11" s="27"/>
      <c r="R11" s="27"/>
      <c r="S11" s="27"/>
      <c r="T11" s="27"/>
    </row>
    <row r="12" spans="2:20" x14ac:dyDescent="0.2">
      <c r="B12" s="1" t="s">
        <v>342</v>
      </c>
      <c r="C12" s="46"/>
      <c r="D12" s="47"/>
      <c r="E12" s="48"/>
      <c r="F12" s="48"/>
      <c r="G12" s="49">
        <f>G16/G13-1</f>
        <v>3.1137999999999444E-3</v>
      </c>
      <c r="H12" s="29"/>
      <c r="I12" s="29"/>
      <c r="J12" s="29"/>
      <c r="K12" s="41">
        <f>K13/G16</f>
        <v>0.15062877212934364</v>
      </c>
      <c r="L12" s="40" t="s">
        <v>344</v>
      </c>
      <c r="M12" s="40"/>
      <c r="N12" s="27"/>
      <c r="O12" s="27"/>
      <c r="R12" s="27"/>
      <c r="S12" s="27"/>
      <c r="T12" s="27"/>
    </row>
    <row r="13" spans="2:20" x14ac:dyDescent="0.2">
      <c r="B13" t="s">
        <v>338</v>
      </c>
      <c r="C13" s="27"/>
      <c r="D13" s="27"/>
      <c r="E13" s="27"/>
      <c r="F13" s="27"/>
      <c r="G13" s="29">
        <v>1000000</v>
      </c>
      <c r="H13" s="29"/>
      <c r="I13" s="27"/>
      <c r="J13" s="27"/>
      <c r="K13" s="29">
        <f>SUM(K3:K10)</f>
        <v>151097.79999999999</v>
      </c>
      <c r="L13" s="38" t="s">
        <v>344</v>
      </c>
      <c r="M13" s="38"/>
      <c r="N13" s="27"/>
      <c r="O13" s="27"/>
      <c r="R13" s="27"/>
      <c r="S13" s="27"/>
      <c r="T13" s="27"/>
    </row>
    <row r="14" spans="2:20" x14ac:dyDescent="0.2">
      <c r="B14" t="s">
        <v>336</v>
      </c>
      <c r="C14" s="27"/>
      <c r="D14" s="27"/>
      <c r="E14" s="27"/>
      <c r="F14" s="27"/>
      <c r="G14" s="29">
        <f>+I11</f>
        <v>3113.7999999999993</v>
      </c>
      <c r="H14" s="27"/>
      <c r="I14" s="27"/>
      <c r="J14" s="27"/>
      <c r="K14" s="39">
        <f>K15/G16</f>
        <v>4.2656974712141332E-2</v>
      </c>
      <c r="L14" s="40" t="s">
        <v>345</v>
      </c>
      <c r="M14" s="40"/>
      <c r="N14" s="27"/>
      <c r="O14" s="27"/>
      <c r="Q14" s="27"/>
      <c r="R14" s="27"/>
      <c r="S14" s="27"/>
      <c r="T14" s="27"/>
    </row>
    <row r="15" spans="2:20" x14ac:dyDescent="0.2">
      <c r="B15" t="s">
        <v>337</v>
      </c>
      <c r="C15" s="27"/>
      <c r="D15" s="27"/>
      <c r="E15" s="27"/>
      <c r="F15" s="27"/>
      <c r="G15" s="27">
        <v>0</v>
      </c>
      <c r="H15" s="27"/>
      <c r="I15" s="27"/>
      <c r="J15" s="27"/>
      <c r="K15" s="29">
        <f>SUM(H3:H10)</f>
        <v>42789.8</v>
      </c>
      <c r="L15" s="38" t="s">
        <v>345</v>
      </c>
      <c r="M15" s="38"/>
      <c r="N15" s="27"/>
      <c r="O15" s="27"/>
      <c r="Q15" s="27"/>
      <c r="R15" s="27"/>
      <c r="S15" s="27"/>
      <c r="T15" s="27"/>
    </row>
    <row r="16" spans="2:20" x14ac:dyDescent="0.2">
      <c r="B16" t="s">
        <v>340</v>
      </c>
      <c r="C16" s="27"/>
      <c r="D16" s="27"/>
      <c r="E16" s="27"/>
      <c r="F16" s="27"/>
      <c r="G16" s="29">
        <f>SUM(G13:G15)</f>
        <v>1003113.8</v>
      </c>
      <c r="H16" s="27"/>
      <c r="I16" s="27"/>
      <c r="J16" s="27"/>
      <c r="K16" s="27"/>
      <c r="L16" s="27"/>
      <c r="M16" s="27"/>
      <c r="N16" s="27"/>
      <c r="O16" s="27"/>
      <c r="Q16" s="27"/>
      <c r="R16" s="27"/>
      <c r="S16" s="27"/>
      <c r="T16" s="27"/>
    </row>
    <row r="17" spans="2:20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27"/>
      <c r="R17" s="27"/>
      <c r="S17" s="27"/>
      <c r="T17" s="27"/>
    </row>
    <row r="19" spans="2:20" x14ac:dyDescent="0.2">
      <c r="B19" s="2" t="s">
        <v>306</v>
      </c>
      <c r="C19" s="27"/>
      <c r="P19" s="43" t="s">
        <v>352</v>
      </c>
      <c r="Q19" s="27"/>
    </row>
    <row r="20" spans="2:20" x14ac:dyDescent="0.2">
      <c r="B20" t="s">
        <v>304</v>
      </c>
      <c r="C20" t="s">
        <v>305</v>
      </c>
      <c r="P20" s="38" t="s">
        <v>353</v>
      </c>
      <c r="Q20" s="27">
        <v>111.44</v>
      </c>
    </row>
    <row r="21" spans="2:20" x14ac:dyDescent="0.2">
      <c r="B21" t="s">
        <v>317</v>
      </c>
      <c r="C21" t="s">
        <v>309</v>
      </c>
      <c r="P21" s="38" t="s">
        <v>354</v>
      </c>
      <c r="Q21" s="27">
        <v>1.1299999999999999</v>
      </c>
    </row>
    <row r="22" spans="2:20" x14ac:dyDescent="0.2">
      <c r="B22" t="s">
        <v>316</v>
      </c>
      <c r="C22" t="s">
        <v>310</v>
      </c>
      <c r="P22" s="38" t="s">
        <v>355</v>
      </c>
      <c r="Q22" s="27"/>
    </row>
    <row r="23" spans="2:20" x14ac:dyDescent="0.2">
      <c r="B23" t="s">
        <v>316</v>
      </c>
      <c r="C23" t="s">
        <v>315</v>
      </c>
      <c r="P23" s="38" t="s">
        <v>356</v>
      </c>
      <c r="Q23" s="28">
        <v>1148</v>
      </c>
    </row>
    <row r="26" spans="2:20" x14ac:dyDescent="0.2">
      <c r="B26" s="2" t="s">
        <v>320</v>
      </c>
    </row>
    <row r="27" spans="2:20" x14ac:dyDescent="0.2">
      <c r="B27" t="s">
        <v>318</v>
      </c>
      <c r="C27" t="s">
        <v>319</v>
      </c>
    </row>
    <row r="28" spans="2:20" x14ac:dyDescent="0.2">
      <c r="B28" t="s">
        <v>307</v>
      </c>
      <c r="C28" t="s">
        <v>308</v>
      </c>
    </row>
    <row r="29" spans="2:20" x14ac:dyDescent="0.2">
      <c r="B29" t="s">
        <v>323</v>
      </c>
      <c r="C29" t="s">
        <v>328</v>
      </c>
    </row>
    <row r="30" spans="2:20" x14ac:dyDescent="0.2">
      <c r="B30" t="s">
        <v>323</v>
      </c>
      <c r="C30" t="s">
        <v>321</v>
      </c>
    </row>
    <row r="31" spans="2:20" x14ac:dyDescent="0.2">
      <c r="B31" t="s">
        <v>323</v>
      </c>
      <c r="C31" t="s">
        <v>322</v>
      </c>
    </row>
    <row r="38" spans="2:8" x14ac:dyDescent="0.2">
      <c r="B38" s="2" t="s">
        <v>324</v>
      </c>
    </row>
    <row r="39" spans="2:8" x14ac:dyDescent="0.2">
      <c r="B39" t="s">
        <v>325</v>
      </c>
      <c r="C39">
        <v>215</v>
      </c>
      <c r="E39" t="s">
        <v>311</v>
      </c>
      <c r="F39" s="31">
        <v>94.5</v>
      </c>
      <c r="G39" s="30">
        <v>42478</v>
      </c>
      <c r="H39" s="30"/>
    </row>
    <row r="40" spans="2:8" x14ac:dyDescent="0.2">
      <c r="B40" t="s">
        <v>325</v>
      </c>
      <c r="C40">
        <v>950</v>
      </c>
      <c r="E40" t="s">
        <v>329</v>
      </c>
      <c r="F40" s="31">
        <v>21.36</v>
      </c>
      <c r="G40" s="30">
        <v>42485</v>
      </c>
    </row>
    <row r="41" spans="2:8" x14ac:dyDescent="0.2">
      <c r="B41" t="s">
        <v>325</v>
      </c>
      <c r="C41">
        <v>500</v>
      </c>
      <c r="E41" t="s">
        <v>334</v>
      </c>
      <c r="F41" s="31">
        <v>51.87</v>
      </c>
      <c r="G41" s="30">
        <v>42485</v>
      </c>
    </row>
    <row r="42" spans="2:8" x14ac:dyDescent="0.2">
      <c r="B42" t="s">
        <v>339</v>
      </c>
      <c r="C42">
        <v>100</v>
      </c>
      <c r="E42" t="s">
        <v>330</v>
      </c>
      <c r="F42" s="31">
        <v>93.44</v>
      </c>
      <c r="G42" s="30">
        <v>42485</v>
      </c>
    </row>
    <row r="43" spans="2:8" x14ac:dyDescent="0.2">
      <c r="B43" t="s">
        <v>339</v>
      </c>
      <c r="C43">
        <v>300</v>
      </c>
      <c r="E43" t="s">
        <v>378</v>
      </c>
      <c r="F43" s="31">
        <v>96.44</v>
      </c>
      <c r="G43" s="30">
        <v>42488</v>
      </c>
    </row>
    <row r="44" spans="2:8" x14ac:dyDescent="0.2">
      <c r="B44" t="s">
        <v>325</v>
      </c>
      <c r="C44">
        <v>100</v>
      </c>
      <c r="E44" t="s">
        <v>380</v>
      </c>
      <c r="F44" s="31">
        <v>116.2</v>
      </c>
      <c r="G44" s="30">
        <v>42489</v>
      </c>
    </row>
    <row r="45" spans="2:8" x14ac:dyDescent="0.2">
      <c r="B45" t="s">
        <v>325</v>
      </c>
      <c r="C45">
        <v>150</v>
      </c>
      <c r="E45" t="s">
        <v>441</v>
      </c>
      <c r="F45" s="31">
        <v>70.33</v>
      </c>
      <c r="G45" s="30">
        <v>42636</v>
      </c>
    </row>
    <row r="46" spans="2:8" x14ac:dyDescent="0.2">
      <c r="B46" t="s">
        <v>339</v>
      </c>
      <c r="C46">
        <v>100</v>
      </c>
      <c r="E46" t="s">
        <v>440</v>
      </c>
      <c r="F46" s="31">
        <v>107.62</v>
      </c>
      <c r="G46" s="30">
        <v>42636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Private</vt:lpstr>
      <vt:lpstr>Acquisitions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2016-03-05T23:16:52Z</dcterms:created>
  <dcterms:modified xsi:type="dcterms:W3CDTF">2017-06-24T11:10:19Z</dcterms:modified>
</cp:coreProperties>
</file>