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tin\Desktop\Investing Class\"/>
    </mc:Choice>
  </mc:AlternateContent>
  <bookViews>
    <workbookView xWindow="0" yWindow="0" windowWidth="21435" windowHeight="7590" activeTab="1"/>
  </bookViews>
  <sheets>
    <sheet name="Main" sheetId="1" r:id="rId1"/>
    <sheet name="Model" sheetId="2" r:id="rId2"/>
    <sheet name="Remodulin" sheetId="3" r:id="rId3"/>
    <sheet name="Tyvaso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9" i="2" l="1"/>
  <c r="U9" i="2"/>
  <c r="T9" i="2"/>
  <c r="M21" i="2"/>
  <c r="N21" i="2" s="1"/>
  <c r="M13" i="2"/>
  <c r="N13" i="2" s="1"/>
  <c r="M12" i="2"/>
  <c r="N12" i="2" s="1"/>
  <c r="M10" i="2"/>
  <c r="N10" i="2" s="1"/>
  <c r="L53" i="2"/>
  <c r="L54" i="2" s="1"/>
  <c r="L38" i="2"/>
  <c r="L37" i="2" s="1"/>
  <c r="Y21" i="2"/>
  <c r="Z21" i="2" s="1"/>
  <c r="AA21" i="2" s="1"/>
  <c r="AB21" i="2" s="1"/>
  <c r="AC21" i="2" s="1"/>
  <c r="AD21" i="2" s="1"/>
  <c r="AE21" i="2" s="1"/>
  <c r="AF21" i="2" s="1"/>
  <c r="Y18" i="2"/>
  <c r="Y16" i="2"/>
  <c r="Y12" i="2"/>
  <c r="Y10" i="2"/>
  <c r="P6" i="2"/>
  <c r="P34" i="2" s="1"/>
  <c r="O6" i="2"/>
  <c r="O34" i="2" s="1"/>
  <c r="N6" i="2"/>
  <c r="R6" i="2" s="1"/>
  <c r="R34" i="2" s="1"/>
  <c r="M6" i="2"/>
  <c r="Q6" i="2" s="1"/>
  <c r="Y5" i="2"/>
  <c r="Y33" i="2" s="1"/>
  <c r="L32" i="2"/>
  <c r="K32" i="2"/>
  <c r="J32" i="2"/>
  <c r="X32" i="2"/>
  <c r="X35" i="2"/>
  <c r="X34" i="2"/>
  <c r="X33" i="2"/>
  <c r="X31" i="2"/>
  <c r="W9" i="2"/>
  <c r="M7" i="2"/>
  <c r="N7" i="2" s="1"/>
  <c r="O7" i="2" s="1"/>
  <c r="P7" i="2" s="1"/>
  <c r="Q7" i="2" s="1"/>
  <c r="R7" i="2" s="1"/>
  <c r="P5" i="2"/>
  <c r="P33" i="2" s="1"/>
  <c r="O5" i="2"/>
  <c r="O33" i="2" s="1"/>
  <c r="N5" i="2"/>
  <c r="R5" i="2" s="1"/>
  <c r="R33" i="2" s="1"/>
  <c r="M5" i="2"/>
  <c r="Z5" i="2" s="1"/>
  <c r="P4" i="2"/>
  <c r="P32" i="2" s="1"/>
  <c r="O4" i="2"/>
  <c r="O32" i="2" s="1"/>
  <c r="N4" i="2"/>
  <c r="R4" i="2" s="1"/>
  <c r="R32" i="2" s="1"/>
  <c r="M4" i="2"/>
  <c r="Q4" i="2" s="1"/>
  <c r="Q32" i="2" s="1"/>
  <c r="X9" i="2"/>
  <c r="X30" i="2" s="1"/>
  <c r="Z8" i="2"/>
  <c r="AA8" i="2" s="1"/>
  <c r="AB8" i="2" s="1"/>
  <c r="AC8" i="2" s="1"/>
  <c r="AD8" i="2" s="1"/>
  <c r="AE8" i="2" s="1"/>
  <c r="AF8" i="2" s="1"/>
  <c r="AG8" i="2" s="1"/>
  <c r="AH8" i="2" s="1"/>
  <c r="AI8" i="2" s="1"/>
  <c r="Y8" i="2"/>
  <c r="Y7" i="2"/>
  <c r="Y35" i="2" s="1"/>
  <c r="Y6" i="2"/>
  <c r="Y34" i="2" s="1"/>
  <c r="Y4" i="2"/>
  <c r="Y32" i="2" s="1"/>
  <c r="Y3" i="2"/>
  <c r="Y31" i="2" s="1"/>
  <c r="E9" i="2"/>
  <c r="K34" i="2"/>
  <c r="J34" i="2"/>
  <c r="K33" i="2"/>
  <c r="J33" i="2"/>
  <c r="K31" i="2"/>
  <c r="J31" i="2"/>
  <c r="F14" i="2"/>
  <c r="F11" i="2"/>
  <c r="F23" i="2" s="1"/>
  <c r="J14" i="2"/>
  <c r="J13" i="2"/>
  <c r="Y13" i="2" s="1"/>
  <c r="Y14" i="2" s="1"/>
  <c r="F9" i="2"/>
  <c r="M3" i="2"/>
  <c r="M31" i="2" s="1"/>
  <c r="M32" i="2" l="1"/>
  <c r="N32" i="2"/>
  <c r="Q5" i="2"/>
  <c r="Q33" i="2" s="1"/>
  <c r="M33" i="2"/>
  <c r="N33" i="2"/>
  <c r="Z4" i="2"/>
  <c r="Z32" i="2" s="1"/>
  <c r="N14" i="2"/>
  <c r="M14" i="2"/>
  <c r="Z7" i="2"/>
  <c r="AA4" i="2"/>
  <c r="AB4" i="2" s="1"/>
  <c r="AC4" i="2" s="1"/>
  <c r="N3" i="2"/>
  <c r="AA5" i="2"/>
  <c r="AB5" i="2" s="1"/>
  <c r="AC5" i="2" s="1"/>
  <c r="AD5" i="2" s="1"/>
  <c r="AE5" i="2" s="1"/>
  <c r="AF5" i="2" s="1"/>
  <c r="AG5" i="2" s="1"/>
  <c r="AH5" i="2" s="1"/>
  <c r="AI5" i="2" s="1"/>
  <c r="Z3" i="2"/>
  <c r="Z31" i="2" s="1"/>
  <c r="L46" i="2"/>
  <c r="N34" i="2"/>
  <c r="AG21" i="2"/>
  <c r="Q34" i="2"/>
  <c r="Z6" i="2"/>
  <c r="AA6" i="2" s="1"/>
  <c r="AB6" i="2" s="1"/>
  <c r="AC6" i="2" s="1"/>
  <c r="AD6" i="2" s="1"/>
  <c r="AE6" i="2" s="1"/>
  <c r="AF6" i="2" s="1"/>
  <c r="AG6" i="2" s="1"/>
  <c r="AH6" i="2" s="1"/>
  <c r="AI6" i="2" s="1"/>
  <c r="M34" i="2"/>
  <c r="Z33" i="2"/>
  <c r="Y9" i="2"/>
  <c r="F15" i="2"/>
  <c r="M9" i="2"/>
  <c r="G14" i="2"/>
  <c r="K14" i="2"/>
  <c r="G9" i="2"/>
  <c r="G11" i="2" s="1"/>
  <c r="G23" i="2" s="1"/>
  <c r="I25" i="2"/>
  <c r="L14" i="2"/>
  <c r="H14" i="2"/>
  <c r="Z9" i="2" l="1"/>
  <c r="Z30" i="2" s="1"/>
  <c r="AA32" i="2"/>
  <c r="Y30" i="2"/>
  <c r="Y11" i="2"/>
  <c r="Y15" i="2" s="1"/>
  <c r="Y17" i="2" s="1"/>
  <c r="Y19" i="2" s="1"/>
  <c r="Y20" i="2" s="1"/>
  <c r="Z11" i="2"/>
  <c r="Z10" i="2" s="1"/>
  <c r="Z13" i="2"/>
  <c r="Z14" i="2" s="1"/>
  <c r="Z15" i="2" s="1"/>
  <c r="Z17" i="2" s="1"/>
  <c r="O3" i="2"/>
  <c r="N31" i="2"/>
  <c r="Z35" i="2"/>
  <c r="AA7" i="2"/>
  <c r="M11" i="2"/>
  <c r="M15" i="2" s="1"/>
  <c r="M17" i="2" s="1"/>
  <c r="M18" i="2" s="1"/>
  <c r="M19" i="2" s="1"/>
  <c r="AA33" i="2"/>
  <c r="N9" i="2"/>
  <c r="AH21" i="2"/>
  <c r="Z34" i="2"/>
  <c r="AD4" i="2"/>
  <c r="F17" i="2"/>
  <c r="F24" i="2"/>
  <c r="G15" i="2"/>
  <c r="O5" i="1"/>
  <c r="O4" i="1"/>
  <c r="O7" i="1" s="1"/>
  <c r="L34" i="2"/>
  <c r="L33" i="2"/>
  <c r="L31" i="2"/>
  <c r="L9" i="2"/>
  <c r="L11" i="2" s="1"/>
  <c r="L23" i="2" s="1"/>
  <c r="K9" i="2"/>
  <c r="J9" i="2"/>
  <c r="I9" i="2"/>
  <c r="M30" i="2" s="1"/>
  <c r="H9" i="2"/>
  <c r="H11" i="2" s="1"/>
  <c r="H23" i="2" s="1"/>
  <c r="U2" i="2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M20" i="2" l="1"/>
  <c r="M37" i="2"/>
  <c r="P3" i="2"/>
  <c r="O31" i="2"/>
  <c r="O9" i="2"/>
  <c r="O30" i="2" s="1"/>
  <c r="G17" i="2"/>
  <c r="G24" i="2"/>
  <c r="AA35" i="2"/>
  <c r="AB7" i="2"/>
  <c r="AC7" i="2" s="1"/>
  <c r="AD7" i="2" s="1"/>
  <c r="AE7" i="2" s="1"/>
  <c r="AF7" i="2" s="1"/>
  <c r="AG7" i="2" s="1"/>
  <c r="AH7" i="2" s="1"/>
  <c r="AI7" i="2" s="1"/>
  <c r="J11" i="2"/>
  <c r="J30" i="2"/>
  <c r="K30" i="2"/>
  <c r="K11" i="2"/>
  <c r="N30" i="2"/>
  <c r="N11" i="2"/>
  <c r="N15" i="2" s="1"/>
  <c r="N17" i="2" s="1"/>
  <c r="N18" i="2" s="1"/>
  <c r="N19" i="2" s="1"/>
  <c r="N20" i="2" s="1"/>
  <c r="Z18" i="2"/>
  <c r="Z19" i="2" s="1"/>
  <c r="Z20" i="2" s="1"/>
  <c r="H15" i="2"/>
  <c r="AI21" i="2"/>
  <c r="AA34" i="2"/>
  <c r="AE4" i="2"/>
  <c r="F19" i="2"/>
  <c r="F20" i="2" s="1"/>
  <c r="F25" i="2"/>
  <c r="I24" i="2"/>
  <c r="I23" i="2"/>
  <c r="L15" i="2"/>
  <c r="L30" i="2"/>
  <c r="K23" i="2" l="1"/>
  <c r="K15" i="2"/>
  <c r="J23" i="2"/>
  <c r="J15" i="2"/>
  <c r="G19" i="2"/>
  <c r="G20" i="2" s="1"/>
  <c r="G25" i="2"/>
  <c r="N37" i="2"/>
  <c r="Z37" i="2" s="1"/>
  <c r="H17" i="2"/>
  <c r="H24" i="2"/>
  <c r="Q3" i="2"/>
  <c r="P31" i="2"/>
  <c r="P9" i="2"/>
  <c r="P30" i="2" s="1"/>
  <c r="AF4" i="2"/>
  <c r="AG4" i="2" s="1"/>
  <c r="AH4" i="2" s="1"/>
  <c r="AI4" i="2" s="1"/>
  <c r="L17" i="2"/>
  <c r="L24" i="2"/>
  <c r="R3" i="2" l="1"/>
  <c r="Q31" i="2"/>
  <c r="Q9" i="2"/>
  <c r="Q30" i="2" s="1"/>
  <c r="AA3" i="2"/>
  <c r="H25" i="2"/>
  <c r="H19" i="2"/>
  <c r="H20" i="2" s="1"/>
  <c r="AA16" i="2"/>
  <c r="J24" i="2"/>
  <c r="J17" i="2"/>
  <c r="K24" i="2"/>
  <c r="K17" i="2"/>
  <c r="L25" i="2"/>
  <c r="L19" i="2"/>
  <c r="L20" i="2" s="1"/>
  <c r="K19" i="2" l="1"/>
  <c r="K20" i="2" s="1"/>
  <c r="K25" i="2"/>
  <c r="J19" i="2"/>
  <c r="J20" i="2" s="1"/>
  <c r="J25" i="2"/>
  <c r="AA31" i="2"/>
  <c r="AB3" i="2"/>
  <c r="AA9" i="2"/>
  <c r="R31" i="2"/>
  <c r="R9" i="2"/>
  <c r="R30" i="2" s="1"/>
  <c r="AA11" i="2" l="1"/>
  <c r="AA10" i="2" s="1"/>
  <c r="AA13" i="2"/>
  <c r="AA14" i="2" s="1"/>
  <c r="AA15" i="2" s="1"/>
  <c r="AA17" i="2" s="1"/>
  <c r="AA30" i="2"/>
  <c r="AC3" i="2"/>
  <c r="AB9" i="2"/>
  <c r="AA18" i="2" l="1"/>
  <c r="AA19" i="2" s="1"/>
  <c r="AD3" i="2"/>
  <c r="AC9" i="2"/>
  <c r="AB11" i="2"/>
  <c r="AB13" i="2"/>
  <c r="AB14" i="2" s="1"/>
  <c r="AB30" i="2"/>
  <c r="AB15" i="2" l="1"/>
  <c r="AE3" i="2"/>
  <c r="AD9" i="2"/>
  <c r="AB10" i="2"/>
  <c r="AC30" i="2"/>
  <c r="AC11" i="2"/>
  <c r="AC13" i="2"/>
  <c r="AC14" i="2" s="1"/>
  <c r="AC10" i="2"/>
  <c r="AA20" i="2"/>
  <c r="AA37" i="2"/>
  <c r="AB16" i="2" l="1"/>
  <c r="AB17" i="2" s="1"/>
  <c r="AB18" i="2" s="1"/>
  <c r="AB19" i="2" s="1"/>
  <c r="AB20" i="2" s="1"/>
  <c r="AC15" i="2"/>
  <c r="AD30" i="2"/>
  <c r="AD11" i="2"/>
  <c r="AD10" i="2"/>
  <c r="AD13" i="2"/>
  <c r="AD14" i="2" s="1"/>
  <c r="AF3" i="2"/>
  <c r="AE9" i="2"/>
  <c r="AD15" i="2" l="1"/>
  <c r="AB37" i="2"/>
  <c r="AE30" i="2"/>
  <c r="AE13" i="2"/>
  <c r="AE14" i="2" s="1"/>
  <c r="AE11" i="2"/>
  <c r="AE15" i="2" s="1"/>
  <c r="AG3" i="2"/>
  <c r="AF9" i="2"/>
  <c r="AH3" i="2" l="1"/>
  <c r="AG9" i="2"/>
  <c r="AF30" i="2"/>
  <c r="AF11" i="2"/>
  <c r="AF13" i="2"/>
  <c r="AF14" i="2" s="1"/>
  <c r="AF10" i="2"/>
  <c r="AE10" i="2"/>
  <c r="AC16" i="2"/>
  <c r="AC17" i="2" s="1"/>
  <c r="AC18" i="2" s="1"/>
  <c r="AC19" i="2" s="1"/>
  <c r="AC20" i="2" s="1"/>
  <c r="AC37" i="2" l="1"/>
  <c r="AF15" i="2"/>
  <c r="AG30" i="2"/>
  <c r="AG13" i="2"/>
  <c r="AG14" i="2" s="1"/>
  <c r="AG11" i="2"/>
  <c r="AI3" i="2"/>
  <c r="AI9" i="2" s="1"/>
  <c r="AH9" i="2"/>
  <c r="AH30" i="2" l="1"/>
  <c r="AH13" i="2"/>
  <c r="AH14" i="2" s="1"/>
  <c r="AH11" i="2"/>
  <c r="AI13" i="2"/>
  <c r="AI14" i="2" s="1"/>
  <c r="AI30" i="2"/>
  <c r="AI11" i="2"/>
  <c r="AG10" i="2"/>
  <c r="AG15" i="2"/>
  <c r="AD16" i="2"/>
  <c r="AD17" i="2" s="1"/>
  <c r="AD18" i="2" s="1"/>
  <c r="AD19" i="2" s="1"/>
  <c r="AD20" i="2" s="1"/>
  <c r="AD37" i="2" l="1"/>
  <c r="AE16" i="2" s="1"/>
  <c r="AE17" i="2" s="1"/>
  <c r="AE18" i="2" s="1"/>
  <c r="AE19" i="2" s="1"/>
  <c r="AI10" i="2"/>
  <c r="AI15" i="2"/>
  <c r="AH10" i="2"/>
  <c r="AH15" i="2"/>
  <c r="AE37" i="2" l="1"/>
  <c r="AE20" i="2"/>
  <c r="AF16" i="2" l="1"/>
  <c r="AF17" i="2" s="1"/>
  <c r="AF18" i="2" s="1"/>
  <c r="AF19" i="2" s="1"/>
  <c r="AF20" i="2" s="1"/>
  <c r="AF37" i="2" l="1"/>
  <c r="AG16" i="2" l="1"/>
  <c r="AG17" i="2" s="1"/>
  <c r="AG18" i="2" s="1"/>
  <c r="AG19" i="2" s="1"/>
  <c r="AG20" i="2" s="1"/>
  <c r="AG37" i="2" l="1"/>
  <c r="AH16" i="2" l="1"/>
  <c r="AH17" i="2" s="1"/>
  <c r="AH18" i="2" s="1"/>
  <c r="AH19" i="2" s="1"/>
  <c r="AH37" i="2" s="1"/>
  <c r="AI16" i="2" l="1"/>
  <c r="AI17" i="2" s="1"/>
  <c r="AH20" i="2"/>
  <c r="AI18" i="2" l="1"/>
  <c r="AI19" i="2"/>
  <c r="AI37" i="2" s="1"/>
  <c r="AJ19" i="2"/>
  <c r="AI20" i="2" l="1"/>
  <c r="AK19" i="2"/>
  <c r="AL19" i="2" s="1"/>
  <c r="AM19" i="2" s="1"/>
  <c r="AN19" i="2" s="1"/>
  <c r="AO19" i="2" s="1"/>
  <c r="AP19" i="2" s="1"/>
  <c r="AQ19" i="2" s="1"/>
  <c r="AR19" i="2" s="1"/>
  <c r="AS19" i="2" s="1"/>
  <c r="AT19" i="2" s="1"/>
  <c r="AU19" i="2" s="1"/>
  <c r="AV19" i="2" s="1"/>
  <c r="AW19" i="2" s="1"/>
  <c r="AX19" i="2" s="1"/>
  <c r="AY19" i="2" s="1"/>
  <c r="AZ19" i="2" s="1"/>
  <c r="BA19" i="2" s="1"/>
  <c r="BB19" i="2" s="1"/>
  <c r="BC19" i="2" s="1"/>
  <c r="BD19" i="2" s="1"/>
  <c r="BE19" i="2" s="1"/>
  <c r="BF19" i="2" s="1"/>
  <c r="BG19" i="2" s="1"/>
  <c r="BH19" i="2" s="1"/>
  <c r="BI19" i="2" s="1"/>
  <c r="BJ19" i="2" s="1"/>
  <c r="BK19" i="2" s="1"/>
  <c r="BL19" i="2" s="1"/>
  <c r="BM19" i="2" s="1"/>
  <c r="BN19" i="2" s="1"/>
  <c r="BO19" i="2" s="1"/>
  <c r="BP19" i="2" s="1"/>
  <c r="BQ19" i="2" s="1"/>
  <c r="BR19" i="2" s="1"/>
  <c r="BS19" i="2" s="1"/>
  <c r="BT19" i="2" s="1"/>
  <c r="BU19" i="2" s="1"/>
  <c r="BV19" i="2" s="1"/>
  <c r="BW19" i="2" s="1"/>
  <c r="BX19" i="2" s="1"/>
  <c r="BY19" i="2" s="1"/>
  <c r="BZ19" i="2" s="1"/>
  <c r="CA19" i="2" s="1"/>
  <c r="CB19" i="2" s="1"/>
  <c r="CC19" i="2" s="1"/>
  <c r="CD19" i="2" s="1"/>
  <c r="CE19" i="2" s="1"/>
  <c r="CF19" i="2" s="1"/>
  <c r="CG19" i="2" s="1"/>
  <c r="CH19" i="2" s="1"/>
  <c r="CI19" i="2" s="1"/>
  <c r="CJ19" i="2" s="1"/>
  <c r="CK19" i="2" s="1"/>
  <c r="CL19" i="2" s="1"/>
  <c r="CM19" i="2" s="1"/>
  <c r="CN19" i="2" s="1"/>
  <c r="CO19" i="2" s="1"/>
  <c r="CP19" i="2" s="1"/>
  <c r="CQ19" i="2" s="1"/>
  <c r="CR19" i="2" s="1"/>
  <c r="CS19" i="2" s="1"/>
  <c r="CT19" i="2" s="1"/>
  <c r="CU19" i="2" s="1"/>
  <c r="CV19" i="2" s="1"/>
  <c r="CW19" i="2" s="1"/>
  <c r="AL26" i="2" l="1"/>
  <c r="AL27" i="2" s="1"/>
  <c r="AL28" i="2" s="1"/>
</calcChain>
</file>

<file path=xl/comments1.xml><?xml version="1.0" encoding="utf-8"?>
<comments xmlns="http://schemas.openxmlformats.org/spreadsheetml/2006/main">
  <authors>
    <author>Martin Shkreli</author>
  </authors>
  <commentList>
    <comment ref="AB3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Two generic entrants</t>
        </r>
      </text>
    </comment>
  </commentList>
</comments>
</file>

<file path=xl/sharedStrings.xml><?xml version="1.0" encoding="utf-8"?>
<sst xmlns="http://schemas.openxmlformats.org/spreadsheetml/2006/main" count="163" uniqueCount="114">
  <si>
    <t>Price</t>
  </si>
  <si>
    <t>Shares</t>
  </si>
  <si>
    <t>MC</t>
  </si>
  <si>
    <t>Cash</t>
  </si>
  <si>
    <t>Debt</t>
  </si>
  <si>
    <t>EV</t>
  </si>
  <si>
    <t>Brand</t>
  </si>
  <si>
    <t>Generic</t>
  </si>
  <si>
    <t>Remodulin</t>
  </si>
  <si>
    <t>Tyvaso</t>
  </si>
  <si>
    <t>Adcirca</t>
  </si>
  <si>
    <t>Orenitram</t>
  </si>
  <si>
    <t>Unituxin</t>
  </si>
  <si>
    <t>Indication</t>
  </si>
  <si>
    <t>PAH</t>
  </si>
  <si>
    <t>Main</t>
  </si>
  <si>
    <t>Q114</t>
  </si>
  <si>
    <t>Q214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</si>
  <si>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</si>
  <si>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</si>
  <si>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</si>
  <si>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</si>
  <si>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</si>
  <si>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</si>
  <si>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</si>
  <si>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</si>
  <si>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</si>
  <si>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</si>
  <si>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Revenue</t>
  </si>
  <si>
    <t>Q117</t>
  </si>
  <si>
    <t>Q217</t>
  </si>
  <si>
    <t>Q317</t>
  </si>
  <si>
    <t>Q417</t>
  </si>
  <si>
    <t>Other</t>
  </si>
  <si>
    <t>Revenue Growth</t>
  </si>
  <si>
    <t>Gross Margin</t>
  </si>
  <si>
    <t>COGS</t>
  </si>
  <si>
    <t>R&amp;D</t>
  </si>
  <si>
    <t>SG&amp;A</t>
  </si>
  <si>
    <t>Operating Margin</t>
  </si>
  <si>
    <t>Operating Profit</t>
  </si>
  <si>
    <t>Interest Income</t>
  </si>
  <si>
    <t>Tax Rate</t>
  </si>
  <si>
    <t>Pretax Income</t>
  </si>
  <si>
    <t>Taxes</t>
  </si>
  <si>
    <t>Net Income</t>
  </si>
  <si>
    <t>Operating Costs</t>
  </si>
  <si>
    <t>EPS</t>
  </si>
  <si>
    <t>IP</t>
  </si>
  <si>
    <t>Approved</t>
  </si>
  <si>
    <t>Admin</t>
  </si>
  <si>
    <t>IV</t>
  </si>
  <si>
    <t>treprostinil</t>
  </si>
  <si>
    <t>MOA</t>
  </si>
  <si>
    <t>Prostacyclin</t>
  </si>
  <si>
    <t>Brand Name</t>
  </si>
  <si>
    <t>Generic Name</t>
  </si>
  <si>
    <t>6765117</t>
  </si>
  <si>
    <t>7999007</t>
  </si>
  <si>
    <t>8497393</t>
  </si>
  <si>
    <t>8653137</t>
  </si>
  <si>
    <t>8658694</t>
  </si>
  <si>
    <t>9199908</t>
  </si>
  <si>
    <t>Economics</t>
  </si>
  <si>
    <t>History</t>
  </si>
  <si>
    <t>Chiral synthesis</t>
  </si>
  <si>
    <t>Solution patent</t>
  </si>
  <si>
    <t>Intermediate patent</t>
  </si>
  <si>
    <t>Method of use</t>
  </si>
  <si>
    <t>Two P4 challenges: 12/7/2012, 12/2/2011</t>
  </si>
  <si>
    <t>Sandoz and Teva generics in 2018 according to settlement.</t>
  </si>
  <si>
    <t>Inhaled</t>
  </si>
  <si>
    <t>Oral</t>
  </si>
  <si>
    <t>tadalafil</t>
  </si>
  <si>
    <t>PDE5</t>
  </si>
  <si>
    <t>Teva, Sandoz generic settlement in 2018</t>
  </si>
  <si>
    <t>Abandoned GSK drug licensed in 1997 - COM patent and royalty obligations expired in 2014</t>
  </si>
  <si>
    <t>Administration</t>
  </si>
  <si>
    <t>6521212</t>
  </si>
  <si>
    <t>6756033</t>
  </si>
  <si>
    <t>9339507</t>
  </si>
  <si>
    <t>9358240</t>
  </si>
  <si>
    <t>Competition</t>
  </si>
  <si>
    <t>10/15/2009 P4</t>
  </si>
  <si>
    <t>Discount</t>
  </si>
  <si>
    <t>NPV</t>
  </si>
  <si>
    <t>Maturity</t>
  </si>
  <si>
    <t>Net Cash</t>
  </si>
  <si>
    <t>AR</t>
  </si>
  <si>
    <t>Inventories</t>
  </si>
  <si>
    <t>OCA</t>
  </si>
  <si>
    <t>PP&amp;E</t>
  </si>
  <si>
    <t>D/T</t>
  </si>
  <si>
    <t>OA</t>
  </si>
  <si>
    <t>Assets</t>
  </si>
  <si>
    <t>Goodwill</t>
  </si>
  <si>
    <t>AP</t>
  </si>
  <si>
    <t>SBC</t>
  </si>
  <si>
    <t>OCL</t>
  </si>
  <si>
    <t>OLTL</t>
  </si>
  <si>
    <t>SE</t>
  </si>
  <si>
    <t>L+SE</t>
  </si>
  <si>
    <t>ROIC</t>
  </si>
  <si>
    <t>Conservative.</t>
  </si>
  <si>
    <t>Fair?</t>
  </si>
  <si>
    <t>Who knows?</t>
  </si>
  <si>
    <t>Share</t>
  </si>
  <si>
    <t>Upside</t>
  </si>
  <si>
    <t>Actavis ANDA</t>
  </si>
  <si>
    <t>Teva ANDA</t>
  </si>
  <si>
    <t>esuberaprost</t>
  </si>
  <si>
    <t>Phase</t>
  </si>
  <si>
    <t>III</t>
  </si>
  <si>
    <t>Patent Expiry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</si>
</sst>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0" fontId="2" fillId="0" borderId="0" xfId="1"/>
    <xf numFmtId="4" fontId="0" fillId="0" borderId="0" xfId="0" applyNumberFormat="1" applyAlignment="1">
      <alignment horizontal="right"/>
    </xf>
    <xf numFmtId="14" fontId="0" fillId="0" borderId="0" xfId="0" applyNumberFormat="1" applyBorder="1" applyAlignment="1">
      <alignment horizontal="center"/>
    </xf>
    <xf numFmtId="0" fontId="0" fillId="0" borderId="0" xfId="0" quotePrefix="1"/>
    <xf numFmtId="14" fontId="0" fillId="0" borderId="0" xfId="0" applyNumberFormat="1"/>
    <xf numFmtId="9" fontId="0" fillId="0" borderId="0" xfId="0" applyNumberFormat="1"/>
    <xf numFmtId="9" fontId="1" fillId="0" borderId="0" xfId="0" applyNumberFormat="1" applyFont="1"/>
    <xf numFmtId="9" fontId="0" fillId="0" borderId="0" xfId="0" applyNumberFormat="1" applyBorder="1" applyAlignment="1">
      <alignment horizontal="center"/>
    </xf>
    <xf numFmtId="4" fontId="0" fillId="0" borderId="0" xfId="0" applyNumberFormat="1"/>
    <xf numFmtId="0" fontId="5" fillId="0" borderId="0" xfId="0" applyFont="1" applyAlignment="1">
      <alignment horizontal="right"/>
    </xf>
    <xf numFmtId="0" fontId="0" fillId="0" borderId="2" xfId="0" applyBorder="1" applyAlignment="1">
      <alignment horizontal="right"/>
    </xf>
    <xf numFmtId="0" fontId="0" fillId="0" borderId="5" xfId="0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0</xdr:row>
      <xdr:rowOff>0</xdr:rowOff>
    </xdr:from>
    <xdr:to>
      <xdr:col>12</xdr:col>
      <xdr:colOff>76200</xdr:colOff>
      <xdr:row>72</xdr:row>
      <xdr:rowOff>142875</xdr:rowOff>
    </xdr:to>
    <xdr:cxnSp macro="">
      <xdr:nvCxnSpPr>
        <xdr:cNvPr id="3" name="Straight Connector 2"/>
        <xdr:cNvCxnSpPr/>
      </xdr:nvCxnSpPr>
      <xdr:spPr>
        <a:xfrm>
          <a:off x="7591425" y="0"/>
          <a:ext cx="0" cy="13096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0</xdr:row>
      <xdr:rowOff>0</xdr:rowOff>
    </xdr:from>
    <xdr:to>
      <xdr:col>25</xdr:col>
      <xdr:colOff>9525</xdr:colOff>
      <xdr:row>43</xdr:row>
      <xdr:rowOff>57150</xdr:rowOff>
    </xdr:to>
    <xdr:cxnSp macro="">
      <xdr:nvCxnSpPr>
        <xdr:cNvPr id="4" name="Straight Connector 3"/>
        <xdr:cNvCxnSpPr/>
      </xdr:nvCxnSpPr>
      <xdr:spPr>
        <a:xfrm>
          <a:off x="15449550" y="0"/>
          <a:ext cx="0" cy="83153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3"/>
  <sheetViews>
    <sheetView workbookViewId="0">
      <selection activeCell="F10" sqref="F10"/>
    </sheetView>
  </sheetViews>
  <sheetFormatPr defaultRowHeight="12.75" x14ac:dyDescent="0.2"/>
  <cols>
    <col min="1" max="1" width="3.42578125" customWidth="1"/>
    <col min="2" max="2" width="11.28515625" customWidth="1"/>
    <col min="3" max="3" width="11.42578125" customWidth="1"/>
    <col min="5" max="5" width="12" customWidth="1"/>
    <col min="6" max="6" width="8" customWidth="1"/>
    <col min="7" max="7" width="11.28515625" bestFit="1" customWidth="1"/>
    <col min="8" max="8" width="10.28515625" bestFit="1" customWidth="1"/>
    <col min="9" max="9" width="10.85546875" bestFit="1" customWidth="1"/>
  </cols>
  <sheetData>
    <row r="2" spans="2:16" x14ac:dyDescent="0.2">
      <c r="B2" s="3" t="s">
        <v>6</v>
      </c>
      <c r="C2" s="4" t="s">
        <v>7</v>
      </c>
      <c r="D2" s="4" t="s">
        <v>13</v>
      </c>
      <c r="E2" s="4" t="s">
        <v>49</v>
      </c>
      <c r="F2" s="4" t="s">
        <v>50</v>
      </c>
      <c r="G2" s="4" t="s">
        <v>53</v>
      </c>
      <c r="H2" s="4" t="s">
        <v>63</v>
      </c>
      <c r="I2" s="4" t="s">
        <v>82</v>
      </c>
      <c r="J2" s="5" t="s">
        <v>48</v>
      </c>
      <c r="N2" t="s">
        <v>0</v>
      </c>
      <c r="O2">
        <v>121.91</v>
      </c>
    </row>
    <row r="3" spans="2:16" x14ac:dyDescent="0.2">
      <c r="B3" s="1" t="s">
        <v>8</v>
      </c>
      <c r="C3" s="6" t="s">
        <v>52</v>
      </c>
      <c r="D3" s="6" t="s">
        <v>14</v>
      </c>
      <c r="E3" s="22">
        <v>37397</v>
      </c>
      <c r="F3" s="6" t="s">
        <v>51</v>
      </c>
      <c r="G3" s="6" t="s">
        <v>54</v>
      </c>
      <c r="H3" s="27">
        <v>1</v>
      </c>
      <c r="I3" s="27"/>
      <c r="J3" s="30" t="s">
        <v>75</v>
      </c>
      <c r="N3" t="s">
        <v>1</v>
      </c>
      <c r="O3" s="14">
        <v>43.466999999999999</v>
      </c>
      <c r="P3" s="11" t="s">
        <v>25</v>
      </c>
    </row>
    <row r="4" spans="2:16" x14ac:dyDescent="0.2">
      <c r="B4" s="1" t="s">
        <v>9</v>
      </c>
      <c r="C4" s="6" t="s">
        <v>52</v>
      </c>
      <c r="D4" s="6" t="s">
        <v>14</v>
      </c>
      <c r="E4" s="6"/>
      <c r="F4" s="6" t="s">
        <v>71</v>
      </c>
      <c r="G4" s="6" t="s">
        <v>54</v>
      </c>
      <c r="H4" s="27">
        <v>1</v>
      </c>
      <c r="I4" s="27"/>
      <c r="J4" s="30" t="s">
        <v>109</v>
      </c>
      <c r="N4" t="s">
        <v>2</v>
      </c>
      <c r="O4" s="14">
        <f>+O2*O3</f>
        <v>5299.0619699999997</v>
      </c>
      <c r="P4" s="11"/>
    </row>
    <row r="5" spans="2:16" x14ac:dyDescent="0.2">
      <c r="B5" s="1" t="s">
        <v>10</v>
      </c>
      <c r="C5" s="6" t="s">
        <v>73</v>
      </c>
      <c r="D5" s="8" t="s">
        <v>14</v>
      </c>
      <c r="E5" s="22">
        <v>39955</v>
      </c>
      <c r="F5" s="6" t="s">
        <v>72</v>
      </c>
      <c r="G5" s="6" t="s">
        <v>74</v>
      </c>
      <c r="H5" s="6"/>
      <c r="I5" s="6"/>
      <c r="J5" s="30" t="s">
        <v>83</v>
      </c>
      <c r="N5" t="s">
        <v>3</v>
      </c>
      <c r="O5" s="14">
        <f>837.5+107.2+3.9</f>
        <v>948.6</v>
      </c>
      <c r="P5" s="11" t="s">
        <v>25</v>
      </c>
    </row>
    <row r="6" spans="2:16" x14ac:dyDescent="0.2">
      <c r="B6" s="1" t="s">
        <v>11</v>
      </c>
      <c r="C6" s="6" t="s">
        <v>52</v>
      </c>
      <c r="D6" s="8" t="s">
        <v>14</v>
      </c>
      <c r="E6" s="6"/>
      <c r="F6" s="6" t="s">
        <v>72</v>
      </c>
      <c r="G6" s="6" t="s">
        <v>54</v>
      </c>
      <c r="H6" s="27">
        <v>1</v>
      </c>
      <c r="I6" s="27"/>
      <c r="J6" s="30" t="s">
        <v>108</v>
      </c>
      <c r="N6" t="s">
        <v>4</v>
      </c>
      <c r="O6" s="14">
        <v>0.9</v>
      </c>
      <c r="P6" s="11" t="s">
        <v>25</v>
      </c>
    </row>
    <row r="7" spans="2:16" x14ac:dyDescent="0.2">
      <c r="B7" s="2" t="s">
        <v>12</v>
      </c>
      <c r="C7" s="9"/>
      <c r="D7" s="9"/>
      <c r="E7" s="9"/>
      <c r="F7" s="9"/>
      <c r="G7" s="9"/>
      <c r="H7" s="9"/>
      <c r="I7" s="9"/>
      <c r="J7" s="31"/>
      <c r="N7" t="s">
        <v>5</v>
      </c>
      <c r="O7" s="14">
        <f>+O4-O5+O6</f>
        <v>4351.361969999999</v>
      </c>
    </row>
    <row r="8" spans="2:16" x14ac:dyDescent="0.2">
      <c r="B8" s="3"/>
      <c r="C8" s="4"/>
      <c r="D8" s="4"/>
      <c r="E8" s="4" t="s">
        <v>111</v>
      </c>
      <c r="F8" s="4"/>
      <c r="G8" s="4"/>
      <c r="H8" s="4"/>
      <c r="I8" s="4"/>
      <c r="J8" s="5"/>
    </row>
    <row r="9" spans="2:16" x14ac:dyDescent="0.2">
      <c r="B9" s="1"/>
      <c r="C9" s="6" t="s">
        <v>110</v>
      </c>
      <c r="D9" s="6" t="s">
        <v>14</v>
      </c>
      <c r="E9" s="6" t="s">
        <v>112</v>
      </c>
      <c r="F9" s="6"/>
      <c r="G9" s="6"/>
      <c r="H9" s="6"/>
      <c r="I9" s="6"/>
      <c r="J9" s="7"/>
    </row>
    <row r="10" spans="2:16" x14ac:dyDescent="0.2">
      <c r="B10" s="1"/>
      <c r="C10" s="6"/>
      <c r="D10" s="6"/>
      <c r="E10" s="6"/>
      <c r="F10" s="6"/>
      <c r="G10" s="6"/>
      <c r="H10" s="6"/>
      <c r="I10" s="6"/>
      <c r="J10" s="7"/>
    </row>
    <row r="11" spans="2:16" x14ac:dyDescent="0.2">
      <c r="B11" s="1"/>
      <c r="C11" s="6"/>
      <c r="D11" s="6"/>
      <c r="E11" s="6"/>
      <c r="F11" s="6"/>
      <c r="G11" s="6"/>
      <c r="H11" s="6"/>
      <c r="I11" s="6"/>
      <c r="J11" s="7"/>
    </row>
    <row r="12" spans="2:16" x14ac:dyDescent="0.2">
      <c r="B12" s="1"/>
      <c r="C12" s="6"/>
      <c r="D12" s="6"/>
      <c r="E12" s="6"/>
      <c r="F12" s="6"/>
      <c r="G12" s="6"/>
      <c r="H12" s="6"/>
      <c r="I12" s="6"/>
      <c r="J12" s="7"/>
    </row>
    <row r="13" spans="2:16" x14ac:dyDescent="0.2">
      <c r="B13" s="2"/>
      <c r="C13" s="9"/>
      <c r="D13" s="9"/>
      <c r="E13" s="9"/>
      <c r="F13" s="9"/>
      <c r="G13" s="9"/>
      <c r="H13" s="9"/>
      <c r="I13" s="9"/>
      <c r="J13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W54"/>
  <sheetViews>
    <sheetView tabSelected="1" workbookViewId="0">
      <pane xSplit="2" ySplit="2" topLeftCell="Z6" activePane="bottomRight" state="frozen"/>
      <selection pane="topRight" activeCell="C1" sqref="C1"/>
      <selection pane="bottomLeft" activeCell="A3" sqref="A3"/>
      <selection pane="bottomRight" activeCell="AN26" sqref="AN26"/>
    </sheetView>
  </sheetViews>
  <sheetFormatPr defaultRowHeight="12.75" x14ac:dyDescent="0.2"/>
  <cols>
    <col min="1" max="1" width="5" bestFit="1" customWidth="1"/>
    <col min="2" max="2" width="16.28515625" bestFit="1" customWidth="1"/>
    <col min="3" max="16" width="9.140625" style="11"/>
    <col min="38" max="38" width="8.28515625" customWidth="1"/>
  </cols>
  <sheetData>
    <row r="1" spans="1:40" x14ac:dyDescent="0.2">
      <c r="A1" s="20" t="s">
        <v>15</v>
      </c>
    </row>
    <row r="2" spans="1:40" x14ac:dyDescent="0.2">
      <c r="C2" s="11" t="s">
        <v>16</v>
      </c>
      <c r="D2" s="11" t="s">
        <v>17</v>
      </c>
      <c r="E2" s="11" t="s">
        <v>18</v>
      </c>
      <c r="F2" s="11" t="s">
        <v>19</v>
      </c>
      <c r="G2" s="11" t="s">
        <v>20</v>
      </c>
      <c r="H2" s="11" t="s">
        <v>21</v>
      </c>
      <c r="I2" s="11" t="s">
        <v>22</v>
      </c>
      <c r="J2" s="11" t="s">
        <v>23</v>
      </c>
      <c r="K2" s="11" t="s">
        <v>24</v>
      </c>
      <c r="L2" s="11" t="s">
        <v>25</v>
      </c>
      <c r="M2" s="11" t="s">
        <v>26</v>
      </c>
      <c r="N2" s="11" t="s">
        <v>27</v>
      </c>
      <c r="O2" s="11" t="s">
        <v>29</v>
      </c>
      <c r="P2" s="11" t="s">
        <v>30</v>
      </c>
      <c r="Q2" s="11" t="s">
        <v>31</v>
      </c>
      <c r="R2" s="11" t="s">
        <v>32</v>
      </c>
      <c r="T2">
        <v>2010</v>
      </c>
      <c r="U2">
        <f>+T2+1</f>
        <v>2011</v>
      </c>
      <c r="V2">
        <f t="shared" ref="V2:AN2" si="0">+U2+1</f>
        <v>2012</v>
      </c>
      <c r="W2">
        <f t="shared" si="0"/>
        <v>2013</v>
      </c>
      <c r="X2">
        <f t="shared" si="0"/>
        <v>2014</v>
      </c>
      <c r="Y2">
        <f t="shared" si="0"/>
        <v>2015</v>
      </c>
      <c r="Z2">
        <f t="shared" si="0"/>
        <v>2016</v>
      </c>
      <c r="AA2">
        <f t="shared" si="0"/>
        <v>2017</v>
      </c>
      <c r="AB2">
        <f t="shared" si="0"/>
        <v>2018</v>
      </c>
      <c r="AC2">
        <f t="shared" si="0"/>
        <v>2019</v>
      </c>
      <c r="AD2">
        <f t="shared" si="0"/>
        <v>2020</v>
      </c>
      <c r="AE2">
        <f t="shared" si="0"/>
        <v>2021</v>
      </c>
      <c r="AF2">
        <f t="shared" si="0"/>
        <v>2022</v>
      </c>
      <c r="AG2">
        <f t="shared" si="0"/>
        <v>2023</v>
      </c>
      <c r="AH2">
        <f t="shared" si="0"/>
        <v>2024</v>
      </c>
      <c r="AI2">
        <f t="shared" si="0"/>
        <v>2025</v>
      </c>
      <c r="AJ2">
        <f t="shared" si="0"/>
        <v>2026</v>
      </c>
      <c r="AK2">
        <f t="shared" si="0"/>
        <v>2027</v>
      </c>
      <c r="AL2">
        <f t="shared" si="0"/>
        <v>2028</v>
      </c>
      <c r="AM2">
        <f t="shared" si="0"/>
        <v>2029</v>
      </c>
      <c r="AN2">
        <f t="shared" si="0"/>
        <v>2030</v>
      </c>
    </row>
    <row r="3" spans="1:40" s="14" customFormat="1" x14ac:dyDescent="0.2">
      <c r="B3" s="14" t="s">
        <v>8</v>
      </c>
      <c r="C3" s="15"/>
      <c r="D3" s="15"/>
      <c r="E3" s="15">
        <v>142.87700000000001</v>
      </c>
      <c r="F3" s="15">
        <v>136.59100000000001</v>
      </c>
      <c r="G3" s="15">
        <v>146.30000000000001</v>
      </c>
      <c r="H3" s="15">
        <v>135.9</v>
      </c>
      <c r="I3" s="15">
        <v>150.07499999999999</v>
      </c>
      <c r="J3" s="15">
        <v>140.482</v>
      </c>
      <c r="K3" s="15">
        <v>139.80000000000001</v>
      </c>
      <c r="L3" s="15">
        <v>158.9</v>
      </c>
      <c r="M3" s="15">
        <f>+L3</f>
        <v>158.9</v>
      </c>
      <c r="N3" s="15">
        <f t="shared" ref="N3:R3" si="1">+M3</f>
        <v>158.9</v>
      </c>
      <c r="O3" s="15">
        <f t="shared" si="1"/>
        <v>158.9</v>
      </c>
      <c r="P3" s="15">
        <f t="shared" si="1"/>
        <v>158.9</v>
      </c>
      <c r="Q3" s="15">
        <f t="shared" si="1"/>
        <v>158.9</v>
      </c>
      <c r="R3" s="15">
        <f t="shared" si="1"/>
        <v>158.9</v>
      </c>
      <c r="S3" s="25"/>
      <c r="W3" s="14">
        <v>491.17899999999997</v>
      </c>
      <c r="X3" s="14">
        <v>553.72799999999995</v>
      </c>
      <c r="Y3" s="14">
        <f>SUM(G3:J3)</f>
        <v>572.75700000000006</v>
      </c>
      <c r="Z3" s="14">
        <f>SUM(K3:N3)</f>
        <v>616.5</v>
      </c>
      <c r="AA3" s="14">
        <f>SUM(O3:R3)</f>
        <v>635.6</v>
      </c>
      <c r="AB3" s="14">
        <f>+AA3*0.9</f>
        <v>572.04000000000008</v>
      </c>
      <c r="AC3" s="14">
        <f>+AB3*0.5</f>
        <v>286.02000000000004</v>
      </c>
      <c r="AD3" s="14">
        <f t="shared" ref="AD3:AI3" si="2">+AC3*0.5</f>
        <v>143.01000000000002</v>
      </c>
      <c r="AE3" s="14">
        <f t="shared" si="2"/>
        <v>71.50500000000001</v>
      </c>
      <c r="AF3" s="14">
        <f t="shared" si="2"/>
        <v>35.752500000000005</v>
      </c>
      <c r="AG3" s="14">
        <f t="shared" si="2"/>
        <v>17.876250000000002</v>
      </c>
      <c r="AH3" s="14">
        <f t="shared" si="2"/>
        <v>8.9381250000000012</v>
      </c>
      <c r="AI3" s="14">
        <f t="shared" si="2"/>
        <v>4.4690625000000006</v>
      </c>
      <c r="AK3" s="14" t="s">
        <v>103</v>
      </c>
    </row>
    <row r="4" spans="1:40" s="14" customFormat="1" x14ac:dyDescent="0.2">
      <c r="B4" s="14" t="s">
        <v>9</v>
      </c>
      <c r="C4" s="15"/>
      <c r="D4" s="15"/>
      <c r="E4" s="15">
        <v>119.685</v>
      </c>
      <c r="F4" s="15">
        <v>115.07</v>
      </c>
      <c r="G4" s="15">
        <v>113.4</v>
      </c>
      <c r="H4" s="15">
        <v>115.8</v>
      </c>
      <c r="I4" s="15">
        <v>121.718</v>
      </c>
      <c r="J4" s="15">
        <v>119.13</v>
      </c>
      <c r="K4" s="15">
        <v>102.2</v>
      </c>
      <c r="L4" s="15">
        <v>107</v>
      </c>
      <c r="M4" s="15">
        <f>+I4*0.9</f>
        <v>109.5462</v>
      </c>
      <c r="N4" s="15">
        <f t="shared" ref="N4:R4" si="3">+J4*0.9</f>
        <v>107.217</v>
      </c>
      <c r="O4" s="15">
        <f t="shared" si="3"/>
        <v>91.98</v>
      </c>
      <c r="P4" s="15">
        <f t="shared" si="3"/>
        <v>96.3</v>
      </c>
      <c r="Q4" s="15">
        <f t="shared" si="3"/>
        <v>98.591580000000008</v>
      </c>
      <c r="R4" s="15">
        <f t="shared" si="3"/>
        <v>96.4953</v>
      </c>
      <c r="W4" s="14">
        <v>438.79300000000001</v>
      </c>
      <c r="X4" s="14">
        <v>463.06700000000001</v>
      </c>
      <c r="Y4" s="14">
        <f t="shared" ref="Y4:Y13" si="4">SUM(G4:J4)</f>
        <v>470.048</v>
      </c>
      <c r="Z4" s="14">
        <f>SUM(K4:N4)</f>
        <v>425.96319999999997</v>
      </c>
      <c r="AA4" s="14">
        <f>+Z4*0.95</f>
        <v>404.66503999999998</v>
      </c>
      <c r="AB4" s="14">
        <f t="shared" ref="AB4:AF4" si="5">+AA4*0.95</f>
        <v>384.43178799999998</v>
      </c>
      <c r="AC4" s="14">
        <f t="shared" si="5"/>
        <v>365.21019859999996</v>
      </c>
      <c r="AD4" s="14">
        <f t="shared" si="5"/>
        <v>346.94968866999994</v>
      </c>
      <c r="AE4" s="14">
        <f t="shared" si="5"/>
        <v>329.60220423649992</v>
      </c>
      <c r="AF4" s="14">
        <f t="shared" si="5"/>
        <v>313.12209402467488</v>
      </c>
      <c r="AG4" s="14">
        <f>+AF4*0.5</f>
        <v>156.56104701233744</v>
      </c>
      <c r="AH4" s="14">
        <f t="shared" ref="AH4:AI4" si="6">+AG4*0.5</f>
        <v>78.28052350616872</v>
      </c>
      <c r="AI4" s="14">
        <f t="shared" si="6"/>
        <v>39.14026175308436</v>
      </c>
      <c r="AK4" s="14" t="s">
        <v>104</v>
      </c>
    </row>
    <row r="5" spans="1:40" s="14" customFormat="1" x14ac:dyDescent="0.2">
      <c r="B5" s="14" t="s">
        <v>10</v>
      </c>
      <c r="C5" s="15"/>
      <c r="D5" s="15"/>
      <c r="E5" s="15">
        <v>51.247</v>
      </c>
      <c r="F5" s="15">
        <v>73.545000000000002</v>
      </c>
      <c r="G5" s="15">
        <v>45.3</v>
      </c>
      <c r="H5" s="15">
        <v>68.2</v>
      </c>
      <c r="I5" s="15">
        <v>73.796999999999997</v>
      </c>
      <c r="J5" s="15">
        <v>91.581000000000003</v>
      </c>
      <c r="K5" s="15">
        <v>72.599999999999994</v>
      </c>
      <c r="L5" s="15">
        <v>90.9</v>
      </c>
      <c r="M5" s="15">
        <f>+I5*1.05</f>
        <v>77.486850000000004</v>
      </c>
      <c r="N5" s="15">
        <f t="shared" ref="N5" si="7">+J5*1.05</f>
        <v>96.160050000000012</v>
      </c>
      <c r="O5" s="15">
        <f t="shared" ref="O5" si="8">+K5*1.05</f>
        <v>76.23</v>
      </c>
      <c r="P5" s="15">
        <f t="shared" ref="P5" si="9">+L5*1.05</f>
        <v>95.445000000000007</v>
      </c>
      <c r="Q5" s="15">
        <f t="shared" ref="Q5" si="10">+M5*1.05</f>
        <v>81.361192500000001</v>
      </c>
      <c r="R5" s="15">
        <f t="shared" ref="R5" si="11">+N5*1.05</f>
        <v>100.96805250000001</v>
      </c>
      <c r="W5" s="14">
        <v>176.97200000000001</v>
      </c>
      <c r="X5" s="14">
        <v>221.471</v>
      </c>
      <c r="Y5" s="14">
        <f>SUM(G5:J5)</f>
        <v>278.87799999999999</v>
      </c>
      <c r="Z5" s="14">
        <f>SUM(K5:N5)</f>
        <v>337.14690000000002</v>
      </c>
      <c r="AA5" s="14">
        <f>+Z5*1.05</f>
        <v>354.00424500000003</v>
      </c>
      <c r="AB5" s="14">
        <f>+AA5*0.5</f>
        <v>177.00212250000001</v>
      </c>
      <c r="AC5" s="14">
        <f t="shared" ref="AC5:AI5" si="12">+AB5*0.5</f>
        <v>88.501061250000006</v>
      </c>
      <c r="AD5" s="14">
        <f t="shared" si="12"/>
        <v>44.250530625000003</v>
      </c>
      <c r="AE5" s="14">
        <f t="shared" si="12"/>
        <v>22.125265312500002</v>
      </c>
      <c r="AF5" s="14">
        <f t="shared" si="12"/>
        <v>11.062632656250001</v>
      </c>
      <c r="AG5" s="14">
        <f t="shared" si="12"/>
        <v>5.5313163281250004</v>
      </c>
      <c r="AH5" s="14">
        <f t="shared" si="12"/>
        <v>2.7656581640625002</v>
      </c>
      <c r="AI5" s="14">
        <f t="shared" si="12"/>
        <v>1.3828290820312501</v>
      </c>
      <c r="AK5" s="14" t="s">
        <v>104</v>
      </c>
    </row>
    <row r="6" spans="1:40" s="14" customFormat="1" x14ac:dyDescent="0.2">
      <c r="B6" s="14" t="s">
        <v>11</v>
      </c>
      <c r="C6" s="15"/>
      <c r="D6" s="15"/>
      <c r="E6" s="15">
        <v>14.46</v>
      </c>
      <c r="F6" s="15">
        <v>20.175000000000001</v>
      </c>
      <c r="G6" s="15">
        <v>20.9</v>
      </c>
      <c r="H6" s="15">
        <v>25.9</v>
      </c>
      <c r="I6" s="15">
        <v>34.389000000000003</v>
      </c>
      <c r="J6" s="15">
        <v>37.289000000000001</v>
      </c>
      <c r="K6" s="15">
        <v>40.200000000000003</v>
      </c>
      <c r="L6" s="15">
        <v>38</v>
      </c>
      <c r="M6" s="15">
        <f>+I6*1.3</f>
        <v>44.705700000000007</v>
      </c>
      <c r="N6" s="15">
        <f t="shared" ref="N6:R6" si="13">+J6*1.3</f>
        <v>48.475700000000003</v>
      </c>
      <c r="O6" s="15">
        <f t="shared" si="13"/>
        <v>52.260000000000005</v>
      </c>
      <c r="P6" s="15">
        <f t="shared" si="13"/>
        <v>49.4</v>
      </c>
      <c r="Q6" s="15">
        <f t="shared" si="13"/>
        <v>58.117410000000014</v>
      </c>
      <c r="R6" s="15">
        <f t="shared" si="13"/>
        <v>63.01841000000001</v>
      </c>
      <c r="W6" s="14">
        <v>0</v>
      </c>
      <c r="X6" s="14">
        <v>41.267000000000003</v>
      </c>
      <c r="Y6" s="14">
        <f t="shared" si="4"/>
        <v>118.47799999999999</v>
      </c>
      <c r="Z6" s="14">
        <f t="shared" ref="Z6:Z8" si="14">SUM(K6:N6)</f>
        <v>171.38140000000001</v>
      </c>
      <c r="AA6" s="14">
        <f>+Z6*1.3</f>
        <v>222.79582000000002</v>
      </c>
      <c r="AB6" s="14">
        <f t="shared" ref="AB6" si="15">+AA6*1.3</f>
        <v>289.63456600000006</v>
      </c>
      <c r="AC6" s="14">
        <f>+AB6*1.05</f>
        <v>304.11629430000011</v>
      </c>
      <c r="AD6" s="14">
        <f t="shared" ref="AD6:AF6" si="16">+AC6*1.05</f>
        <v>319.32210901500014</v>
      </c>
      <c r="AE6" s="14">
        <f t="shared" si="16"/>
        <v>335.28821446575017</v>
      </c>
      <c r="AF6" s="14">
        <f t="shared" si="16"/>
        <v>352.05262518903771</v>
      </c>
      <c r="AG6" s="14">
        <f>+AF6*0.5</f>
        <v>176.02631259451886</v>
      </c>
      <c r="AH6" s="14">
        <f t="shared" ref="AH6:AI6" si="17">+AG6*0.5</f>
        <v>88.013156297259428</v>
      </c>
      <c r="AI6" s="14">
        <f t="shared" si="17"/>
        <v>44.006578148629714</v>
      </c>
      <c r="AK6" s="14" t="s">
        <v>103</v>
      </c>
    </row>
    <row r="7" spans="1:40" s="14" customFormat="1" x14ac:dyDescent="0.2">
      <c r="B7" s="14" t="s">
        <v>12</v>
      </c>
      <c r="C7" s="15"/>
      <c r="D7" s="15"/>
      <c r="E7" s="15">
        <v>0</v>
      </c>
      <c r="F7" s="15">
        <v>0</v>
      </c>
      <c r="G7" s="15">
        <v>0</v>
      </c>
      <c r="H7" s="15">
        <v>0</v>
      </c>
      <c r="I7" s="15">
        <v>4.7290000000000001</v>
      </c>
      <c r="J7" s="15">
        <v>15.714</v>
      </c>
      <c r="K7" s="15">
        <v>14.2</v>
      </c>
      <c r="L7" s="15">
        <v>17.8</v>
      </c>
      <c r="M7" s="15">
        <f>+L7+1</f>
        <v>18.8</v>
      </c>
      <c r="N7" s="15">
        <f t="shared" ref="N7:R7" si="18">+M7+1</f>
        <v>19.8</v>
      </c>
      <c r="O7" s="15">
        <f t="shared" si="18"/>
        <v>20.8</v>
      </c>
      <c r="P7" s="15">
        <f t="shared" si="18"/>
        <v>21.8</v>
      </c>
      <c r="Q7" s="15">
        <f t="shared" si="18"/>
        <v>22.8</v>
      </c>
      <c r="R7" s="15">
        <f t="shared" si="18"/>
        <v>23.8</v>
      </c>
      <c r="W7" s="14">
        <v>0</v>
      </c>
      <c r="X7" s="14">
        <v>0</v>
      </c>
      <c r="Y7" s="14">
        <f t="shared" si="4"/>
        <v>20.443000000000001</v>
      </c>
      <c r="Z7" s="14">
        <f t="shared" si="14"/>
        <v>70.599999999999994</v>
      </c>
      <c r="AA7" s="14">
        <f>+Z7</f>
        <v>70.599999999999994</v>
      </c>
      <c r="AB7" s="14">
        <f t="shared" ref="AB7:AI7" si="19">+AA7</f>
        <v>70.599999999999994</v>
      </c>
      <c r="AC7" s="14">
        <f t="shared" si="19"/>
        <v>70.599999999999994</v>
      </c>
      <c r="AD7" s="14">
        <f t="shared" si="19"/>
        <v>70.599999999999994</v>
      </c>
      <c r="AE7" s="14">
        <f t="shared" si="19"/>
        <v>70.599999999999994</v>
      </c>
      <c r="AF7" s="14">
        <f t="shared" si="19"/>
        <v>70.599999999999994</v>
      </c>
      <c r="AG7" s="14">
        <f t="shared" si="19"/>
        <v>70.599999999999994</v>
      </c>
      <c r="AH7" s="14">
        <f t="shared" si="19"/>
        <v>70.599999999999994</v>
      </c>
      <c r="AI7" s="14">
        <f t="shared" si="19"/>
        <v>70.599999999999994</v>
      </c>
      <c r="AK7" s="14" t="s">
        <v>105</v>
      </c>
    </row>
    <row r="8" spans="1:40" s="14" customFormat="1" x14ac:dyDescent="0.2">
      <c r="B8" s="14" t="s">
        <v>33</v>
      </c>
      <c r="C8" s="15"/>
      <c r="D8" s="15"/>
      <c r="E8" s="15">
        <v>1.681</v>
      </c>
      <c r="F8" s="15">
        <v>0.98199999999999998</v>
      </c>
      <c r="G8" s="15">
        <v>1.6</v>
      </c>
      <c r="H8" s="15">
        <v>1.4</v>
      </c>
      <c r="I8" s="15">
        <v>1.5129999999999999</v>
      </c>
      <c r="J8" s="15">
        <v>0.67900000000000005</v>
      </c>
      <c r="K8" s="15"/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4">
        <v>0</v>
      </c>
      <c r="R8" s="14">
        <v>0</v>
      </c>
      <c r="W8" s="14">
        <v>10.039999999999999</v>
      </c>
      <c r="X8" s="14">
        <v>8.9860000000000007</v>
      </c>
      <c r="Y8" s="14">
        <f t="shared" si="4"/>
        <v>5.1920000000000002</v>
      </c>
      <c r="Z8" s="14">
        <f t="shared" si="14"/>
        <v>0</v>
      </c>
      <c r="AA8" s="14">
        <f t="shared" ref="AA8:AI8" si="20">+Z8</f>
        <v>0</v>
      </c>
      <c r="AB8" s="14">
        <f t="shared" si="20"/>
        <v>0</v>
      </c>
      <c r="AC8" s="14">
        <f t="shared" si="20"/>
        <v>0</v>
      </c>
      <c r="AD8" s="14">
        <f t="shared" si="20"/>
        <v>0</v>
      </c>
      <c r="AE8" s="14">
        <f t="shared" si="20"/>
        <v>0</v>
      </c>
      <c r="AF8" s="14">
        <f t="shared" si="20"/>
        <v>0</v>
      </c>
      <c r="AG8" s="14">
        <f t="shared" si="20"/>
        <v>0</v>
      </c>
      <c r="AH8" s="14">
        <f t="shared" si="20"/>
        <v>0</v>
      </c>
      <c r="AI8" s="14">
        <f t="shared" si="20"/>
        <v>0</v>
      </c>
    </row>
    <row r="9" spans="1:40" s="16" customFormat="1" x14ac:dyDescent="0.2">
      <c r="B9" s="16" t="s">
        <v>28</v>
      </c>
      <c r="C9" s="17"/>
      <c r="D9" s="17"/>
      <c r="E9" s="17">
        <f t="shared" ref="E9" si="21">SUM(E3:E8)</f>
        <v>329.95</v>
      </c>
      <c r="F9" s="17">
        <f>SUM(F3:F8)</f>
        <v>346.36300000000006</v>
      </c>
      <c r="G9" s="17">
        <f>SUM(G3:G8)</f>
        <v>327.50000000000006</v>
      </c>
      <c r="H9" s="17">
        <f>SUM(H3:H8)</f>
        <v>347.19999999999993</v>
      </c>
      <c r="I9" s="17">
        <f t="shared" ref="I9:L9" si="22">SUM(I3:I8)</f>
        <v>386.221</v>
      </c>
      <c r="J9" s="17">
        <f t="shared" si="22"/>
        <v>404.87499999999994</v>
      </c>
      <c r="K9" s="17">
        <f t="shared" si="22"/>
        <v>369</v>
      </c>
      <c r="L9" s="17">
        <f t="shared" si="22"/>
        <v>412.59999999999997</v>
      </c>
      <c r="M9" s="17">
        <f t="shared" ref="M9" si="23">SUM(M3:M8)</f>
        <v>409.43874999999997</v>
      </c>
      <c r="N9" s="17">
        <f t="shared" ref="N9" si="24">SUM(N3:N8)</f>
        <v>430.55275000000006</v>
      </c>
      <c r="O9" s="17">
        <f t="shared" ref="O9" si="25">SUM(O3:O8)</f>
        <v>400.17</v>
      </c>
      <c r="P9" s="17">
        <f t="shared" ref="P9" si="26">SUM(P3:P8)</f>
        <v>421.84499999999997</v>
      </c>
      <c r="Q9" s="17">
        <f t="shared" ref="Q9" si="27">SUM(Q3:Q8)</f>
        <v>419.77018250000003</v>
      </c>
      <c r="R9" s="17">
        <f t="shared" ref="R9" si="28">SUM(R3:R8)</f>
        <v>443.18176250000005</v>
      </c>
      <c r="T9" s="17">
        <f t="shared" ref="T9:V9" si="29">SUM(T3:T8)</f>
        <v>0</v>
      </c>
      <c r="U9" s="17">
        <f t="shared" si="29"/>
        <v>0</v>
      </c>
      <c r="V9" s="17">
        <f t="shared" si="29"/>
        <v>0</v>
      </c>
      <c r="W9" s="17">
        <f t="shared" ref="W9:AI9" si="30">SUM(W3:W8)</f>
        <v>1116.9839999999999</v>
      </c>
      <c r="X9" s="17">
        <f t="shared" si="30"/>
        <v>1288.5190000000002</v>
      </c>
      <c r="Y9" s="17">
        <f t="shared" si="30"/>
        <v>1465.796</v>
      </c>
      <c r="Z9" s="17">
        <f t="shared" si="30"/>
        <v>1621.5914999999998</v>
      </c>
      <c r="AA9" s="17">
        <f t="shared" si="30"/>
        <v>1687.665105</v>
      </c>
      <c r="AB9" s="17">
        <f t="shared" si="30"/>
        <v>1493.7084765</v>
      </c>
      <c r="AC9" s="17">
        <f t="shared" si="30"/>
        <v>1114.4475541500001</v>
      </c>
      <c r="AD9" s="17">
        <f t="shared" si="30"/>
        <v>924.13232831000016</v>
      </c>
      <c r="AE9" s="17">
        <f t="shared" si="30"/>
        <v>829.12068401475005</v>
      </c>
      <c r="AF9" s="17">
        <f t="shared" si="30"/>
        <v>782.58985186996267</v>
      </c>
      <c r="AG9" s="17">
        <f t="shared" si="30"/>
        <v>426.59492593498135</v>
      </c>
      <c r="AH9" s="17">
        <f t="shared" si="30"/>
        <v>248.59746296749066</v>
      </c>
      <c r="AI9" s="17">
        <f t="shared" si="30"/>
        <v>159.59873148374533</v>
      </c>
    </row>
    <row r="10" spans="1:40" s="14" customFormat="1" x14ac:dyDescent="0.2">
      <c r="B10" s="14" t="s">
        <v>36</v>
      </c>
      <c r="C10" s="15"/>
      <c r="D10" s="15"/>
      <c r="E10" s="15"/>
      <c r="F10" s="15">
        <v>15.77</v>
      </c>
      <c r="G10" s="15">
        <v>20.8</v>
      </c>
      <c r="H10" s="15">
        <v>16</v>
      </c>
      <c r="I10" s="15"/>
      <c r="J10" s="15">
        <v>19.338999999999999</v>
      </c>
      <c r="K10" s="15">
        <v>12.6</v>
      </c>
      <c r="L10" s="15">
        <v>20</v>
      </c>
      <c r="M10" s="15">
        <f>+L10</f>
        <v>20</v>
      </c>
      <c r="N10" s="15">
        <f t="shared" ref="N10" si="31">+M10</f>
        <v>20</v>
      </c>
      <c r="O10" s="15"/>
      <c r="P10" s="15"/>
      <c r="Y10" s="14">
        <f t="shared" si="4"/>
        <v>56.138999999999996</v>
      </c>
      <c r="Z10" s="14">
        <f>+Z9-Z11</f>
        <v>81.079574999999977</v>
      </c>
      <c r="AA10" s="14">
        <f t="shared" ref="AA10:AI10" si="32">+AA9-AA11</f>
        <v>84.383255250000047</v>
      </c>
      <c r="AB10" s="14">
        <f t="shared" si="32"/>
        <v>74.685423825000044</v>
      </c>
      <c r="AC10" s="14">
        <f t="shared" si="32"/>
        <v>55.722377707500073</v>
      </c>
      <c r="AD10" s="14">
        <f t="shared" si="32"/>
        <v>46.206616415500093</v>
      </c>
      <c r="AE10" s="14">
        <f t="shared" si="32"/>
        <v>41.456034200737577</v>
      </c>
      <c r="AF10" s="14">
        <f t="shared" si="32"/>
        <v>39.129492593498185</v>
      </c>
      <c r="AG10" s="14">
        <f t="shared" si="32"/>
        <v>21.329746296749079</v>
      </c>
      <c r="AH10" s="14">
        <f t="shared" si="32"/>
        <v>12.429873148374554</v>
      </c>
      <c r="AI10" s="14">
        <f t="shared" si="32"/>
        <v>7.9799365741872634</v>
      </c>
    </row>
    <row r="11" spans="1:40" s="14" customFormat="1" x14ac:dyDescent="0.2">
      <c r="B11" s="14" t="s">
        <v>35</v>
      </c>
      <c r="C11" s="15"/>
      <c r="D11" s="15"/>
      <c r="E11" s="15"/>
      <c r="F11" s="15">
        <f>+F9-F10</f>
        <v>330.59300000000007</v>
      </c>
      <c r="G11" s="15">
        <f>+G9-G10</f>
        <v>306.70000000000005</v>
      </c>
      <c r="H11" s="15">
        <f>+H9-H10</f>
        <v>331.19999999999993</v>
      </c>
      <c r="I11" s="15"/>
      <c r="J11" s="15">
        <f>+J9-J10</f>
        <v>385.53599999999994</v>
      </c>
      <c r="K11" s="15">
        <f>+K9-K10</f>
        <v>356.4</v>
      </c>
      <c r="L11" s="15">
        <f>+L9-L10</f>
        <v>392.59999999999997</v>
      </c>
      <c r="M11" s="15">
        <f>+M9-M10</f>
        <v>389.43874999999997</v>
      </c>
      <c r="N11" s="15">
        <f t="shared" ref="N11" si="33">+N9-N10</f>
        <v>410.55275000000006</v>
      </c>
      <c r="O11" s="15"/>
      <c r="P11" s="15"/>
      <c r="Y11" s="14">
        <f>+Y9-Y10</f>
        <v>1409.6570000000002</v>
      </c>
      <c r="Z11" s="14">
        <f>+Z9*0.95</f>
        <v>1540.5119249999998</v>
      </c>
      <c r="AA11" s="14">
        <f t="shared" ref="AA11:AI11" si="34">+AA9*0.95</f>
        <v>1603.28184975</v>
      </c>
      <c r="AB11" s="14">
        <f t="shared" si="34"/>
        <v>1419.0230526749999</v>
      </c>
      <c r="AC11" s="14">
        <f t="shared" si="34"/>
        <v>1058.7251764425</v>
      </c>
      <c r="AD11" s="14">
        <f t="shared" si="34"/>
        <v>877.92571189450007</v>
      </c>
      <c r="AE11" s="14">
        <f t="shared" si="34"/>
        <v>787.66464981401248</v>
      </c>
      <c r="AF11" s="14">
        <f t="shared" si="34"/>
        <v>743.46035927646449</v>
      </c>
      <c r="AG11" s="14">
        <f t="shared" si="34"/>
        <v>405.26517963823227</v>
      </c>
      <c r="AH11" s="14">
        <f t="shared" si="34"/>
        <v>236.1675898191161</v>
      </c>
      <c r="AI11" s="14">
        <f t="shared" si="34"/>
        <v>151.61879490955806</v>
      </c>
    </row>
    <row r="12" spans="1:40" s="14" customFormat="1" x14ac:dyDescent="0.2">
      <c r="B12" s="14" t="s">
        <v>37</v>
      </c>
      <c r="C12" s="15"/>
      <c r="D12" s="15"/>
      <c r="E12" s="15"/>
      <c r="F12" s="15">
        <v>71.481999999999999</v>
      </c>
      <c r="G12" s="15">
        <v>110.2</v>
      </c>
      <c r="H12" s="15">
        <v>49.4</v>
      </c>
      <c r="I12" s="15"/>
      <c r="J12" s="15">
        <v>75.947999999999993</v>
      </c>
      <c r="K12" s="15">
        <v>36.799999999999997</v>
      </c>
      <c r="L12" s="15">
        <v>35.200000000000003</v>
      </c>
      <c r="M12" s="15">
        <f>+L12</f>
        <v>35.200000000000003</v>
      </c>
      <c r="N12" s="15">
        <f t="shared" ref="N12" si="35">+M12</f>
        <v>35.200000000000003</v>
      </c>
      <c r="O12" s="15"/>
      <c r="P12" s="15"/>
      <c r="Y12" s="14">
        <f t="shared" si="4"/>
        <v>235.548</v>
      </c>
    </row>
    <row r="13" spans="1:40" s="14" customFormat="1" x14ac:dyDescent="0.2">
      <c r="B13" s="14" t="s">
        <v>38</v>
      </c>
      <c r="C13" s="15"/>
      <c r="D13" s="15"/>
      <c r="E13" s="15"/>
      <c r="F13" s="15">
        <v>80.534000000000006</v>
      </c>
      <c r="G13" s="15">
        <v>211.3</v>
      </c>
      <c r="H13" s="15">
        <v>110</v>
      </c>
      <c r="I13" s="15"/>
      <c r="J13" s="15">
        <f>42.801+24.698</f>
        <v>67.498999999999995</v>
      </c>
      <c r="K13" s="15">
        <v>78.2</v>
      </c>
      <c r="L13" s="15">
        <v>72.2</v>
      </c>
      <c r="M13" s="15">
        <f t="shared" ref="M13:N13" si="36">+L13</f>
        <v>72.2</v>
      </c>
      <c r="N13" s="15">
        <f t="shared" si="36"/>
        <v>72.2</v>
      </c>
      <c r="O13" s="15"/>
      <c r="P13" s="15"/>
      <c r="Y13" s="14">
        <f t="shared" si="4"/>
        <v>388.79899999999998</v>
      </c>
      <c r="Z13" s="14">
        <f>+Z9*0.2</f>
        <v>324.31829999999997</v>
      </c>
      <c r="AA13" s="14">
        <f t="shared" ref="AA13:AI13" si="37">+AA9*0.2</f>
        <v>337.53302100000002</v>
      </c>
      <c r="AB13" s="14">
        <f t="shared" si="37"/>
        <v>298.7416953</v>
      </c>
      <c r="AC13" s="14">
        <f t="shared" si="37"/>
        <v>222.88951083000003</v>
      </c>
      <c r="AD13" s="14">
        <f t="shared" si="37"/>
        <v>184.82646566200003</v>
      </c>
      <c r="AE13" s="14">
        <f t="shared" si="37"/>
        <v>165.82413680295002</v>
      </c>
      <c r="AF13" s="14">
        <f t="shared" si="37"/>
        <v>156.51797037399254</v>
      </c>
      <c r="AG13" s="14">
        <f t="shared" si="37"/>
        <v>85.318985186996272</v>
      </c>
      <c r="AH13" s="14">
        <f t="shared" si="37"/>
        <v>49.719492593498131</v>
      </c>
      <c r="AI13" s="14">
        <f t="shared" si="37"/>
        <v>31.919746296749068</v>
      </c>
    </row>
    <row r="14" spans="1:40" s="14" customFormat="1" x14ac:dyDescent="0.2">
      <c r="B14" s="14" t="s">
        <v>46</v>
      </c>
      <c r="C14" s="15"/>
      <c r="D14" s="15"/>
      <c r="E14" s="15"/>
      <c r="F14" s="15">
        <f>+F13+F12</f>
        <v>152.01600000000002</v>
      </c>
      <c r="G14" s="15">
        <f>+G13+G12</f>
        <v>321.5</v>
      </c>
      <c r="H14" s="15">
        <f>+H13+H12</f>
        <v>159.4</v>
      </c>
      <c r="I14" s="15"/>
      <c r="J14" s="15">
        <f>+J13+J12</f>
        <v>143.447</v>
      </c>
      <c r="K14" s="15">
        <f>+K13+K12</f>
        <v>115</v>
      </c>
      <c r="L14" s="15">
        <f>+L13+L12</f>
        <v>107.4</v>
      </c>
      <c r="M14" s="15">
        <f t="shared" ref="M14" si="38">+M13+M12</f>
        <v>107.4</v>
      </c>
      <c r="N14" s="15">
        <f t="shared" ref="N14" si="39">+N13+N12</f>
        <v>107.4</v>
      </c>
      <c r="O14" s="15"/>
      <c r="P14" s="15"/>
      <c r="Y14" s="14">
        <f>+Y13+Y12</f>
        <v>624.34699999999998</v>
      </c>
      <c r="Z14" s="14">
        <f t="shared" ref="Z14:AI14" si="40">+Z13+Z12</f>
        <v>324.31829999999997</v>
      </c>
      <c r="AA14" s="14">
        <f t="shared" si="40"/>
        <v>337.53302100000002</v>
      </c>
      <c r="AB14" s="14">
        <f t="shared" si="40"/>
        <v>298.7416953</v>
      </c>
      <c r="AC14" s="14">
        <f t="shared" si="40"/>
        <v>222.88951083000003</v>
      </c>
      <c r="AD14" s="14">
        <f t="shared" si="40"/>
        <v>184.82646566200003</v>
      </c>
      <c r="AE14" s="14">
        <f t="shared" si="40"/>
        <v>165.82413680295002</v>
      </c>
      <c r="AF14" s="14">
        <f t="shared" si="40"/>
        <v>156.51797037399254</v>
      </c>
      <c r="AG14" s="14">
        <f t="shared" si="40"/>
        <v>85.318985186996272</v>
      </c>
      <c r="AH14" s="14">
        <f t="shared" si="40"/>
        <v>49.719492593498131</v>
      </c>
      <c r="AI14" s="14">
        <f t="shared" si="40"/>
        <v>31.919746296749068</v>
      </c>
    </row>
    <row r="15" spans="1:40" s="14" customFormat="1" x14ac:dyDescent="0.2">
      <c r="B15" s="14" t="s">
        <v>40</v>
      </c>
      <c r="C15" s="15"/>
      <c r="D15" s="15"/>
      <c r="E15" s="15"/>
      <c r="F15" s="15">
        <f>+F11-F14</f>
        <v>178.57700000000006</v>
      </c>
      <c r="G15" s="15">
        <f>+G11-G14</f>
        <v>-14.799999999999955</v>
      </c>
      <c r="H15" s="15">
        <f>+H11-H14</f>
        <v>171.79999999999993</v>
      </c>
      <c r="I15" s="15"/>
      <c r="J15" s="15">
        <f>+J11-J14</f>
        <v>242.08899999999994</v>
      </c>
      <c r="K15" s="15">
        <f>+K11-K14</f>
        <v>241.39999999999998</v>
      </c>
      <c r="L15" s="15">
        <f>+L11-L14</f>
        <v>285.19999999999993</v>
      </c>
      <c r="M15" s="15">
        <f t="shared" ref="M15" si="41">+M11-M14</f>
        <v>282.03874999999994</v>
      </c>
      <c r="N15" s="15">
        <f t="shared" ref="N15" si="42">+N11-N14</f>
        <v>303.15275000000008</v>
      </c>
      <c r="O15" s="15"/>
      <c r="P15" s="15"/>
      <c r="Y15" s="14">
        <f>+Y11-Y14</f>
        <v>785.31000000000017</v>
      </c>
      <c r="Z15" s="14">
        <f t="shared" ref="Z15:AI15" si="43">+Z11-Z14</f>
        <v>1216.1936249999999</v>
      </c>
      <c r="AA15" s="14">
        <f t="shared" si="43"/>
        <v>1265.74882875</v>
      </c>
      <c r="AB15" s="14">
        <f t="shared" si="43"/>
        <v>1120.281357375</v>
      </c>
      <c r="AC15" s="14">
        <f t="shared" si="43"/>
        <v>835.83566561249995</v>
      </c>
      <c r="AD15" s="14">
        <f t="shared" si="43"/>
        <v>693.09924623250004</v>
      </c>
      <c r="AE15" s="14">
        <f t="shared" si="43"/>
        <v>621.84051301106251</v>
      </c>
      <c r="AF15" s="14">
        <f t="shared" si="43"/>
        <v>586.94238890247198</v>
      </c>
      <c r="AG15" s="14">
        <f t="shared" si="43"/>
        <v>319.94619445123601</v>
      </c>
      <c r="AH15" s="14">
        <f t="shared" si="43"/>
        <v>186.44809722561797</v>
      </c>
      <c r="AI15" s="14">
        <f t="shared" si="43"/>
        <v>119.69904861280899</v>
      </c>
    </row>
    <row r="16" spans="1:40" s="14" customFormat="1" x14ac:dyDescent="0.2">
      <c r="B16" s="14" t="s">
        <v>41</v>
      </c>
      <c r="C16" s="15"/>
      <c r="D16" s="15"/>
      <c r="E16" s="15"/>
      <c r="F16" s="15">
        <v>-3.8130000000000002</v>
      </c>
      <c r="G16" s="15">
        <v>-2</v>
      </c>
      <c r="H16" s="15">
        <v>-3.4</v>
      </c>
      <c r="I16" s="15"/>
      <c r="J16" s="15">
        <v>0.97499999999999998</v>
      </c>
      <c r="K16" s="15">
        <v>0.2</v>
      </c>
      <c r="L16" s="15">
        <v>0.5</v>
      </c>
      <c r="M16" s="15"/>
      <c r="N16" s="15"/>
      <c r="O16" s="15"/>
      <c r="P16" s="15"/>
      <c r="Y16" s="14">
        <f t="shared" ref="Y16:Y18" si="44">SUM(G16:J16)</f>
        <v>-4.4250000000000007</v>
      </c>
      <c r="AA16" s="14">
        <f t="shared" ref="AA16:AI16" si="45">+Z37*$AL$23</f>
        <v>68.45189400000001</v>
      </c>
      <c r="AB16" s="14">
        <f t="shared" si="45"/>
        <v>116.48312001900001</v>
      </c>
      <c r="AC16" s="14">
        <f t="shared" si="45"/>
        <v>161.00664120518402</v>
      </c>
      <c r="AD16" s="14">
        <f t="shared" si="45"/>
        <v>196.89296425062065</v>
      </c>
      <c r="AE16" s="14">
        <f t="shared" si="45"/>
        <v>228.93268382801298</v>
      </c>
      <c r="AF16" s="14">
        <f t="shared" si="45"/>
        <v>259.5605189142197</v>
      </c>
      <c r="AG16" s="14">
        <f t="shared" si="45"/>
        <v>290.03462359562064</v>
      </c>
      <c r="AH16" s="14">
        <f t="shared" si="45"/>
        <v>311.99393304530753</v>
      </c>
      <c r="AI16" s="14">
        <f t="shared" si="45"/>
        <v>329.93784613506085</v>
      </c>
    </row>
    <row r="17" spans="2:101" s="14" customFormat="1" x14ac:dyDescent="0.2">
      <c r="B17" s="14" t="s">
        <v>43</v>
      </c>
      <c r="C17" s="15"/>
      <c r="D17" s="15"/>
      <c r="E17" s="15"/>
      <c r="F17" s="15">
        <f>+F15+F16</f>
        <v>174.76400000000007</v>
      </c>
      <c r="G17" s="15">
        <f>+G15+G16</f>
        <v>-16.799999999999955</v>
      </c>
      <c r="H17" s="15">
        <f>+H15+H16</f>
        <v>168.39999999999992</v>
      </c>
      <c r="I17" s="15"/>
      <c r="J17" s="15">
        <f>+J15+J16</f>
        <v>243.06399999999994</v>
      </c>
      <c r="K17" s="15">
        <f>+K15+K16</f>
        <v>241.59999999999997</v>
      </c>
      <c r="L17" s="15">
        <f>+L15+L16</f>
        <v>285.69999999999993</v>
      </c>
      <c r="M17" s="15">
        <f t="shared" ref="M17" si="46">+M15+M16</f>
        <v>282.03874999999994</v>
      </c>
      <c r="N17" s="15">
        <f t="shared" ref="N17" si="47">+N15+N16</f>
        <v>303.15275000000008</v>
      </c>
      <c r="O17" s="15"/>
      <c r="P17" s="15"/>
      <c r="Y17" s="14">
        <f>+Y15+Y16</f>
        <v>780.88500000000022</v>
      </c>
      <c r="Z17" s="14">
        <f t="shared" ref="Z17:AI17" si="48">+Z15+Z16</f>
        <v>1216.1936249999999</v>
      </c>
      <c r="AA17" s="14">
        <f t="shared" si="48"/>
        <v>1334.2007227500001</v>
      </c>
      <c r="AB17" s="14">
        <f t="shared" si="48"/>
        <v>1236.7644773940001</v>
      </c>
      <c r="AC17" s="14">
        <f t="shared" si="48"/>
        <v>996.84230681768395</v>
      </c>
      <c r="AD17" s="14">
        <f t="shared" si="48"/>
        <v>889.99221048312074</v>
      </c>
      <c r="AE17" s="14">
        <f t="shared" si="48"/>
        <v>850.77319683907547</v>
      </c>
      <c r="AF17" s="14">
        <f t="shared" si="48"/>
        <v>846.50290781669173</v>
      </c>
      <c r="AG17" s="14">
        <f t="shared" si="48"/>
        <v>609.98081804685671</v>
      </c>
      <c r="AH17" s="14">
        <f t="shared" si="48"/>
        <v>498.4420302709255</v>
      </c>
      <c r="AI17" s="14">
        <f t="shared" si="48"/>
        <v>449.63689474786986</v>
      </c>
    </row>
    <row r="18" spans="2:101" s="14" customFormat="1" x14ac:dyDescent="0.2">
      <c r="B18" s="14" t="s">
        <v>44</v>
      </c>
      <c r="C18" s="15"/>
      <c r="D18" s="15"/>
      <c r="E18" s="15"/>
      <c r="F18" s="15">
        <v>58.829000000000001</v>
      </c>
      <c r="G18" s="15">
        <v>0.2</v>
      </c>
      <c r="H18" s="15">
        <v>69.2</v>
      </c>
      <c r="I18" s="15"/>
      <c r="J18" s="15">
        <v>51.387999999999998</v>
      </c>
      <c r="K18" s="15">
        <v>128.4</v>
      </c>
      <c r="L18" s="15">
        <v>79.599999999999994</v>
      </c>
      <c r="M18" s="15">
        <f>+M17*0.28</f>
        <v>78.970849999999984</v>
      </c>
      <c r="N18" s="15">
        <f t="shared" ref="N18" si="49">+N17*0.28</f>
        <v>84.882770000000036</v>
      </c>
      <c r="O18" s="15"/>
      <c r="P18" s="15"/>
      <c r="Y18" s="14">
        <f t="shared" si="44"/>
        <v>120.78800000000001</v>
      </c>
      <c r="Z18" s="14">
        <f>+Z17*0.28</f>
        <v>340.53421500000002</v>
      </c>
      <c r="AA18" s="14">
        <f t="shared" ref="AA18:AI18" si="50">+AA17*0.28</f>
        <v>373.57620237000003</v>
      </c>
      <c r="AB18" s="14">
        <f t="shared" si="50"/>
        <v>346.29405367032007</v>
      </c>
      <c r="AC18" s="14">
        <f t="shared" si="50"/>
        <v>279.11584590895154</v>
      </c>
      <c r="AD18" s="14">
        <f t="shared" si="50"/>
        <v>249.19781893527383</v>
      </c>
      <c r="AE18" s="14">
        <f t="shared" si="50"/>
        <v>238.21649511494115</v>
      </c>
      <c r="AF18" s="14">
        <f t="shared" si="50"/>
        <v>237.02081418867371</v>
      </c>
      <c r="AG18" s="14">
        <f t="shared" si="50"/>
        <v>170.79462905311991</v>
      </c>
      <c r="AH18" s="14">
        <f t="shared" si="50"/>
        <v>139.56376847585915</v>
      </c>
      <c r="AI18" s="14">
        <f t="shared" si="50"/>
        <v>125.89833052940357</v>
      </c>
    </row>
    <row r="19" spans="2:101" s="14" customFormat="1" x14ac:dyDescent="0.2">
      <c r="B19" s="14" t="s">
        <v>45</v>
      </c>
      <c r="C19" s="15"/>
      <c r="D19" s="15"/>
      <c r="E19" s="15"/>
      <c r="F19" s="15">
        <f>+F17-F18</f>
        <v>115.93500000000006</v>
      </c>
      <c r="G19" s="15">
        <f>+G17-G18</f>
        <v>-16.999999999999954</v>
      </c>
      <c r="H19" s="15">
        <f>+H17-H18</f>
        <v>99.199999999999918</v>
      </c>
      <c r="I19" s="15"/>
      <c r="J19" s="15">
        <f>+J17-J18</f>
        <v>191.67599999999993</v>
      </c>
      <c r="K19" s="15">
        <f>+K17-K18</f>
        <v>113.19999999999996</v>
      </c>
      <c r="L19" s="15">
        <f>+L17-L18</f>
        <v>206.09999999999994</v>
      </c>
      <c r="M19" s="15">
        <f t="shared" ref="M19" si="51">+M17-M18</f>
        <v>203.06789999999995</v>
      </c>
      <c r="N19" s="15">
        <f t="shared" ref="N19" si="52">+N17-N18</f>
        <v>218.26998000000003</v>
      </c>
      <c r="O19" s="15"/>
      <c r="P19" s="15"/>
      <c r="Y19" s="14">
        <f>+Y17-Y18</f>
        <v>660.09700000000021</v>
      </c>
      <c r="Z19" s="14">
        <f t="shared" ref="Z19:AH19" si="53">+Z17-Z18</f>
        <v>875.65940999999987</v>
      </c>
      <c r="AA19" s="14">
        <f t="shared" si="53"/>
        <v>960.62452038000004</v>
      </c>
      <c r="AB19" s="14">
        <f t="shared" si="53"/>
        <v>890.47042372368003</v>
      </c>
      <c r="AC19" s="14">
        <f t="shared" si="53"/>
        <v>717.72646090873241</v>
      </c>
      <c r="AD19" s="14">
        <f t="shared" si="53"/>
        <v>640.79439154784689</v>
      </c>
      <c r="AE19" s="14">
        <f t="shared" si="53"/>
        <v>612.55670172413431</v>
      </c>
      <c r="AF19" s="14">
        <f t="shared" si="53"/>
        <v>609.48209362801799</v>
      </c>
      <c r="AG19" s="14">
        <f t="shared" si="53"/>
        <v>439.18618899373678</v>
      </c>
      <c r="AH19" s="14">
        <f t="shared" si="53"/>
        <v>358.87826179506635</v>
      </c>
      <c r="AI19" s="14">
        <f>+AI17-AI18</f>
        <v>323.73856421846631</v>
      </c>
      <c r="AJ19" s="14">
        <f t="shared" ref="AJ19:BO19" si="54">+AI19*(1+$AL$24)</f>
        <v>320.50117857628163</v>
      </c>
      <c r="AK19" s="14">
        <f t="shared" si="54"/>
        <v>317.29616679051884</v>
      </c>
      <c r="AL19" s="14">
        <f t="shared" si="54"/>
        <v>314.12320512261363</v>
      </c>
      <c r="AM19" s="14">
        <f t="shared" si="54"/>
        <v>310.98197307138747</v>
      </c>
      <c r="AN19" s="14">
        <f t="shared" si="54"/>
        <v>307.87215334067361</v>
      </c>
      <c r="AO19" s="14">
        <f t="shared" si="54"/>
        <v>304.79343180726687</v>
      </c>
      <c r="AP19" s="14">
        <f t="shared" si="54"/>
        <v>301.74549748919418</v>
      </c>
      <c r="AQ19" s="14">
        <f t="shared" si="54"/>
        <v>298.72804251430222</v>
      </c>
      <c r="AR19" s="14">
        <f t="shared" si="54"/>
        <v>295.7407620891592</v>
      </c>
      <c r="AS19" s="14">
        <f t="shared" si="54"/>
        <v>292.78335446826759</v>
      </c>
      <c r="AT19" s="14">
        <f t="shared" si="54"/>
        <v>289.85552092358489</v>
      </c>
      <c r="AU19" s="14">
        <f t="shared" si="54"/>
        <v>286.95696571434905</v>
      </c>
      <c r="AV19" s="14">
        <f t="shared" si="54"/>
        <v>284.08739605720558</v>
      </c>
      <c r="AW19" s="14">
        <f t="shared" si="54"/>
        <v>281.2465220966335</v>
      </c>
      <c r="AX19" s="14">
        <f t="shared" si="54"/>
        <v>278.43405687566718</v>
      </c>
      <c r="AY19" s="14">
        <f t="shared" si="54"/>
        <v>275.64971630691053</v>
      </c>
      <c r="AZ19" s="14">
        <f t="shared" si="54"/>
        <v>272.89321914384141</v>
      </c>
      <c r="BA19" s="14">
        <f t="shared" si="54"/>
        <v>270.16428695240302</v>
      </c>
      <c r="BB19" s="14">
        <f t="shared" si="54"/>
        <v>267.46264408287897</v>
      </c>
      <c r="BC19" s="14">
        <f t="shared" si="54"/>
        <v>264.78801764205019</v>
      </c>
      <c r="BD19" s="14">
        <f t="shared" si="54"/>
        <v>262.14013746562966</v>
      </c>
      <c r="BE19" s="14">
        <f t="shared" si="54"/>
        <v>259.51873609097339</v>
      </c>
      <c r="BF19" s="14">
        <f t="shared" si="54"/>
        <v>256.92354873006366</v>
      </c>
      <c r="BG19" s="14">
        <f t="shared" si="54"/>
        <v>254.35431324276303</v>
      </c>
      <c r="BH19" s="14">
        <f t="shared" si="54"/>
        <v>251.8107701103354</v>
      </c>
      <c r="BI19" s="14">
        <f t="shared" si="54"/>
        <v>249.29266240923204</v>
      </c>
      <c r="BJ19" s="14">
        <f t="shared" si="54"/>
        <v>246.79973578513972</v>
      </c>
      <c r="BK19" s="14">
        <f t="shared" si="54"/>
        <v>244.33173842728831</v>
      </c>
      <c r="BL19" s="14">
        <f t="shared" si="54"/>
        <v>241.88842104301543</v>
      </c>
      <c r="BM19" s="14">
        <f t="shared" si="54"/>
        <v>239.46953683258528</v>
      </c>
      <c r="BN19" s="14">
        <f t="shared" si="54"/>
        <v>237.07484146425944</v>
      </c>
      <c r="BO19" s="14">
        <f t="shared" si="54"/>
        <v>234.70409304961683</v>
      </c>
      <c r="BP19" s="14">
        <f t="shared" ref="BP19:CW19" si="55">+BO19*(1+$AL$24)</f>
        <v>232.35705211912065</v>
      </c>
      <c r="BQ19" s="14">
        <f t="shared" si="55"/>
        <v>230.03348159792944</v>
      </c>
      <c r="BR19" s="14">
        <f t="shared" si="55"/>
        <v>227.73314678195015</v>
      </c>
      <c r="BS19" s="14">
        <f t="shared" si="55"/>
        <v>225.45581531413066</v>
      </c>
      <c r="BT19" s="14">
        <f t="shared" si="55"/>
        <v>223.20125716098934</v>
      </c>
      <c r="BU19" s="14">
        <f t="shared" si="55"/>
        <v>220.96924458937946</v>
      </c>
      <c r="BV19" s="14">
        <f t="shared" si="55"/>
        <v>218.75955214348565</v>
      </c>
      <c r="BW19" s="14">
        <f t="shared" si="55"/>
        <v>216.57195662205078</v>
      </c>
      <c r="BX19" s="14">
        <f t="shared" si="55"/>
        <v>214.40623705583027</v>
      </c>
      <c r="BY19" s="14">
        <f t="shared" si="55"/>
        <v>212.26217468527196</v>
      </c>
      <c r="BZ19" s="14">
        <f t="shared" si="55"/>
        <v>210.13955293841923</v>
      </c>
      <c r="CA19" s="14">
        <f t="shared" si="55"/>
        <v>208.03815740903502</v>
      </c>
      <c r="CB19" s="14">
        <f t="shared" si="55"/>
        <v>205.95777583494467</v>
      </c>
      <c r="CC19" s="14">
        <f t="shared" si="55"/>
        <v>203.89819807659521</v>
      </c>
      <c r="CD19" s="14">
        <f t="shared" si="55"/>
        <v>201.85921609582925</v>
      </c>
      <c r="CE19" s="14">
        <f t="shared" si="55"/>
        <v>199.84062393487096</v>
      </c>
      <c r="CF19" s="14">
        <f t="shared" si="55"/>
        <v>197.84221769552224</v>
      </c>
      <c r="CG19" s="14">
        <f t="shared" si="55"/>
        <v>195.863795518567</v>
      </c>
      <c r="CH19" s="14">
        <f t="shared" si="55"/>
        <v>193.90515756338132</v>
      </c>
      <c r="CI19" s="14">
        <f t="shared" si="55"/>
        <v>191.96610598774751</v>
      </c>
      <c r="CJ19" s="14">
        <f t="shared" si="55"/>
        <v>190.04644492787003</v>
      </c>
      <c r="CK19" s="14">
        <f t="shared" si="55"/>
        <v>188.14598047859133</v>
      </c>
      <c r="CL19" s="14">
        <f t="shared" si="55"/>
        <v>186.26452067380541</v>
      </c>
      <c r="CM19" s="14">
        <f t="shared" si="55"/>
        <v>184.40187546706736</v>
      </c>
      <c r="CN19" s="14">
        <f t="shared" si="55"/>
        <v>182.55785671239667</v>
      </c>
      <c r="CO19" s="14">
        <f t="shared" si="55"/>
        <v>180.73227814527272</v>
      </c>
      <c r="CP19" s="14">
        <f t="shared" si="55"/>
        <v>178.92495536381998</v>
      </c>
      <c r="CQ19" s="14">
        <f t="shared" si="55"/>
        <v>177.13570581018178</v>
      </c>
      <c r="CR19" s="14">
        <f t="shared" si="55"/>
        <v>175.36434875207996</v>
      </c>
      <c r="CS19" s="14">
        <f t="shared" si="55"/>
        <v>173.61070526455916</v>
      </c>
      <c r="CT19" s="14">
        <f t="shared" si="55"/>
        <v>171.87459821191356</v>
      </c>
      <c r="CU19" s="14">
        <f t="shared" si="55"/>
        <v>170.15585222979442</v>
      </c>
      <c r="CV19" s="14">
        <f t="shared" si="55"/>
        <v>168.45429370749648</v>
      </c>
      <c r="CW19" s="14">
        <f t="shared" si="55"/>
        <v>166.7697507704215</v>
      </c>
    </row>
    <row r="20" spans="2:101" x14ac:dyDescent="0.2">
      <c r="B20" s="14" t="s">
        <v>47</v>
      </c>
      <c r="F20" s="21">
        <f>+F19/F21</f>
        <v>2.1650668559049833</v>
      </c>
      <c r="G20" s="21">
        <f>+G19/G21</f>
        <v>-0.36402569593147649</v>
      </c>
      <c r="H20" s="21">
        <f>+H19/H21</f>
        <v>1.9113680154142567</v>
      </c>
      <c r="J20" s="21">
        <f>+J19/J21</f>
        <v>3.853093716077673</v>
      </c>
      <c r="K20" s="21">
        <f>+K19/K21</f>
        <v>2.3244353182751532</v>
      </c>
      <c r="L20" s="21">
        <f>+L19/L21</f>
        <v>4.3944562899786765</v>
      </c>
      <c r="M20" s="21">
        <f t="shared" ref="M20" si="56">+M19/M21</f>
        <v>4.3298059701492528</v>
      </c>
      <c r="N20" s="21">
        <f t="shared" ref="N20" si="57">+N19/N21</f>
        <v>4.6539441364605549</v>
      </c>
      <c r="Y20" s="28">
        <f>+Y19/Y21</f>
        <v>13.349136478233323</v>
      </c>
      <c r="Z20" s="28">
        <f t="shared" ref="Z20:AI20" si="58">+Z19/Z21</f>
        <v>17.708453412966978</v>
      </c>
      <c r="AA20" s="28">
        <f t="shared" si="58"/>
        <v>19.426702176937699</v>
      </c>
      <c r="AB20" s="28">
        <f t="shared" si="58"/>
        <v>18.00797642788508</v>
      </c>
      <c r="AC20" s="28">
        <f t="shared" si="58"/>
        <v>14.514576616330721</v>
      </c>
      <c r="AD20" s="28">
        <f t="shared" si="58"/>
        <v>12.958779978183035</v>
      </c>
      <c r="AE20" s="28">
        <f t="shared" si="58"/>
        <v>12.387729397303621</v>
      </c>
      <c r="AF20" s="28">
        <f t="shared" si="58"/>
        <v>12.325551621776482</v>
      </c>
      <c r="AG20" s="28">
        <f t="shared" si="58"/>
        <v>8.8816588717000133</v>
      </c>
      <c r="AH20" s="28">
        <f t="shared" si="58"/>
        <v>7.2575922868510041</v>
      </c>
      <c r="AI20" s="28">
        <f t="shared" si="58"/>
        <v>6.546962457062536</v>
      </c>
    </row>
    <row r="21" spans="2:101" s="14" customFormat="1" x14ac:dyDescent="0.2">
      <c r="B21" s="14" t="s">
        <v>1</v>
      </c>
      <c r="C21" s="15"/>
      <c r="D21" s="15"/>
      <c r="E21" s="15"/>
      <c r="F21" s="15">
        <v>53.548000000000002</v>
      </c>
      <c r="G21" s="15">
        <v>46.7</v>
      </c>
      <c r="H21" s="15">
        <v>51.9</v>
      </c>
      <c r="I21" s="15"/>
      <c r="J21" s="15">
        <v>49.746000000000002</v>
      </c>
      <c r="K21" s="15">
        <v>48.7</v>
      </c>
      <c r="L21" s="15">
        <v>46.9</v>
      </c>
      <c r="M21" s="15">
        <f>+L21</f>
        <v>46.9</v>
      </c>
      <c r="N21" s="15">
        <f t="shared" ref="N21" si="59">+M21</f>
        <v>46.9</v>
      </c>
      <c r="O21" s="15"/>
      <c r="P21" s="15"/>
      <c r="Y21" s="14">
        <f>AVERAGE(G21:J21)</f>
        <v>49.448666666666668</v>
      </c>
      <c r="Z21" s="14">
        <f>+Y21</f>
        <v>49.448666666666668</v>
      </c>
      <c r="AA21" s="14">
        <f t="shared" ref="AA21:AI21" si="60">+Z21</f>
        <v>49.448666666666668</v>
      </c>
      <c r="AB21" s="14">
        <f t="shared" si="60"/>
        <v>49.448666666666668</v>
      </c>
      <c r="AC21" s="14">
        <f t="shared" si="60"/>
        <v>49.448666666666668</v>
      </c>
      <c r="AD21" s="14">
        <f t="shared" si="60"/>
        <v>49.448666666666668</v>
      </c>
      <c r="AE21" s="14">
        <f t="shared" si="60"/>
        <v>49.448666666666668</v>
      </c>
      <c r="AF21" s="14">
        <f t="shared" si="60"/>
        <v>49.448666666666668</v>
      </c>
      <c r="AG21" s="14">
        <f t="shared" si="60"/>
        <v>49.448666666666668</v>
      </c>
      <c r="AH21" s="14">
        <f t="shared" si="60"/>
        <v>49.448666666666668</v>
      </c>
      <c r="AI21" s="14">
        <f t="shared" si="60"/>
        <v>49.448666666666668</v>
      </c>
    </row>
    <row r="23" spans="2:101" x14ac:dyDescent="0.2">
      <c r="B23" t="s">
        <v>35</v>
      </c>
      <c r="F23" s="18">
        <f t="shared" ref="F23:G23" si="61">F11/F9</f>
        <v>0.9544697326215561</v>
      </c>
      <c r="G23" s="18">
        <f t="shared" si="61"/>
        <v>0.93648854961832062</v>
      </c>
      <c r="H23" s="18">
        <f>H11/H9</f>
        <v>0.95391705069124422</v>
      </c>
      <c r="I23" s="18">
        <f>I11/I9</f>
        <v>0</v>
      </c>
      <c r="J23" s="18">
        <f>J11/J9</f>
        <v>0.95223464032108673</v>
      </c>
      <c r="K23" s="18">
        <f>K11/K9</f>
        <v>0.96585365853658534</v>
      </c>
      <c r="L23" s="18">
        <f>L11/L9</f>
        <v>0.95152690256907413</v>
      </c>
      <c r="AK23" s="14" t="s">
        <v>102</v>
      </c>
      <c r="AL23" s="25">
        <v>0.05</v>
      </c>
    </row>
    <row r="24" spans="2:101" x14ac:dyDescent="0.2">
      <c r="B24" t="s">
        <v>39</v>
      </c>
      <c r="F24" s="18">
        <f t="shared" ref="F24:G24" si="62">F15/F9</f>
        <v>0.515577587675358</v>
      </c>
      <c r="G24" s="18">
        <f t="shared" si="62"/>
        <v>-4.5190839694656343E-2</v>
      </c>
      <c r="H24" s="18">
        <f>H15/H9</f>
        <v>0.49481566820276485</v>
      </c>
      <c r="I24" s="18">
        <f>I15/I9</f>
        <v>0</v>
      </c>
      <c r="J24" s="18">
        <f>J15/J9</f>
        <v>0.59793516517443646</v>
      </c>
      <c r="K24" s="18">
        <f>K15/K9</f>
        <v>0.65420054200541999</v>
      </c>
      <c r="L24" s="18">
        <f>L15/L9</f>
        <v>0.69122636936500237</v>
      </c>
      <c r="AK24" t="s">
        <v>86</v>
      </c>
      <c r="AL24" s="25">
        <v>-0.01</v>
      </c>
    </row>
    <row r="25" spans="2:101" x14ac:dyDescent="0.2">
      <c r="B25" t="s">
        <v>42</v>
      </c>
      <c r="F25" s="18">
        <f t="shared" ref="F25:G25" si="63">F18/F17</f>
        <v>0.33661966995491049</v>
      </c>
      <c r="G25" s="18">
        <f t="shared" si="63"/>
        <v>-1.1904761904761937E-2</v>
      </c>
      <c r="H25" s="18">
        <f>H18/H17</f>
        <v>0.41092636579572467</v>
      </c>
      <c r="I25" s="18" t="e">
        <f>I18/I17</f>
        <v>#DIV/0!</v>
      </c>
      <c r="J25" s="18">
        <f>J18/J17</f>
        <v>0.21141756903531586</v>
      </c>
      <c r="K25" s="18">
        <f>K18/K17</f>
        <v>0.53145695364238421</v>
      </c>
      <c r="L25" s="18">
        <f>L18/L17</f>
        <v>0.27861393069653489</v>
      </c>
      <c r="AK25" t="s">
        <v>84</v>
      </c>
      <c r="AL25" s="25">
        <v>0.08</v>
      </c>
    </row>
    <row r="26" spans="2:101" x14ac:dyDescent="0.2">
      <c r="AK26" t="s">
        <v>85</v>
      </c>
      <c r="AL26" s="14">
        <f>NPV(AL25,AA19:CW19)+Main!O5-Main!O6</f>
        <v>6830.1713825856523</v>
      </c>
    </row>
    <row r="27" spans="2:101" x14ac:dyDescent="0.2">
      <c r="AK27" t="s">
        <v>106</v>
      </c>
      <c r="AL27" s="28">
        <f>AL26/Main!$O$3</f>
        <v>157.13463967114484</v>
      </c>
    </row>
    <row r="28" spans="2:101" x14ac:dyDescent="0.2">
      <c r="AK28" t="s">
        <v>107</v>
      </c>
      <c r="AL28" s="25">
        <f>AL27/121-1</f>
        <v>0.29863338571194076</v>
      </c>
    </row>
    <row r="30" spans="2:101" s="12" customFormat="1" x14ac:dyDescent="0.2">
      <c r="B30" s="12" t="s">
        <v>34</v>
      </c>
      <c r="C30" s="13"/>
      <c r="D30" s="13"/>
      <c r="E30" s="13"/>
      <c r="F30" s="13"/>
      <c r="G30" s="13"/>
      <c r="H30" s="13"/>
      <c r="I30" s="13"/>
      <c r="J30" s="19">
        <f t="shared" ref="J30:R30" si="64">J9/F9-1</f>
        <v>0.16893259383941084</v>
      </c>
      <c r="K30" s="19">
        <f t="shared" si="64"/>
        <v>0.12671755725190814</v>
      </c>
      <c r="L30" s="19">
        <f t="shared" si="64"/>
        <v>0.18836405529953937</v>
      </c>
      <c r="M30" s="19">
        <f t="shared" si="64"/>
        <v>6.0115193114822718E-2</v>
      </c>
      <c r="N30" s="19">
        <f t="shared" si="64"/>
        <v>6.342142636616277E-2</v>
      </c>
      <c r="O30" s="19">
        <f t="shared" si="64"/>
        <v>8.4471544715447155E-2</v>
      </c>
      <c r="P30" s="19">
        <f t="shared" si="64"/>
        <v>2.2406689287445491E-2</v>
      </c>
      <c r="Q30" s="19">
        <f t="shared" si="64"/>
        <v>2.5233157584620525E-2</v>
      </c>
      <c r="R30" s="19">
        <f t="shared" si="64"/>
        <v>2.9332091131690552E-2</v>
      </c>
      <c r="X30" s="26">
        <f t="shared" ref="X30:AI30" si="65">X9/W9-1</f>
        <v>0.15356979150999517</v>
      </c>
      <c r="Y30" s="26">
        <f t="shared" si="65"/>
        <v>0.13758198365720631</v>
      </c>
      <c r="Z30" s="26">
        <f t="shared" si="65"/>
        <v>0.10628730055205482</v>
      </c>
      <c r="AA30" s="26">
        <f t="shared" si="65"/>
        <v>4.0746146609673461E-2</v>
      </c>
      <c r="AB30" s="26">
        <f t="shared" si="65"/>
        <v>-0.1149260169718328</v>
      </c>
      <c r="AC30" s="26">
        <f t="shared" si="65"/>
        <v>-0.25390558353037496</v>
      </c>
      <c r="AD30" s="26">
        <f t="shared" si="65"/>
        <v>-0.17077091257574273</v>
      </c>
      <c r="AE30" s="26">
        <f t="shared" si="65"/>
        <v>-0.10281173094442209</v>
      </c>
      <c r="AF30" s="26">
        <f t="shared" si="65"/>
        <v>-5.6120698761821797E-2</v>
      </c>
      <c r="AG30" s="26">
        <f t="shared" si="65"/>
        <v>-0.45489335835923217</v>
      </c>
      <c r="AH30" s="26">
        <f t="shared" si="65"/>
        <v>-0.41725171150915152</v>
      </c>
      <c r="AI30" s="26">
        <f t="shared" si="65"/>
        <v>-0.35800337791614467</v>
      </c>
    </row>
    <row r="31" spans="2:101" x14ac:dyDescent="0.2">
      <c r="B31" t="s">
        <v>8</v>
      </c>
      <c r="J31" s="18">
        <f t="shared" ref="J31:R34" si="66">J3/F3-1</f>
        <v>2.8486503503158955E-2</v>
      </c>
      <c r="K31" s="18">
        <f t="shared" si="66"/>
        <v>-4.4429254955570707E-2</v>
      </c>
      <c r="L31" s="18">
        <f t="shared" si="66"/>
        <v>0.16924208977189115</v>
      </c>
      <c r="M31" s="18">
        <f t="shared" si="66"/>
        <v>5.8803931367649609E-2</v>
      </c>
      <c r="N31" s="18">
        <f t="shared" si="66"/>
        <v>0.13110576443957234</v>
      </c>
      <c r="O31" s="18">
        <f t="shared" si="66"/>
        <v>0.13662374821173096</v>
      </c>
      <c r="P31" s="18">
        <f t="shared" si="66"/>
        <v>0</v>
      </c>
      <c r="Q31" s="18">
        <f t="shared" si="66"/>
        <v>0</v>
      </c>
      <c r="R31" s="18">
        <f t="shared" si="66"/>
        <v>0</v>
      </c>
      <c r="X31" s="25">
        <f t="shared" ref="X31:AA35" si="67">+X3/W3-1</f>
        <v>0.1273446136744445</v>
      </c>
      <c r="Y31" s="25">
        <f t="shared" si="67"/>
        <v>3.4365247919556419E-2</v>
      </c>
      <c r="Z31" s="25">
        <f t="shared" si="67"/>
        <v>7.6372702559724059E-2</v>
      </c>
      <c r="AA31" s="25">
        <f t="shared" si="67"/>
        <v>3.0981346309813418E-2</v>
      </c>
    </row>
    <row r="32" spans="2:101" x14ac:dyDescent="0.2">
      <c r="B32" t="s">
        <v>9</v>
      </c>
      <c r="J32" s="18">
        <f t="shared" si="66"/>
        <v>3.5282871295733154E-2</v>
      </c>
      <c r="K32" s="18">
        <f t="shared" si="66"/>
        <v>-9.8765432098765427E-2</v>
      </c>
      <c r="L32" s="18">
        <f t="shared" si="66"/>
        <v>-7.5993091537132962E-2</v>
      </c>
      <c r="M32" s="18">
        <f t="shared" si="66"/>
        <v>-0.10000000000000009</v>
      </c>
      <c r="N32" s="18">
        <f t="shared" si="66"/>
        <v>-9.9999999999999978E-2</v>
      </c>
      <c r="O32" s="18">
        <f t="shared" si="66"/>
        <v>-9.9999999999999978E-2</v>
      </c>
      <c r="P32" s="18">
        <f t="shared" si="66"/>
        <v>-9.9999999999999978E-2</v>
      </c>
      <c r="Q32" s="18">
        <f t="shared" si="66"/>
        <v>-9.9999999999999867E-2</v>
      </c>
      <c r="R32" s="18">
        <f t="shared" si="66"/>
        <v>-9.9999999999999978E-2</v>
      </c>
      <c r="X32" s="25">
        <f t="shared" si="67"/>
        <v>5.5319934456566022E-2</v>
      </c>
      <c r="Y32" s="25">
        <f t="shared" si="67"/>
        <v>1.5075572217411182E-2</v>
      </c>
      <c r="Z32" s="25">
        <f t="shared" si="67"/>
        <v>-9.378786847300713E-2</v>
      </c>
      <c r="AA32" s="25">
        <f t="shared" si="67"/>
        <v>-5.0000000000000044E-2</v>
      </c>
    </row>
    <row r="33" spans="2:35" x14ac:dyDescent="0.2">
      <c r="B33" t="s">
        <v>10</v>
      </c>
      <c r="J33" s="18">
        <f t="shared" si="66"/>
        <v>0.24523760962675922</v>
      </c>
      <c r="K33" s="18">
        <f t="shared" si="66"/>
        <v>0.60264900662251653</v>
      </c>
      <c r="L33" s="18">
        <f t="shared" si="66"/>
        <v>0.33284457478005858</v>
      </c>
      <c r="M33" s="18">
        <f t="shared" si="66"/>
        <v>5.0000000000000044E-2</v>
      </c>
      <c r="N33" s="18">
        <f t="shared" si="66"/>
        <v>5.0000000000000044E-2</v>
      </c>
      <c r="O33" s="18">
        <f t="shared" si="66"/>
        <v>5.0000000000000044E-2</v>
      </c>
      <c r="P33" s="18">
        <f t="shared" si="66"/>
        <v>5.0000000000000044E-2</v>
      </c>
      <c r="Q33" s="18">
        <f t="shared" si="66"/>
        <v>5.0000000000000044E-2</v>
      </c>
      <c r="R33" s="18">
        <f t="shared" si="66"/>
        <v>5.0000000000000044E-2</v>
      </c>
      <c r="X33" s="25">
        <f t="shared" si="67"/>
        <v>0.2514465565174151</v>
      </c>
      <c r="Y33" s="25">
        <f t="shared" si="67"/>
        <v>0.25920775180497668</v>
      </c>
      <c r="Z33" s="25">
        <f t="shared" si="67"/>
        <v>0.20894046859200088</v>
      </c>
      <c r="AA33" s="25">
        <f t="shared" si="67"/>
        <v>5.0000000000000044E-2</v>
      </c>
    </row>
    <row r="34" spans="2:35" x14ac:dyDescent="0.2">
      <c r="B34" t="s">
        <v>11</v>
      </c>
      <c r="J34" s="18">
        <f t="shared" si="66"/>
        <v>0.8482775712515489</v>
      </c>
      <c r="K34" s="18">
        <f t="shared" si="66"/>
        <v>0.92344497607655529</v>
      </c>
      <c r="L34" s="18">
        <f t="shared" si="66"/>
        <v>0.46718146718146736</v>
      </c>
      <c r="M34" s="18">
        <f t="shared" si="66"/>
        <v>0.30000000000000004</v>
      </c>
      <c r="N34" s="18">
        <f t="shared" si="66"/>
        <v>0.30000000000000004</v>
      </c>
      <c r="O34" s="18">
        <f t="shared" si="66"/>
        <v>0.30000000000000004</v>
      </c>
      <c r="P34" s="18">
        <f t="shared" si="66"/>
        <v>0.30000000000000004</v>
      </c>
      <c r="Q34" s="18">
        <f t="shared" si="66"/>
        <v>0.30000000000000004</v>
      </c>
      <c r="R34" s="18">
        <f t="shared" si="66"/>
        <v>0.30000000000000004</v>
      </c>
      <c r="X34" s="25" t="e">
        <f t="shared" si="67"/>
        <v>#DIV/0!</v>
      </c>
      <c r="Y34" s="25">
        <f t="shared" si="67"/>
        <v>1.8710107349698304</v>
      </c>
      <c r="Z34" s="25">
        <f t="shared" si="67"/>
        <v>0.44652509326626055</v>
      </c>
      <c r="AA34" s="25">
        <f t="shared" si="67"/>
        <v>0.30000000000000004</v>
      </c>
    </row>
    <row r="35" spans="2:35" x14ac:dyDescent="0.2">
      <c r="B35" t="s">
        <v>12</v>
      </c>
      <c r="L35" s="18"/>
      <c r="X35" s="25" t="e">
        <f t="shared" si="67"/>
        <v>#DIV/0!</v>
      </c>
      <c r="Y35" s="25" t="e">
        <f t="shared" si="67"/>
        <v>#DIV/0!</v>
      </c>
      <c r="Z35" s="25">
        <f t="shared" si="67"/>
        <v>2.4535048671917035</v>
      </c>
      <c r="AA35" s="25">
        <f t="shared" si="67"/>
        <v>0</v>
      </c>
    </row>
    <row r="37" spans="2:35" x14ac:dyDescent="0.2">
      <c r="B37" t="s">
        <v>87</v>
      </c>
      <c r="L37" s="15">
        <f>L38-L49</f>
        <v>947.7</v>
      </c>
      <c r="M37" s="15">
        <f>+L37+M19</f>
        <v>1150.7679000000001</v>
      </c>
      <c r="N37" s="15">
        <f>+M37+N19</f>
        <v>1369.0378800000001</v>
      </c>
      <c r="Z37" s="14">
        <f>+N37</f>
        <v>1369.0378800000001</v>
      </c>
      <c r="AA37" s="14">
        <f t="shared" ref="AA37:AI37" si="68">+Z37+AA19</f>
        <v>2329.6624003800002</v>
      </c>
      <c r="AB37" s="14">
        <f t="shared" si="68"/>
        <v>3220.1328241036804</v>
      </c>
      <c r="AC37" s="14">
        <f t="shared" si="68"/>
        <v>3937.8592850124128</v>
      </c>
      <c r="AD37" s="14">
        <f t="shared" si="68"/>
        <v>4578.6536765602596</v>
      </c>
      <c r="AE37" s="14">
        <f t="shared" si="68"/>
        <v>5191.2103782843942</v>
      </c>
      <c r="AF37" s="14">
        <f t="shared" si="68"/>
        <v>5800.6924719124127</v>
      </c>
      <c r="AG37" s="14">
        <f t="shared" si="68"/>
        <v>6239.8786609061499</v>
      </c>
      <c r="AH37" s="14">
        <f t="shared" si="68"/>
        <v>6598.7569227012164</v>
      </c>
      <c r="AI37" s="14">
        <f t="shared" si="68"/>
        <v>6922.4954869196827</v>
      </c>
    </row>
    <row r="38" spans="2:35" x14ac:dyDescent="0.2">
      <c r="B38" t="s">
        <v>3</v>
      </c>
      <c r="L38" s="15">
        <f>837.5+107.2+3.9</f>
        <v>948.6</v>
      </c>
    </row>
    <row r="39" spans="2:35" x14ac:dyDescent="0.2">
      <c r="B39" t="s">
        <v>88</v>
      </c>
      <c r="L39" s="15">
        <v>238.1</v>
      </c>
    </row>
    <row r="40" spans="2:35" x14ac:dyDescent="0.2">
      <c r="B40" t="s">
        <v>89</v>
      </c>
      <c r="L40" s="15">
        <v>89.1</v>
      </c>
    </row>
    <row r="41" spans="2:35" x14ac:dyDescent="0.2">
      <c r="B41" t="s">
        <v>90</v>
      </c>
      <c r="L41" s="15">
        <v>43.5</v>
      </c>
    </row>
    <row r="42" spans="2:35" x14ac:dyDescent="0.2">
      <c r="B42" t="s">
        <v>95</v>
      </c>
      <c r="L42" s="15">
        <v>34.1</v>
      </c>
    </row>
    <row r="43" spans="2:35" x14ac:dyDescent="0.2">
      <c r="B43" t="s">
        <v>91</v>
      </c>
      <c r="L43" s="15">
        <v>490.6</v>
      </c>
    </row>
    <row r="44" spans="2:35" x14ac:dyDescent="0.2">
      <c r="B44" t="s">
        <v>92</v>
      </c>
      <c r="L44" s="15">
        <v>188.1</v>
      </c>
    </row>
    <row r="45" spans="2:35" x14ac:dyDescent="0.2">
      <c r="B45" t="s">
        <v>93</v>
      </c>
      <c r="L45" s="15">
        <v>169.4</v>
      </c>
    </row>
    <row r="46" spans="2:35" x14ac:dyDescent="0.2">
      <c r="B46" t="s">
        <v>94</v>
      </c>
      <c r="L46" s="15">
        <f>SUM(L38:L45)</f>
        <v>2201.5</v>
      </c>
    </row>
    <row r="48" spans="2:35" x14ac:dyDescent="0.2">
      <c r="B48" t="s">
        <v>96</v>
      </c>
      <c r="L48" s="15">
        <v>124</v>
      </c>
    </row>
    <row r="49" spans="2:12" x14ac:dyDescent="0.2">
      <c r="B49" t="s">
        <v>4</v>
      </c>
      <c r="L49" s="15">
        <v>0.9</v>
      </c>
    </row>
    <row r="50" spans="2:12" x14ac:dyDescent="0.2">
      <c r="B50" t="s">
        <v>97</v>
      </c>
      <c r="L50" s="15">
        <v>120.9</v>
      </c>
    </row>
    <row r="51" spans="2:12" x14ac:dyDescent="0.2">
      <c r="B51" t="s">
        <v>98</v>
      </c>
      <c r="L51" s="15">
        <v>46.6</v>
      </c>
    </row>
    <row r="52" spans="2:12" x14ac:dyDescent="0.2">
      <c r="B52" t="s">
        <v>99</v>
      </c>
      <c r="L52" s="15">
        <v>92</v>
      </c>
    </row>
    <row r="53" spans="2:12" x14ac:dyDescent="0.2">
      <c r="B53" t="s">
        <v>100</v>
      </c>
      <c r="L53" s="15">
        <f>10.9+1806.2</f>
        <v>1817.1000000000001</v>
      </c>
    </row>
    <row r="54" spans="2:12" x14ac:dyDescent="0.2">
      <c r="B54" t="s">
        <v>101</v>
      </c>
      <c r="L54" s="15">
        <f>SUM(L48:L53)</f>
        <v>2201.5</v>
      </c>
    </row>
  </sheetData>
  <hyperlinks>
    <hyperlink ref="A1" location="Main!A1" display="Main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/>
  </sheetViews>
  <sheetFormatPr defaultRowHeight="12.75" x14ac:dyDescent="0.2"/>
  <cols>
    <col min="1" max="1" width="5" bestFit="1" customWidth="1"/>
    <col min="2" max="2" width="14.5703125" customWidth="1"/>
    <col min="3" max="3" width="11.140625" customWidth="1"/>
    <col min="4" max="4" width="17.85546875" customWidth="1"/>
    <col min="5" max="5" width="14.5703125" customWidth="1"/>
  </cols>
  <sheetData>
    <row r="1" spans="1:5" x14ac:dyDescent="0.2">
      <c r="A1" s="20" t="s">
        <v>15</v>
      </c>
    </row>
    <row r="2" spans="1:5" x14ac:dyDescent="0.2">
      <c r="B2" t="s">
        <v>55</v>
      </c>
      <c r="C2" t="s">
        <v>8</v>
      </c>
    </row>
    <row r="3" spans="1:5" x14ac:dyDescent="0.2">
      <c r="B3" t="s">
        <v>56</v>
      </c>
      <c r="C3" t="s">
        <v>52</v>
      </c>
    </row>
    <row r="4" spans="1:5" x14ac:dyDescent="0.2">
      <c r="B4" t="s">
        <v>13</v>
      </c>
      <c r="C4" t="s">
        <v>14</v>
      </c>
    </row>
    <row r="5" spans="1:5" x14ac:dyDescent="0.2">
      <c r="B5" t="s">
        <v>64</v>
      </c>
      <c r="C5" t="s">
        <v>76</v>
      </c>
    </row>
    <row r="6" spans="1:5" x14ac:dyDescent="0.2">
      <c r="B6" t="s">
        <v>0</v>
      </c>
    </row>
    <row r="7" spans="1:5" x14ac:dyDescent="0.2">
      <c r="B7" t="s">
        <v>63</v>
      </c>
      <c r="E7" s="29" t="s">
        <v>113</v>
      </c>
    </row>
    <row r="8" spans="1:5" x14ac:dyDescent="0.2">
      <c r="B8" t="s">
        <v>48</v>
      </c>
      <c r="C8" s="23" t="s">
        <v>57</v>
      </c>
      <c r="D8" t="s">
        <v>65</v>
      </c>
      <c r="E8" s="24">
        <v>43032</v>
      </c>
    </row>
    <row r="9" spans="1:5" x14ac:dyDescent="0.2">
      <c r="C9" s="23" t="s">
        <v>62</v>
      </c>
      <c r="D9" t="s">
        <v>68</v>
      </c>
      <c r="E9" s="24">
        <v>45436</v>
      </c>
    </row>
    <row r="10" spans="1:5" x14ac:dyDescent="0.2">
      <c r="C10" s="23" t="s">
        <v>59</v>
      </c>
      <c r="D10" t="s">
        <v>67</v>
      </c>
      <c r="E10" s="24">
        <v>47102</v>
      </c>
    </row>
    <row r="11" spans="1:5" x14ac:dyDescent="0.2">
      <c r="C11" s="23" t="s">
        <v>60</v>
      </c>
      <c r="D11" t="s">
        <v>66</v>
      </c>
      <c r="E11" s="24">
        <v>47001</v>
      </c>
    </row>
    <row r="12" spans="1:5" x14ac:dyDescent="0.2">
      <c r="C12" s="23" t="s">
        <v>61</v>
      </c>
      <c r="D12" t="s">
        <v>66</v>
      </c>
      <c r="E12" s="24">
        <v>47001</v>
      </c>
    </row>
    <row r="13" spans="1:5" x14ac:dyDescent="0.2">
      <c r="C13" s="23" t="s">
        <v>58</v>
      </c>
      <c r="D13" t="s">
        <v>66</v>
      </c>
      <c r="E13" s="24">
        <v>47206</v>
      </c>
    </row>
    <row r="15" spans="1:5" x14ac:dyDescent="0.2">
      <c r="C15" t="s">
        <v>69</v>
      </c>
    </row>
    <row r="16" spans="1:5" x14ac:dyDescent="0.2">
      <c r="C16" t="s">
        <v>70</v>
      </c>
    </row>
  </sheetData>
  <hyperlinks>
    <hyperlink ref="A1" location="Main!A1" display="Main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E8" sqref="E8"/>
    </sheetView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t="s">
        <v>15</v>
      </c>
    </row>
    <row r="2" spans="1:3" x14ac:dyDescent="0.2">
      <c r="B2" t="s">
        <v>6</v>
      </c>
      <c r="C2" t="s">
        <v>9</v>
      </c>
    </row>
    <row r="3" spans="1:3" x14ac:dyDescent="0.2">
      <c r="B3" t="s">
        <v>7</v>
      </c>
      <c r="C3" t="s">
        <v>52</v>
      </c>
    </row>
    <row r="4" spans="1:3" x14ac:dyDescent="0.2">
      <c r="B4" t="s">
        <v>13</v>
      </c>
      <c r="C4" t="s">
        <v>14</v>
      </c>
    </row>
    <row r="5" spans="1:3" x14ac:dyDescent="0.2">
      <c r="B5" t="s">
        <v>77</v>
      </c>
      <c r="C5" t="s">
        <v>71</v>
      </c>
    </row>
    <row r="6" spans="1:3" x14ac:dyDescent="0.2">
      <c r="B6" t="s">
        <v>48</v>
      </c>
      <c r="C6" s="23" t="s">
        <v>78</v>
      </c>
    </row>
    <row r="7" spans="1:3" x14ac:dyDescent="0.2">
      <c r="C7" s="23" t="s">
        <v>79</v>
      </c>
    </row>
    <row r="8" spans="1:3" x14ac:dyDescent="0.2">
      <c r="C8" s="23" t="s">
        <v>57</v>
      </c>
    </row>
    <row r="9" spans="1:3" x14ac:dyDescent="0.2">
      <c r="C9" s="23" t="s">
        <v>59</v>
      </c>
    </row>
    <row r="10" spans="1:3" x14ac:dyDescent="0.2">
      <c r="C10" s="23" t="s">
        <v>80</v>
      </c>
    </row>
    <row r="11" spans="1:3" x14ac:dyDescent="0.2">
      <c r="C11" s="23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Model</vt:lpstr>
      <vt:lpstr>Remodulin</vt:lpstr>
      <vt:lpstr>Tyvaso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2016-08-30T22:58:23Z</dcterms:created>
  <dcterms:modified xsi:type="dcterms:W3CDTF">2016-08-31T00:29:11Z</dcterms:modified>
</cp:coreProperties>
</file>