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590" windowHeight="9525"/>
  </bookViews>
  <sheets>
    <sheet name="Main" sheetId="1" r:id="rId1"/>
    <sheet name="Model" sheetId="2" r:id="rId2"/>
    <sheet name="15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5" i="2" l="1"/>
  <c r="AN24" i="2"/>
  <c r="AM18" i="2"/>
  <c r="AN18" i="2" s="1"/>
  <c r="AO18" i="2" s="1"/>
  <c r="AP18" i="2" s="1"/>
  <c r="AQ18" i="2" s="1"/>
  <c r="AR18" i="2" s="1"/>
  <c r="AL18" i="2"/>
  <c r="Y15" i="2"/>
  <c r="X15" i="2"/>
  <c r="X24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Z4" i="2"/>
  <c r="Y4" i="2"/>
  <c r="AI3" i="2"/>
  <c r="X22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X20" i="2"/>
  <c r="X16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X14" i="2" s="1"/>
  <c r="AI12" i="2"/>
  <c r="AF12" i="2"/>
  <c r="AG12" i="2" s="1"/>
  <c r="AH12" i="2" s="1"/>
  <c r="AE12" i="2"/>
  <c r="AB12" i="2"/>
  <c r="AC12" i="2" s="1"/>
  <c r="AD12" i="2" s="1"/>
  <c r="AA12" i="2"/>
  <c r="Y12" i="2"/>
  <c r="Z12" i="2" s="1"/>
  <c r="X12" i="2"/>
  <c r="X10" i="2"/>
  <c r="X9" i="2"/>
  <c r="AJ3" i="2"/>
  <c r="X4" i="2"/>
  <c r="Y3" i="2"/>
  <c r="Y6" i="2" s="1"/>
  <c r="Y8" i="2" s="1"/>
  <c r="X3" i="2"/>
  <c r="W22" i="2"/>
  <c r="W20" i="2"/>
  <c r="W17" i="2"/>
  <c r="W15" i="2"/>
  <c r="W14" i="2"/>
  <c r="W16" i="2" s="1"/>
  <c r="W18" i="2" s="1"/>
  <c r="W19" i="2" s="1"/>
  <c r="W13" i="2"/>
  <c r="W12" i="2"/>
  <c r="W11" i="2"/>
  <c r="W10" i="2"/>
  <c r="W9" i="2"/>
  <c r="N19" i="2"/>
  <c r="M19" i="2"/>
  <c r="L19" i="2"/>
  <c r="M20" i="2"/>
  <c r="N20" i="2" s="1"/>
  <c r="L20" i="2"/>
  <c r="N18" i="2"/>
  <c r="M18" i="2"/>
  <c r="L18" i="2"/>
  <c r="N17" i="2"/>
  <c r="M17" i="2"/>
  <c r="L17" i="2"/>
  <c r="N16" i="2"/>
  <c r="M16" i="2"/>
  <c r="L16" i="2"/>
  <c r="M15" i="2"/>
  <c r="N15" i="2" s="1"/>
  <c r="L15" i="2"/>
  <c r="N13" i="2"/>
  <c r="N14" i="2" s="1"/>
  <c r="M13" i="2"/>
  <c r="M14" i="2" s="1"/>
  <c r="L13" i="2"/>
  <c r="L14" i="2" s="1"/>
  <c r="N12" i="2"/>
  <c r="M12" i="2"/>
  <c r="L12" i="2"/>
  <c r="N9" i="2"/>
  <c r="M9" i="2"/>
  <c r="L9" i="2"/>
  <c r="N10" i="2"/>
  <c r="M10" i="2"/>
  <c r="M22" i="2" s="1"/>
  <c r="L10" i="2"/>
  <c r="L22" i="2" s="1"/>
  <c r="N22" i="2"/>
  <c r="J22" i="2"/>
  <c r="I22" i="2"/>
  <c r="H22" i="2"/>
  <c r="G22" i="2"/>
  <c r="K22" i="2"/>
  <c r="M4" i="2"/>
  <c r="N4" i="2" s="1"/>
  <c r="W4" i="2" s="1"/>
  <c r="L4" i="2"/>
  <c r="L6" i="2" s="1"/>
  <c r="L8" i="2" s="1"/>
  <c r="M3" i="2"/>
  <c r="N3" i="2" s="1"/>
  <c r="L3" i="2"/>
  <c r="X6" i="2"/>
  <c r="X8" i="2" s="1"/>
  <c r="V6" i="2"/>
  <c r="V8" i="2" s="1"/>
  <c r="U6" i="2"/>
  <c r="T6" i="2"/>
  <c r="S6" i="2"/>
  <c r="R6" i="2"/>
  <c r="Q6" i="2"/>
  <c r="U8" i="2"/>
  <c r="T8" i="2"/>
  <c r="S8" i="2"/>
  <c r="R8" i="2"/>
  <c r="Q8" i="2"/>
  <c r="W7" i="2"/>
  <c r="W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R2" i="2"/>
  <c r="D15" i="2"/>
  <c r="D9" i="2"/>
  <c r="D13" i="2"/>
  <c r="D8" i="2"/>
  <c r="D10" i="2" s="1"/>
  <c r="D7" i="2"/>
  <c r="D5" i="2"/>
  <c r="H17" i="2"/>
  <c r="H15" i="2"/>
  <c r="H9" i="2"/>
  <c r="H13" i="2"/>
  <c r="H8" i="2"/>
  <c r="H10" i="2" s="1"/>
  <c r="H14" i="2" s="1"/>
  <c r="H7" i="2"/>
  <c r="H5" i="2"/>
  <c r="E15" i="2"/>
  <c r="E9" i="2"/>
  <c r="E13" i="2"/>
  <c r="E8" i="2"/>
  <c r="E10" i="2" s="1"/>
  <c r="E7" i="2"/>
  <c r="E5" i="2"/>
  <c r="I17" i="2"/>
  <c r="I15" i="2"/>
  <c r="I9" i="2"/>
  <c r="I13" i="2"/>
  <c r="I8" i="2"/>
  <c r="I10" i="2" s="1"/>
  <c r="I7" i="2"/>
  <c r="I5" i="2"/>
  <c r="I6" i="2" s="1"/>
  <c r="G19" i="2"/>
  <c r="F19" i="2"/>
  <c r="F17" i="2"/>
  <c r="F15" i="2"/>
  <c r="F9" i="2"/>
  <c r="F13" i="2"/>
  <c r="F8" i="2"/>
  <c r="F10" i="2" s="1"/>
  <c r="F7" i="2"/>
  <c r="F5" i="2"/>
  <c r="F6" i="2" s="1"/>
  <c r="J17" i="2"/>
  <c r="J15" i="2"/>
  <c r="J9" i="2"/>
  <c r="J13" i="2"/>
  <c r="J8" i="2"/>
  <c r="J10" i="2" s="1"/>
  <c r="J7" i="2"/>
  <c r="J5" i="2"/>
  <c r="G17" i="2"/>
  <c r="G15" i="2"/>
  <c r="G9" i="2"/>
  <c r="G7" i="2"/>
  <c r="G13" i="2"/>
  <c r="G8" i="2"/>
  <c r="G10" i="2" s="1"/>
  <c r="K17" i="2"/>
  <c r="K15" i="2"/>
  <c r="K13" i="2"/>
  <c r="K10" i="2"/>
  <c r="K14" i="2" s="1"/>
  <c r="K16" i="2" s="1"/>
  <c r="K18" i="2" s="1"/>
  <c r="K19" i="2" s="1"/>
  <c r="K9" i="2"/>
  <c r="K8" i="2"/>
  <c r="K7" i="2"/>
  <c r="E6" i="2"/>
  <c r="D6" i="2"/>
  <c r="J6" i="2"/>
  <c r="H6" i="2"/>
  <c r="G6" i="2"/>
  <c r="K6" i="2"/>
  <c r="K6" i="1"/>
  <c r="K7" i="1" s="1"/>
  <c r="K5" i="1"/>
  <c r="K4" i="1"/>
  <c r="X17" i="2" l="1"/>
  <c r="X18" i="2" s="1"/>
  <c r="Y9" i="2"/>
  <c r="Y10" i="2" s="1"/>
  <c r="AJ6" i="2"/>
  <c r="AJ8" i="2" s="1"/>
  <c r="AJ9" i="2" s="1"/>
  <c r="AJ10" i="2" s="1"/>
  <c r="AJ22" i="2" s="1"/>
  <c r="AK3" i="2"/>
  <c r="AK6" i="2"/>
  <c r="AK8" i="2" s="1"/>
  <c r="AK9" i="2" s="1"/>
  <c r="AK10" i="2" s="1"/>
  <c r="Z3" i="2"/>
  <c r="M6" i="2"/>
  <c r="M8" i="2" s="1"/>
  <c r="N6" i="2"/>
  <c r="N8" i="2" s="1"/>
  <c r="W3" i="2"/>
  <c r="W6" i="2" s="1"/>
  <c r="W8" i="2" s="1"/>
  <c r="D14" i="2"/>
  <c r="D16" i="2" s="1"/>
  <c r="D18" i="2" s="1"/>
  <c r="D19" i="2" s="1"/>
  <c r="H16" i="2"/>
  <c r="H18" i="2" s="1"/>
  <c r="H19" i="2" s="1"/>
  <c r="E14" i="2"/>
  <c r="E16" i="2" s="1"/>
  <c r="E18" i="2" s="1"/>
  <c r="E19" i="2" s="1"/>
  <c r="I14" i="2"/>
  <c r="I16" i="2" s="1"/>
  <c r="I18" i="2" s="1"/>
  <c r="I19" i="2" s="1"/>
  <c r="F14" i="2"/>
  <c r="F16" i="2" s="1"/>
  <c r="F18" i="2" s="1"/>
  <c r="J14" i="2"/>
  <c r="J16" i="2" s="1"/>
  <c r="J18" i="2" s="1"/>
  <c r="J19" i="2" s="1"/>
  <c r="G14" i="2"/>
  <c r="G16" i="2" s="1"/>
  <c r="G18" i="2" s="1"/>
  <c r="Y24" i="2" l="1"/>
  <c r="X19" i="2"/>
  <c r="Y22" i="2"/>
  <c r="Y14" i="2"/>
  <c r="Y16" i="2" s="1"/>
  <c r="AJ14" i="2"/>
  <c r="AK22" i="2"/>
  <c r="AK14" i="2"/>
  <c r="Z6" i="2"/>
  <c r="Z8" i="2" s="1"/>
  <c r="AA3" i="2"/>
  <c r="Z15" i="2" l="1"/>
  <c r="Z9" i="2"/>
  <c r="Z10" i="2" s="1"/>
  <c r="Y17" i="2"/>
  <c r="Y18" i="2"/>
  <c r="Z24" i="2" s="1"/>
  <c r="AB3" i="2"/>
  <c r="AA6" i="2"/>
  <c r="AA8" i="2" s="1"/>
  <c r="AA15" i="2" l="1"/>
  <c r="Z14" i="2"/>
  <c r="Z16" i="2" s="1"/>
  <c r="Z22" i="2"/>
  <c r="AA9" i="2"/>
  <c r="AA10" i="2"/>
  <c r="Y19" i="2"/>
  <c r="AB6" i="2"/>
  <c r="AB8" i="2" s="1"/>
  <c r="AC3" i="2"/>
  <c r="AA14" i="2" l="1"/>
  <c r="AA16" i="2" s="1"/>
  <c r="AA22" i="2"/>
  <c r="AB9" i="2"/>
  <c r="AB10" i="2" s="1"/>
  <c r="Z17" i="2"/>
  <c r="Z18" i="2" s="1"/>
  <c r="AA24" i="2" s="1"/>
  <c r="AC6" i="2"/>
  <c r="AC8" i="2" s="1"/>
  <c r="AD3" i="2"/>
  <c r="AB15" i="2" l="1"/>
  <c r="Z19" i="2"/>
  <c r="AB22" i="2"/>
  <c r="AB14" i="2"/>
  <c r="AB16" i="2" s="1"/>
  <c r="AC9" i="2"/>
  <c r="AC10" i="2" s="1"/>
  <c r="AA17" i="2"/>
  <c r="AA18" i="2"/>
  <c r="AA19" i="2" s="1"/>
  <c r="AD6" i="2"/>
  <c r="AD8" i="2" s="1"/>
  <c r="AE3" i="2"/>
  <c r="AB24" i="2" l="1"/>
  <c r="AD9" i="2"/>
  <c r="AD10" i="2" s="1"/>
  <c r="AC22" i="2"/>
  <c r="AC14" i="2"/>
  <c r="AB17" i="2"/>
  <c r="AB18" i="2" s="1"/>
  <c r="AE6" i="2"/>
  <c r="AE8" i="2" s="1"/>
  <c r="AE9" i="2" s="1"/>
  <c r="AE10" i="2" s="1"/>
  <c r="AF3" i="2"/>
  <c r="AC24" i="2" l="1"/>
  <c r="AC15" i="2"/>
  <c r="AC16" i="2" s="1"/>
  <c r="AC17" i="2" s="1"/>
  <c r="AC18" i="2" s="1"/>
  <c r="AB19" i="2"/>
  <c r="AD22" i="2"/>
  <c r="AD14" i="2"/>
  <c r="AE14" i="2"/>
  <c r="AE22" i="2"/>
  <c r="AG3" i="2"/>
  <c r="AF6" i="2"/>
  <c r="AF8" i="2" s="1"/>
  <c r="AF9" i="2" s="1"/>
  <c r="AF10" i="2" s="1"/>
  <c r="AD24" i="2" l="1"/>
  <c r="AD15" i="2"/>
  <c r="AD16" i="2" s="1"/>
  <c r="AD17" i="2" s="1"/>
  <c r="AD18" i="2" s="1"/>
  <c r="AD19" i="2" s="1"/>
  <c r="AC19" i="2"/>
  <c r="AF22" i="2"/>
  <c r="AF14" i="2"/>
  <c r="AG6" i="2"/>
  <c r="AG8" i="2" s="1"/>
  <c r="AG9" i="2" s="1"/>
  <c r="AG10" i="2" s="1"/>
  <c r="AH3" i="2"/>
  <c r="AE24" i="2" l="1"/>
  <c r="AE15" i="2"/>
  <c r="AE16" i="2" s="1"/>
  <c r="AE17" i="2" s="1"/>
  <c r="AE18" i="2" s="1"/>
  <c r="AE19" i="2" s="1"/>
  <c r="AG22" i="2"/>
  <c r="AG14" i="2"/>
  <c r="AI6" i="2"/>
  <c r="AI8" i="2" s="1"/>
  <c r="AI9" i="2" s="1"/>
  <c r="AI10" i="2" s="1"/>
  <c r="AH6" i="2"/>
  <c r="AH8" i="2" s="1"/>
  <c r="AF24" i="2" l="1"/>
  <c r="AF15" i="2"/>
  <c r="AF16" i="2" s="1"/>
  <c r="AF17" i="2" s="1"/>
  <c r="AF18" i="2" s="1"/>
  <c r="AF19" i="2" s="1"/>
  <c r="AH9" i="2"/>
  <c r="AH10" i="2" s="1"/>
  <c r="AI22" i="2"/>
  <c r="AI14" i="2"/>
  <c r="AG24" i="2" l="1"/>
  <c r="AG15" i="2"/>
  <c r="AG16" i="2" s="1"/>
  <c r="AG17" i="2" s="1"/>
  <c r="AG18" i="2" s="1"/>
  <c r="AG19" i="2" s="1"/>
  <c r="AH22" i="2"/>
  <c r="AH14" i="2"/>
  <c r="AH24" i="2" l="1"/>
  <c r="AH15" i="2"/>
  <c r="AH16" i="2" s="1"/>
  <c r="AH17" i="2" s="1"/>
  <c r="AH18" i="2" s="1"/>
  <c r="AI24" i="2" l="1"/>
  <c r="AI15" i="2"/>
  <c r="AI16" i="2" s="1"/>
  <c r="AI17" i="2" s="1"/>
  <c r="AI18" i="2" s="1"/>
  <c r="AI19" i="2" s="1"/>
  <c r="AH19" i="2"/>
  <c r="AJ24" i="2" l="1"/>
  <c r="AJ15" i="2"/>
  <c r="AJ16" i="2" s="1"/>
  <c r="AJ17" i="2" s="1"/>
  <c r="AJ18" i="2" s="1"/>
  <c r="AJ19" i="2" l="1"/>
  <c r="AK24" i="2"/>
  <c r="AK15" i="2"/>
  <c r="AK16" i="2" s="1"/>
  <c r="AK17" i="2" l="1"/>
  <c r="AK18" i="2"/>
  <c r="AK19" i="2" l="1"/>
</calcChain>
</file>

<file path=xl/comments1.xml><?xml version="1.0" encoding="utf-8"?>
<comments xmlns="http://schemas.openxmlformats.org/spreadsheetml/2006/main">
  <authors>
    <author>Martin Shkreli</author>
  </authors>
  <commentList>
    <comment ref="W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Q1: 685-705 guidance</t>
        </r>
      </text>
    </comment>
    <comment ref="AH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LOE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Q1: 1.0-1.1b guidance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LOE</t>
        </r>
      </text>
    </comment>
  </commentList>
</comments>
</file>

<file path=xl/sharedStrings.xml><?xml version="1.0" encoding="utf-8"?>
<sst xmlns="http://schemas.openxmlformats.org/spreadsheetml/2006/main" count="108" uniqueCount="86">
  <si>
    <t>Price</t>
  </si>
  <si>
    <t>Shares</t>
  </si>
  <si>
    <t>MC</t>
  </si>
  <si>
    <t>Cash</t>
  </si>
  <si>
    <t>Debt</t>
  </si>
  <si>
    <t>EV</t>
  </si>
  <si>
    <t>Q116</t>
  </si>
  <si>
    <t>Brand</t>
  </si>
  <si>
    <t>Generic</t>
  </si>
  <si>
    <t>Indication</t>
  </si>
  <si>
    <t>Approved</t>
  </si>
  <si>
    <t>Cystic Fibrosis</t>
  </si>
  <si>
    <t>Orkambi</t>
  </si>
  <si>
    <t>Kalydeco</t>
  </si>
  <si>
    <t>Main</t>
  </si>
  <si>
    <t>Q115</t>
  </si>
  <si>
    <t>Q215</t>
  </si>
  <si>
    <t>Q315</t>
  </si>
  <si>
    <t>Q415</t>
  </si>
  <si>
    <t>Q216</t>
  </si>
  <si>
    <t>Q316</t>
  </si>
  <si>
    <t>Q416</t>
  </si>
  <si>
    <t>Phase</t>
  </si>
  <si>
    <t>VX-661</t>
  </si>
  <si>
    <t>VX-371</t>
  </si>
  <si>
    <t>MOA</t>
  </si>
  <si>
    <t>eNAC</t>
  </si>
  <si>
    <t>VX-152</t>
  </si>
  <si>
    <t>VX-440</t>
  </si>
  <si>
    <t>VX-970</t>
  </si>
  <si>
    <t>VX-150</t>
  </si>
  <si>
    <t>VX-241</t>
  </si>
  <si>
    <t>Pain</t>
  </si>
  <si>
    <t>Cancer</t>
  </si>
  <si>
    <t>VX-803</t>
  </si>
  <si>
    <t>VX-984</t>
  </si>
  <si>
    <t>VX-210</t>
  </si>
  <si>
    <t>SCI</t>
  </si>
  <si>
    <t>Incivek</t>
  </si>
  <si>
    <t>Product</t>
  </si>
  <si>
    <t>Q114</t>
  </si>
  <si>
    <t>Q214</t>
  </si>
  <si>
    <t>Q314</t>
  </si>
  <si>
    <t>Q414</t>
  </si>
  <si>
    <t>Other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</si>
  <si>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</si>
  <si>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</si>
  <si>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</si>
  <si>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</si>
  <si>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</si>
  <si>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</si>
  <si>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</si>
  <si>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Taxes+MI</t>
  </si>
  <si>
    <t>Net Income</t>
  </si>
  <si>
    <t>Pretax Income</t>
  </si>
  <si>
    <t>Interest Income</t>
  </si>
  <si>
    <t>EPS</t>
  </si>
  <si>
    <t>Nav 1.8</t>
  </si>
  <si>
    <t>Brand Name</t>
  </si>
  <si>
    <t>Clinical Trials</t>
  </si>
  <si>
    <t>Phase II n=112 Knee OA 14-day NCT02660424</t>
  </si>
  <si>
    <t>WOMAC at 14 days</t>
  </si>
  <si>
    <t>Nav1.8 inhibitor</t>
  </si>
  <si>
    <t>Rho</t>
  </si>
  <si>
    <t>PC</t>
  </si>
  <si>
    <t>II</t>
  </si>
  <si>
    <t>CRISPR/CAS9</t>
  </si>
  <si>
    <t>CRISPR</t>
  </si>
  <si>
    <t>Economics</t>
  </si>
  <si>
    <t>ivacaftor</t>
  </si>
  <si>
    <t>lumacaftor</t>
  </si>
  <si>
    <t>F508del Cystic Fibrosis</t>
  </si>
  <si>
    <t>Parion</t>
  </si>
  <si>
    <t>III</t>
  </si>
  <si>
    <t>II/III</t>
  </si>
  <si>
    <t>BioAxone</t>
  </si>
  <si>
    <t>ATR</t>
  </si>
  <si>
    <t>DNA-PKcs</t>
  </si>
  <si>
    <t>Gross Margin</t>
  </si>
  <si>
    <t>CFF/RP</t>
  </si>
  <si>
    <t>NPV</t>
  </si>
  <si>
    <t>Discount</t>
  </si>
  <si>
    <t>ROIC</t>
  </si>
  <si>
    <t>Net Cash</t>
  </si>
  <si>
    <t>Maturity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</si>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</sst>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3" fillId="0" borderId="0" xfId="0" applyFont="1"/>
    <xf numFmtId="0" fontId="2" fillId="0" borderId="1" xfId="1" applyBorder="1"/>
    <xf numFmtId="1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28575</xdr:rowOff>
    </xdr:from>
    <xdr:to>
      <xdr:col>11</xdr:col>
      <xdr:colOff>38100</xdr:colOff>
      <xdr:row>50</xdr:row>
      <xdr:rowOff>104775</xdr:rowOff>
    </xdr:to>
    <xdr:cxnSp macro="">
      <xdr:nvCxnSpPr>
        <xdr:cNvPr id="3" name="Straight Connector 2"/>
        <xdr:cNvCxnSpPr/>
      </xdr:nvCxnSpPr>
      <xdr:spPr>
        <a:xfrm>
          <a:off x="6467475" y="28575"/>
          <a:ext cx="0" cy="817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0</xdr:row>
      <xdr:rowOff>0</xdr:rowOff>
    </xdr:from>
    <xdr:to>
      <xdr:col>21</xdr:col>
      <xdr:colOff>600075</xdr:colOff>
      <xdr:row>50</xdr:row>
      <xdr:rowOff>76200</xdr:rowOff>
    </xdr:to>
    <xdr:cxnSp macro="">
      <xdr:nvCxnSpPr>
        <xdr:cNvPr id="4" name="Straight Connector 3"/>
        <xdr:cNvCxnSpPr/>
      </xdr:nvCxnSpPr>
      <xdr:spPr>
        <a:xfrm>
          <a:off x="13725525" y="0"/>
          <a:ext cx="0" cy="817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E5" sqref="E5"/>
    </sheetView>
  </sheetViews>
  <sheetFormatPr defaultRowHeight="12.75" x14ac:dyDescent="0.2"/>
  <cols>
    <col min="1" max="1" width="7.28515625" customWidth="1"/>
    <col min="2" max="2" width="13.42578125" bestFit="1" customWidth="1"/>
    <col min="3" max="3" width="10" customWidth="1"/>
    <col min="4" max="4" width="20.85546875" bestFit="1" customWidth="1"/>
    <col min="5" max="5" width="12.140625" customWidth="1"/>
    <col min="6" max="6" width="12.28515625" customWidth="1"/>
    <col min="7" max="7" width="10.28515625" bestFit="1" customWidth="1"/>
  </cols>
  <sheetData>
    <row r="2" spans="2:12" x14ac:dyDescent="0.2">
      <c r="B2" s="7" t="s">
        <v>7</v>
      </c>
      <c r="C2" s="8" t="s">
        <v>8</v>
      </c>
      <c r="D2" s="9" t="s">
        <v>9</v>
      </c>
      <c r="E2" s="9" t="s">
        <v>10</v>
      </c>
      <c r="F2" s="9" t="s">
        <v>25</v>
      </c>
      <c r="G2" s="9" t="s">
        <v>68</v>
      </c>
      <c r="H2" s="12"/>
      <c r="J2" t="s">
        <v>0</v>
      </c>
      <c r="K2">
        <v>86.73</v>
      </c>
    </row>
    <row r="3" spans="2:12" x14ac:dyDescent="0.2">
      <c r="B3" s="3" t="s">
        <v>13</v>
      </c>
      <c r="C3" s="4" t="s">
        <v>69</v>
      </c>
      <c r="D3" s="10" t="s">
        <v>11</v>
      </c>
      <c r="E3" s="25">
        <v>40939</v>
      </c>
      <c r="F3" s="10"/>
      <c r="G3" s="10" t="s">
        <v>79</v>
      </c>
      <c r="H3" s="13"/>
      <c r="J3" t="s">
        <v>1</v>
      </c>
      <c r="K3" s="1">
        <v>247.349864</v>
      </c>
      <c r="L3" s="2" t="s">
        <v>6</v>
      </c>
    </row>
    <row r="4" spans="2:12" x14ac:dyDescent="0.2">
      <c r="B4" s="3" t="s">
        <v>12</v>
      </c>
      <c r="C4" s="4" t="s">
        <v>70</v>
      </c>
      <c r="D4" s="10" t="s">
        <v>71</v>
      </c>
      <c r="E4" s="25">
        <v>42187</v>
      </c>
      <c r="F4" s="10"/>
      <c r="G4" s="10"/>
      <c r="H4" s="13"/>
      <c r="J4" t="s">
        <v>2</v>
      </c>
      <c r="K4" s="1">
        <f>+K3*K2</f>
        <v>21452.65370472</v>
      </c>
      <c r="L4" s="2"/>
    </row>
    <row r="5" spans="2:12" x14ac:dyDescent="0.2">
      <c r="B5" s="7"/>
      <c r="C5" s="8"/>
      <c r="D5" s="9"/>
      <c r="E5" s="9" t="s">
        <v>22</v>
      </c>
      <c r="F5" s="9"/>
      <c r="G5" s="9"/>
      <c r="H5" s="12"/>
      <c r="J5" t="s">
        <v>3</v>
      </c>
      <c r="K5" s="1">
        <f>604.245+421.373+76.273+22.088</f>
        <v>1123.9789999999998</v>
      </c>
      <c r="L5" s="2" t="s">
        <v>6</v>
      </c>
    </row>
    <row r="6" spans="2:12" x14ac:dyDescent="0.2">
      <c r="B6" s="3" t="s">
        <v>23</v>
      </c>
      <c r="C6" s="4"/>
      <c r="D6" s="10" t="s">
        <v>71</v>
      </c>
      <c r="E6" s="10" t="s">
        <v>73</v>
      </c>
      <c r="F6" s="10"/>
      <c r="G6" s="26">
        <v>1</v>
      </c>
      <c r="H6" s="13"/>
      <c r="J6" t="s">
        <v>4</v>
      </c>
      <c r="K6" s="1">
        <f>146.251+149.571+472.494+17.292</f>
        <v>785.60800000000006</v>
      </c>
      <c r="L6" s="2" t="s">
        <v>6</v>
      </c>
    </row>
    <row r="7" spans="2:12" x14ac:dyDescent="0.2">
      <c r="B7" s="3" t="s">
        <v>24</v>
      </c>
      <c r="C7" s="4"/>
      <c r="D7" s="10" t="s">
        <v>71</v>
      </c>
      <c r="E7" s="10" t="s">
        <v>65</v>
      </c>
      <c r="F7" s="10" t="s">
        <v>26</v>
      </c>
      <c r="G7" s="10" t="s">
        <v>72</v>
      </c>
      <c r="H7" s="13"/>
      <c r="J7" t="s">
        <v>5</v>
      </c>
      <c r="K7" s="1">
        <f>+K4-K5+K6</f>
        <v>21114.282704720001</v>
      </c>
    </row>
    <row r="8" spans="2:12" x14ac:dyDescent="0.2">
      <c r="B8" s="3" t="s">
        <v>27</v>
      </c>
      <c r="C8" s="4"/>
      <c r="D8" s="10" t="s">
        <v>11</v>
      </c>
      <c r="E8" s="10" t="s">
        <v>64</v>
      </c>
      <c r="F8" s="10"/>
      <c r="G8" s="10"/>
      <c r="H8" s="13"/>
      <c r="K8" s="1"/>
    </row>
    <row r="9" spans="2:12" x14ac:dyDescent="0.2">
      <c r="B9" s="3" t="s">
        <v>28</v>
      </c>
      <c r="C9" s="4"/>
      <c r="D9" s="10" t="s">
        <v>11</v>
      </c>
      <c r="E9" s="10" t="s">
        <v>64</v>
      </c>
      <c r="F9" s="10"/>
      <c r="G9" s="10"/>
      <c r="H9" s="13"/>
      <c r="K9" s="1"/>
    </row>
    <row r="10" spans="2:12" x14ac:dyDescent="0.2">
      <c r="B10" s="24" t="s">
        <v>30</v>
      </c>
      <c r="C10" s="4"/>
      <c r="D10" s="10" t="s">
        <v>32</v>
      </c>
      <c r="E10" s="10" t="s">
        <v>65</v>
      </c>
      <c r="F10" s="10" t="s">
        <v>57</v>
      </c>
      <c r="G10" s="10"/>
      <c r="H10" s="13"/>
      <c r="K10" s="1"/>
    </row>
    <row r="11" spans="2:12" x14ac:dyDescent="0.2">
      <c r="B11" s="3" t="s">
        <v>31</v>
      </c>
      <c r="C11" s="4"/>
      <c r="D11" s="10" t="s">
        <v>32</v>
      </c>
      <c r="E11" s="10" t="s">
        <v>64</v>
      </c>
      <c r="F11" s="10"/>
      <c r="G11" s="10"/>
      <c r="H11" s="13"/>
      <c r="K11" s="1"/>
    </row>
    <row r="12" spans="2:12" x14ac:dyDescent="0.2">
      <c r="B12" s="3" t="s">
        <v>36</v>
      </c>
      <c r="C12" s="4"/>
      <c r="D12" s="10" t="s">
        <v>37</v>
      </c>
      <c r="E12" s="10" t="s">
        <v>74</v>
      </c>
      <c r="F12" s="10" t="s">
        <v>63</v>
      </c>
      <c r="G12" s="10" t="s">
        <v>75</v>
      </c>
      <c r="H12" s="13"/>
      <c r="K12" s="1"/>
    </row>
    <row r="13" spans="2:12" x14ac:dyDescent="0.2">
      <c r="B13" s="3" t="s">
        <v>34</v>
      </c>
      <c r="C13" s="4"/>
      <c r="D13" s="10" t="s">
        <v>33</v>
      </c>
      <c r="E13" s="10"/>
      <c r="F13" s="10" t="s">
        <v>76</v>
      </c>
      <c r="G13" s="26">
        <v>1</v>
      </c>
      <c r="H13" s="13"/>
      <c r="K13" s="1"/>
    </row>
    <row r="14" spans="2:12" x14ac:dyDescent="0.2">
      <c r="B14" s="3" t="s">
        <v>35</v>
      </c>
      <c r="C14" s="4"/>
      <c r="D14" s="10" t="s">
        <v>33</v>
      </c>
      <c r="E14" s="10"/>
      <c r="F14" s="10" t="s">
        <v>77</v>
      </c>
      <c r="G14" s="26">
        <v>1</v>
      </c>
      <c r="H14" s="13"/>
      <c r="K14" s="1"/>
    </row>
    <row r="15" spans="2:12" x14ac:dyDescent="0.2">
      <c r="B15" s="3" t="s">
        <v>66</v>
      </c>
      <c r="C15" s="4"/>
      <c r="D15" s="10"/>
      <c r="E15" s="10" t="s">
        <v>64</v>
      </c>
      <c r="F15" s="10" t="s">
        <v>67</v>
      </c>
      <c r="G15" s="10" t="s">
        <v>67</v>
      </c>
      <c r="H15" s="13"/>
      <c r="K15" s="1"/>
    </row>
    <row r="16" spans="2:12" x14ac:dyDescent="0.2">
      <c r="B16" s="5" t="s">
        <v>29</v>
      </c>
      <c r="C16" s="6"/>
      <c r="D16" s="11" t="s">
        <v>33</v>
      </c>
      <c r="E16" s="11"/>
      <c r="F16" s="11" t="s">
        <v>76</v>
      </c>
      <c r="G16" s="27">
        <v>1</v>
      </c>
      <c r="H16" s="14"/>
    </row>
  </sheetData>
  <hyperlinks>
    <hyperlink ref="B10" location="'150'!A1" display="VX-1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5"/>
  <sheetViews>
    <sheetView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N25" sqref="AN25"/>
    </sheetView>
  </sheetViews>
  <sheetFormatPr defaultRowHeight="12.75" x14ac:dyDescent="0.2"/>
  <cols>
    <col min="1" max="1" width="5" bestFit="1" customWidth="1"/>
    <col min="2" max="2" width="18.140625" bestFit="1" customWidth="1"/>
    <col min="7" max="14" width="9.140625" style="2"/>
    <col min="40" max="40" width="7.5703125" customWidth="1"/>
  </cols>
  <sheetData>
    <row r="1" spans="1:37" x14ac:dyDescent="0.2">
      <c r="A1" s="15" t="s">
        <v>14</v>
      </c>
    </row>
    <row r="2" spans="1:37" x14ac:dyDescent="0.2">
      <c r="C2" s="2" t="s">
        <v>40</v>
      </c>
      <c r="D2" s="2" t="s">
        <v>41</v>
      </c>
      <c r="E2" s="2" t="s">
        <v>42</v>
      </c>
      <c r="F2" s="2" t="s">
        <v>43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6</v>
      </c>
      <c r="L2" s="2" t="s">
        <v>19</v>
      </c>
      <c r="M2" s="2" t="s">
        <v>20</v>
      </c>
      <c r="N2" s="2" t="s">
        <v>21</v>
      </c>
      <c r="Q2">
        <v>2010</v>
      </c>
      <c r="R2">
        <f>+Q2+1</f>
        <v>2011</v>
      </c>
      <c r="S2">
        <f t="shared" ref="S2:AK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</row>
    <row r="3" spans="1:37" s="1" customFormat="1" x14ac:dyDescent="0.2">
      <c r="B3" s="1" t="s">
        <v>13</v>
      </c>
      <c r="D3" s="1">
        <v>113.1</v>
      </c>
      <c r="E3" s="1">
        <v>126.8</v>
      </c>
      <c r="F3" s="1">
        <v>124.4</v>
      </c>
      <c r="G3" s="16">
        <v>130.17400000000001</v>
      </c>
      <c r="H3" s="16">
        <v>154.9</v>
      </c>
      <c r="I3" s="16">
        <v>165.9</v>
      </c>
      <c r="J3" s="16">
        <v>180.7</v>
      </c>
      <c r="K3" s="16">
        <v>170.50899999999999</v>
      </c>
      <c r="L3" s="16">
        <f>+K3+5</f>
        <v>175.50899999999999</v>
      </c>
      <c r="M3" s="16">
        <f t="shared" ref="M3:N3" si="1">+L3+5</f>
        <v>180.50899999999999</v>
      </c>
      <c r="N3" s="16">
        <f t="shared" si="1"/>
        <v>185.50899999999999</v>
      </c>
      <c r="W3" s="1">
        <f>SUM(K3:N3)</f>
        <v>712.03599999999994</v>
      </c>
      <c r="X3" s="1">
        <f>+W3*1.03</f>
        <v>733.39707999999996</v>
      </c>
      <c r="Y3" s="1">
        <f t="shared" ref="Y3:AI3" si="2">+X3*1.03</f>
        <v>755.3989924</v>
      </c>
      <c r="Z3" s="1">
        <f t="shared" si="2"/>
        <v>778.06096217200002</v>
      </c>
      <c r="AA3" s="1">
        <f t="shared" si="2"/>
        <v>801.40279103716</v>
      </c>
      <c r="AB3" s="1">
        <f t="shared" si="2"/>
        <v>825.44487476827487</v>
      </c>
      <c r="AC3" s="1">
        <f t="shared" si="2"/>
        <v>850.20822101132319</v>
      </c>
      <c r="AD3" s="1">
        <f t="shared" si="2"/>
        <v>875.71446764166296</v>
      </c>
      <c r="AE3" s="1">
        <f t="shared" si="2"/>
        <v>901.98590167091288</v>
      </c>
      <c r="AF3" s="1">
        <f t="shared" si="2"/>
        <v>929.04547872104024</v>
      </c>
      <c r="AG3" s="1">
        <f t="shared" si="2"/>
        <v>956.91684308267145</v>
      </c>
      <c r="AH3" s="1">
        <f t="shared" si="2"/>
        <v>985.62434837515161</v>
      </c>
      <c r="AI3" s="1">
        <f t="shared" ref="AI3:AJ3" si="3">+AH3*0.1</f>
        <v>98.56243483751517</v>
      </c>
      <c r="AJ3" s="1">
        <f>+AI3*0.1</f>
        <v>9.856243483751518</v>
      </c>
      <c r="AK3" s="1">
        <f t="shared" ref="AK3:AK4" si="4">+AJ3*0.1</f>
        <v>0.98562434837515189</v>
      </c>
    </row>
    <row r="4" spans="1:37" s="1" customFormat="1" x14ac:dyDescent="0.2">
      <c r="B4" s="1" t="s">
        <v>12</v>
      </c>
      <c r="D4" s="1">
        <v>0</v>
      </c>
      <c r="E4" s="1">
        <v>0</v>
      </c>
      <c r="F4" s="1">
        <v>0</v>
      </c>
      <c r="G4" s="16">
        <v>0</v>
      </c>
      <c r="H4" s="16">
        <v>0</v>
      </c>
      <c r="I4" s="16">
        <v>130.80000000000001</v>
      </c>
      <c r="J4" s="16">
        <v>219.9</v>
      </c>
      <c r="K4" s="16">
        <v>223.12799999999999</v>
      </c>
      <c r="L4" s="16">
        <f>+K4+20</f>
        <v>243.12799999999999</v>
      </c>
      <c r="M4" s="16">
        <f t="shared" ref="M4:N4" si="5">+L4+20</f>
        <v>263.12799999999999</v>
      </c>
      <c r="N4" s="16">
        <f t="shared" si="5"/>
        <v>283.12799999999999</v>
      </c>
      <c r="W4" s="1">
        <f t="shared" ref="W4:W7" si="6">SUM(K4:N4)</f>
        <v>1012.5119999999999</v>
      </c>
      <c r="X4" s="1">
        <f>+W4*1.5</f>
        <v>1518.768</v>
      </c>
      <c r="Y4" s="1">
        <f>+X4*1.5</f>
        <v>2278.152</v>
      </c>
      <c r="Z4" s="1">
        <f>+Y4*1.3</f>
        <v>2961.5976000000001</v>
      </c>
      <c r="AA4" s="1">
        <f>+Z4*1.2</f>
        <v>3553.9171200000001</v>
      </c>
      <c r="AB4" s="1">
        <f t="shared" ref="AB4:AI4" si="7">+AA4*1.02</f>
        <v>3624.9954624000002</v>
      </c>
      <c r="AC4" s="1">
        <f t="shared" si="7"/>
        <v>3697.4953716480004</v>
      </c>
      <c r="AD4" s="1">
        <f t="shared" si="7"/>
        <v>3771.4452790809605</v>
      </c>
      <c r="AE4" s="1">
        <f t="shared" si="7"/>
        <v>3846.8741846625799</v>
      </c>
      <c r="AF4" s="1">
        <f t="shared" si="7"/>
        <v>3923.8116683558314</v>
      </c>
      <c r="AG4" s="1">
        <f t="shared" si="7"/>
        <v>4002.2879017229479</v>
      </c>
      <c r="AH4" s="1">
        <f t="shared" si="7"/>
        <v>4082.3336597574071</v>
      </c>
      <c r="AI4" s="1">
        <f t="shared" si="7"/>
        <v>4163.9803329525557</v>
      </c>
      <c r="AJ4" s="1">
        <f>+AI4</f>
        <v>4163.9803329525557</v>
      </c>
      <c r="AK4" s="1">
        <f t="shared" si="4"/>
        <v>416.39803329525557</v>
      </c>
    </row>
    <row r="5" spans="1:37" s="1" customFormat="1" x14ac:dyDescent="0.2">
      <c r="B5" s="1" t="s">
        <v>38</v>
      </c>
      <c r="D5" s="1">
        <f>122.319-D3</f>
        <v>9.2190000000000083</v>
      </c>
      <c r="E5" s="1">
        <f>137.099-E4-E3</f>
        <v>10.298999999999992</v>
      </c>
      <c r="F5" s="1">
        <f>124.942-F4-F3</f>
        <v>0.54199999999998738</v>
      </c>
      <c r="G5" s="16">
        <v>0.70099999999999996</v>
      </c>
      <c r="H5" s="16">
        <f>160.388-H3</f>
        <v>5.4879999999999995</v>
      </c>
      <c r="I5" s="16">
        <f>302.511-I4-I3</f>
        <v>5.811000000000007</v>
      </c>
      <c r="J5" s="16">
        <f>406.55-J4-J3</f>
        <v>5.9500000000000171</v>
      </c>
      <c r="K5" s="16">
        <v>0.77300000000000002</v>
      </c>
      <c r="L5" s="16">
        <v>0</v>
      </c>
      <c r="M5" s="16">
        <v>0</v>
      </c>
      <c r="N5" s="16">
        <v>0</v>
      </c>
      <c r="W5" s="1">
        <f t="shared" si="6"/>
        <v>0.77300000000000002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</row>
    <row r="6" spans="1:37" s="19" customFormat="1" x14ac:dyDescent="0.2">
      <c r="B6" s="19" t="s">
        <v>39</v>
      </c>
      <c r="C6" s="20"/>
      <c r="D6" s="20">
        <f t="shared" ref="D6" si="8">SUM(D3:D5)</f>
        <v>122.319</v>
      </c>
      <c r="E6" s="20">
        <f t="shared" ref="E6" si="9">SUM(E3:E5)</f>
        <v>137.09899999999999</v>
      </c>
      <c r="F6" s="20">
        <f t="shared" ref="F6" si="10">SUM(F3:F5)</f>
        <v>124.94199999999999</v>
      </c>
      <c r="G6" s="20">
        <f t="shared" ref="G6:J6" si="11">SUM(G3:G5)</f>
        <v>130.875</v>
      </c>
      <c r="H6" s="20">
        <f t="shared" si="11"/>
        <v>160.38800000000001</v>
      </c>
      <c r="I6" s="20">
        <f t="shared" si="11"/>
        <v>302.51100000000008</v>
      </c>
      <c r="J6" s="20">
        <f t="shared" si="11"/>
        <v>406.55000000000007</v>
      </c>
      <c r="K6" s="20">
        <f>SUM(K3:K5)</f>
        <v>394.40999999999997</v>
      </c>
      <c r="L6" s="20">
        <f t="shared" ref="L6:N6" si="12">SUM(L3:L5)</f>
        <v>418.63699999999994</v>
      </c>
      <c r="M6" s="20">
        <f t="shared" si="12"/>
        <v>443.63699999999994</v>
      </c>
      <c r="N6" s="20">
        <f t="shared" si="12"/>
        <v>468.63699999999994</v>
      </c>
      <c r="Q6" s="20">
        <f t="shared" ref="Q6" si="13">SUM(Q3:Q5)</f>
        <v>0</v>
      </c>
      <c r="R6" s="20">
        <f t="shared" ref="R6" si="14">SUM(R3:R5)</f>
        <v>0</v>
      </c>
      <c r="S6" s="20">
        <f t="shared" ref="S6" si="15">SUM(S3:S5)</f>
        <v>0</v>
      </c>
      <c r="T6" s="20">
        <f t="shared" ref="T6" si="16">SUM(T3:T5)</f>
        <v>0</v>
      </c>
      <c r="U6" s="20">
        <f t="shared" ref="U6" si="17">SUM(U3:U5)</f>
        <v>0</v>
      </c>
      <c r="V6" s="20">
        <f t="shared" ref="V6" si="18">SUM(V3:V5)</f>
        <v>0</v>
      </c>
      <c r="W6" s="20">
        <f t="shared" ref="W6" si="19">SUM(W3:W5)</f>
        <v>1725.3209999999997</v>
      </c>
      <c r="X6" s="20">
        <f t="shared" ref="X6" si="20">SUM(X3:X5)</f>
        <v>2252.1650799999998</v>
      </c>
      <c r="Y6" s="20">
        <f t="shared" ref="Y6" si="21">SUM(Y3:Y5)</f>
        <v>3033.5509923999998</v>
      </c>
      <c r="Z6" s="20">
        <f t="shared" ref="Z6" si="22">SUM(Z3:Z5)</f>
        <v>3739.6585621720001</v>
      </c>
      <c r="AA6" s="20">
        <f t="shared" ref="AA6" si="23">SUM(AA3:AA5)</f>
        <v>4355.3199110371597</v>
      </c>
      <c r="AB6" s="20">
        <f t="shared" ref="AB6" si="24">SUM(AB3:AB5)</f>
        <v>4450.4403371682747</v>
      </c>
      <c r="AC6" s="20">
        <f t="shared" ref="AC6" si="25">SUM(AC3:AC5)</f>
        <v>4547.7035926593235</v>
      </c>
      <c r="AD6" s="20">
        <f t="shared" ref="AD6" si="26">SUM(AD3:AD5)</f>
        <v>4647.1597467226238</v>
      </c>
      <c r="AE6" s="20">
        <f t="shared" ref="AE6" si="27">SUM(AE3:AE5)</f>
        <v>4748.8600863334923</v>
      </c>
      <c r="AF6" s="20">
        <f t="shared" ref="AF6" si="28">SUM(AF3:AF5)</f>
        <v>4852.857147076872</v>
      </c>
      <c r="AG6" s="20">
        <f t="shared" ref="AG6" si="29">SUM(AG3:AG5)</f>
        <v>4959.2047448056192</v>
      </c>
      <c r="AH6" s="20">
        <f t="shared" ref="AH6" si="30">SUM(AH3:AH5)</f>
        <v>5067.9580081325585</v>
      </c>
      <c r="AI6" s="20">
        <f t="shared" ref="AI6" si="31">SUM(AI3:AI5)</f>
        <v>4262.5427677900707</v>
      </c>
      <c r="AJ6" s="20">
        <f t="shared" ref="AJ6" si="32">SUM(AJ3:AJ5)</f>
        <v>4173.836576436307</v>
      </c>
      <c r="AK6" s="20">
        <f t="shared" ref="AK6" si="33">SUM(AK3:AK5)</f>
        <v>417.38365764363073</v>
      </c>
    </row>
    <row r="7" spans="1:37" s="1" customFormat="1" x14ac:dyDescent="0.2">
      <c r="B7" s="19" t="s">
        <v>44</v>
      </c>
      <c r="D7" s="1">
        <f>13.015+3.087</f>
        <v>16.102</v>
      </c>
      <c r="E7" s="1">
        <f>8.386+33.502</f>
        <v>41.888000000000005</v>
      </c>
      <c r="F7" s="1">
        <f>8.785+10.829</f>
        <v>19.614000000000001</v>
      </c>
      <c r="G7" s="16">
        <f>6.792+0.842</f>
        <v>7.6339999999999995</v>
      </c>
      <c r="H7" s="16">
        <f>5.077+0.611</f>
        <v>5.6879999999999997</v>
      </c>
      <c r="I7" s="16">
        <f>5.759+1.546</f>
        <v>7.3050000000000006</v>
      </c>
      <c r="J7" s="16">
        <f>6.331+5.054</f>
        <v>11.385000000000002</v>
      </c>
      <c r="K7" s="16">
        <f>3.596+0.074</f>
        <v>3.67</v>
      </c>
      <c r="L7" s="16">
        <v>0</v>
      </c>
      <c r="M7" s="16">
        <v>0</v>
      </c>
      <c r="N7" s="16">
        <v>0</v>
      </c>
      <c r="W7" s="1">
        <f t="shared" si="6"/>
        <v>3.67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</row>
    <row r="8" spans="1:37" s="17" customFormat="1" x14ac:dyDescent="0.2">
      <c r="B8" s="17" t="s">
        <v>45</v>
      </c>
      <c r="D8" s="18">
        <f>+D6+D7</f>
        <v>138.42099999999999</v>
      </c>
      <c r="E8" s="18">
        <f>+E6+E7</f>
        <v>178.98699999999999</v>
      </c>
      <c r="F8" s="18">
        <f>+F6+F7</f>
        <v>144.55599999999998</v>
      </c>
      <c r="G8" s="18">
        <f>+G6+G7</f>
        <v>138.50899999999999</v>
      </c>
      <c r="H8" s="18">
        <f>+H6+H7</f>
        <v>166.07599999999999</v>
      </c>
      <c r="I8" s="18">
        <f>+I6+I7</f>
        <v>309.81600000000009</v>
      </c>
      <c r="J8" s="18">
        <f>+J6+J7</f>
        <v>417.93500000000006</v>
      </c>
      <c r="K8" s="18">
        <f>+K6+K7</f>
        <v>398.08</v>
      </c>
      <c r="L8" s="18">
        <f t="shared" ref="L8:N8" si="34">+L6+L7</f>
        <v>418.63699999999994</v>
      </c>
      <c r="M8" s="18">
        <f t="shared" si="34"/>
        <v>443.63699999999994</v>
      </c>
      <c r="N8" s="18">
        <f t="shared" si="34"/>
        <v>468.63699999999994</v>
      </c>
      <c r="Q8" s="18">
        <f t="shared" ref="Q8:X8" si="35">+Q6+Q7</f>
        <v>0</v>
      </c>
      <c r="R8" s="18">
        <f t="shared" si="35"/>
        <v>0</v>
      </c>
      <c r="S8" s="18">
        <f t="shared" si="35"/>
        <v>0</v>
      </c>
      <c r="T8" s="18">
        <f t="shared" si="35"/>
        <v>0</v>
      </c>
      <c r="U8" s="18">
        <f t="shared" si="35"/>
        <v>0</v>
      </c>
      <c r="V8" s="18">
        <f t="shared" si="35"/>
        <v>0</v>
      </c>
      <c r="W8" s="18">
        <f t="shared" si="35"/>
        <v>1728.9909999999998</v>
      </c>
      <c r="X8" s="18">
        <f t="shared" si="35"/>
        <v>2252.1650799999998</v>
      </c>
      <c r="Y8" s="18">
        <f t="shared" ref="Y8" si="36">+Y6+Y7</f>
        <v>3033.5509923999998</v>
      </c>
      <c r="Z8" s="18">
        <f t="shared" ref="Z8" si="37">+Z6+Z7</f>
        <v>3739.6585621720001</v>
      </c>
      <c r="AA8" s="18">
        <f t="shared" ref="AA8" si="38">+AA6+AA7</f>
        <v>4355.3199110371597</v>
      </c>
      <c r="AB8" s="18">
        <f t="shared" ref="AB8" si="39">+AB6+AB7</f>
        <v>4450.4403371682747</v>
      </c>
      <c r="AC8" s="18">
        <f t="shared" ref="AC8" si="40">+AC6+AC7</f>
        <v>4547.7035926593235</v>
      </c>
      <c r="AD8" s="18">
        <f t="shared" ref="AD8" si="41">+AD6+AD7</f>
        <v>4647.1597467226238</v>
      </c>
      <c r="AE8" s="18">
        <f t="shared" ref="AE8" si="42">+AE6+AE7</f>
        <v>4748.8600863334923</v>
      </c>
      <c r="AF8" s="18">
        <f t="shared" ref="AF8" si="43">+AF6+AF7</f>
        <v>4852.857147076872</v>
      </c>
      <c r="AG8" s="18">
        <f t="shared" ref="AG8" si="44">+AG6+AG7</f>
        <v>4959.2047448056192</v>
      </c>
      <c r="AH8" s="18">
        <f t="shared" ref="AH8" si="45">+AH6+AH7</f>
        <v>5067.9580081325585</v>
      </c>
      <c r="AI8" s="18">
        <f t="shared" ref="AI8" si="46">+AI6+AI7</f>
        <v>4262.5427677900707</v>
      </c>
      <c r="AJ8" s="18">
        <f t="shared" ref="AJ8" si="47">+AJ6+AJ7</f>
        <v>4173.836576436307</v>
      </c>
      <c r="AK8" s="18">
        <f t="shared" ref="AK8" si="48">+AK6+AK7</f>
        <v>417.38365764363073</v>
      </c>
    </row>
    <row r="9" spans="1:37" s="1" customFormat="1" x14ac:dyDescent="0.2">
      <c r="B9" s="1" t="s">
        <v>46</v>
      </c>
      <c r="D9" s="16">
        <f>9.655+7.645</f>
        <v>17.299999999999997</v>
      </c>
      <c r="E9" s="16">
        <f>10.208+3.976</f>
        <v>14.184000000000001</v>
      </c>
      <c r="F9" s="16">
        <f>11.29+2.737</f>
        <v>14.026999999999999</v>
      </c>
      <c r="G9" s="16">
        <f>9.381+2.926</f>
        <v>12.307</v>
      </c>
      <c r="H9" s="16">
        <f>15.409+1.451</f>
        <v>16.86</v>
      </c>
      <c r="I9" s="16">
        <f>30.269+1.691</f>
        <v>31.959999999999997</v>
      </c>
      <c r="J9" s="16">
        <f>63.122+1.293</f>
        <v>64.415000000000006</v>
      </c>
      <c r="K9" s="16">
        <f>49.789+0.86</f>
        <v>50.649000000000001</v>
      </c>
      <c r="L9" s="16">
        <f>+L8-L10</f>
        <v>41.863699999999994</v>
      </c>
      <c r="M9" s="16">
        <f t="shared" ref="M9:N9" si="49">+M8-M10</f>
        <v>44.363699999999994</v>
      </c>
      <c r="N9" s="16">
        <f t="shared" si="49"/>
        <v>46.863699999999994</v>
      </c>
      <c r="W9" s="1">
        <f>+SUM(K9:N9)</f>
        <v>183.74009999999998</v>
      </c>
      <c r="X9" s="1">
        <f>+X8*0.1</f>
        <v>225.21650799999998</v>
      </c>
      <c r="Y9" s="1">
        <f t="shared" ref="Y9:AK9" si="50">+Y8*0.1</f>
        <v>303.35509924000002</v>
      </c>
      <c r="Z9" s="1">
        <f t="shared" si="50"/>
        <v>373.96585621720004</v>
      </c>
      <c r="AA9" s="1">
        <f t="shared" si="50"/>
        <v>435.531991103716</v>
      </c>
      <c r="AB9" s="1">
        <f t="shared" si="50"/>
        <v>445.04403371682747</v>
      </c>
      <c r="AC9" s="1">
        <f t="shared" si="50"/>
        <v>454.77035926593237</v>
      </c>
      <c r="AD9" s="1">
        <f t="shared" si="50"/>
        <v>464.7159746722624</v>
      </c>
      <c r="AE9" s="1">
        <f t="shared" si="50"/>
        <v>474.88600863334926</v>
      </c>
      <c r="AF9" s="1">
        <f t="shared" si="50"/>
        <v>485.28571470768725</v>
      </c>
      <c r="AG9" s="1">
        <f t="shared" si="50"/>
        <v>495.92047448056195</v>
      </c>
      <c r="AH9" s="1">
        <f t="shared" si="50"/>
        <v>506.79580081325588</v>
      </c>
      <c r="AI9" s="1">
        <f t="shared" si="50"/>
        <v>426.25427677900711</v>
      </c>
      <c r="AJ9" s="1">
        <f t="shared" si="50"/>
        <v>417.38365764363073</v>
      </c>
      <c r="AK9" s="1">
        <f t="shared" si="50"/>
        <v>41.738365764363074</v>
      </c>
    </row>
    <row r="10" spans="1:37" s="1" customFormat="1" x14ac:dyDescent="0.2">
      <c r="B10" s="1" t="s">
        <v>47</v>
      </c>
      <c r="D10" s="16">
        <f>+D8-D9</f>
        <v>121.121</v>
      </c>
      <c r="E10" s="16">
        <f>+E8-E9</f>
        <v>164.803</v>
      </c>
      <c r="F10" s="16">
        <f>+F8-F9</f>
        <v>130.529</v>
      </c>
      <c r="G10" s="16">
        <f>+G8-G9</f>
        <v>126.20199999999998</v>
      </c>
      <c r="H10" s="16">
        <f>+H8-H9</f>
        <v>149.21600000000001</v>
      </c>
      <c r="I10" s="16">
        <f>+I8-I9</f>
        <v>277.85600000000011</v>
      </c>
      <c r="J10" s="16">
        <f>+J8-J9</f>
        <v>353.52000000000004</v>
      </c>
      <c r="K10" s="16">
        <f>+K8-K9</f>
        <v>347.43099999999998</v>
      </c>
      <c r="L10" s="16">
        <f>+L8*0.9</f>
        <v>376.77329999999995</v>
      </c>
      <c r="M10" s="16">
        <f t="shared" ref="M10:N10" si="51">+M8*0.9</f>
        <v>399.27329999999995</v>
      </c>
      <c r="N10" s="16">
        <f t="shared" si="51"/>
        <v>421.77329999999995</v>
      </c>
      <c r="W10" s="1">
        <f>W8-W9</f>
        <v>1545.2508999999998</v>
      </c>
      <c r="X10" s="1">
        <f>+X8-X9</f>
        <v>2026.9485719999998</v>
      </c>
      <c r="Y10" s="1">
        <f t="shared" ref="Y10:AK10" si="52">+Y8-Y9</f>
        <v>2730.1958931599997</v>
      </c>
      <c r="Z10" s="1">
        <f t="shared" si="52"/>
        <v>3365.6927059548002</v>
      </c>
      <c r="AA10" s="1">
        <f t="shared" si="52"/>
        <v>3919.7879199334438</v>
      </c>
      <c r="AB10" s="1">
        <f t="shared" si="52"/>
        <v>4005.3963034514472</v>
      </c>
      <c r="AC10" s="1">
        <f t="shared" si="52"/>
        <v>4092.9332333933912</v>
      </c>
      <c r="AD10" s="1">
        <f t="shared" si="52"/>
        <v>4182.4437720503611</v>
      </c>
      <c r="AE10" s="1">
        <f t="shared" si="52"/>
        <v>4273.9740777001434</v>
      </c>
      <c r="AF10" s="1">
        <f t="shared" si="52"/>
        <v>4367.5714323691845</v>
      </c>
      <c r="AG10" s="1">
        <f t="shared" si="52"/>
        <v>4463.2842703250572</v>
      </c>
      <c r="AH10" s="1">
        <f t="shared" si="52"/>
        <v>4561.162207319303</v>
      </c>
      <c r="AI10" s="1">
        <f t="shared" si="52"/>
        <v>3836.2884910110633</v>
      </c>
      <c r="AJ10" s="1">
        <f t="shared" si="52"/>
        <v>3756.4529187926764</v>
      </c>
      <c r="AK10" s="1">
        <f t="shared" si="52"/>
        <v>375.64529187926763</v>
      </c>
    </row>
    <row r="11" spans="1:37" s="1" customFormat="1" x14ac:dyDescent="0.2">
      <c r="B11" s="1" t="s">
        <v>48</v>
      </c>
      <c r="D11" s="16">
        <v>224.48699999999999</v>
      </c>
      <c r="E11" s="16">
        <v>190.93899999999999</v>
      </c>
      <c r="F11" s="16">
        <v>201.46299999999999</v>
      </c>
      <c r="G11" s="16">
        <v>215.59899999999999</v>
      </c>
      <c r="H11" s="16">
        <v>223.858</v>
      </c>
      <c r="I11" s="16">
        <v>246.28399999999999</v>
      </c>
      <c r="J11" s="16">
        <v>310.42899999999997</v>
      </c>
      <c r="K11" s="16">
        <v>255.86</v>
      </c>
      <c r="L11" s="16"/>
      <c r="M11" s="16"/>
      <c r="N11" s="16"/>
      <c r="W11" s="1">
        <f t="shared" ref="W11:W12" si="53">+SUM(K11:N11)</f>
        <v>255.86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37" s="1" customFormat="1" x14ac:dyDescent="0.2">
      <c r="B12" s="1" t="s">
        <v>49</v>
      </c>
      <c r="D12" s="16">
        <v>77.445999999999998</v>
      </c>
      <c r="E12" s="16">
        <v>75.224000000000004</v>
      </c>
      <c r="F12" s="16">
        <v>78.527000000000001</v>
      </c>
      <c r="G12" s="16">
        <v>85.86</v>
      </c>
      <c r="H12" s="16">
        <v>94.394000000000005</v>
      </c>
      <c r="I12" s="16">
        <v>99.772000000000006</v>
      </c>
      <c r="J12" s="16">
        <v>97.054000000000002</v>
      </c>
      <c r="K12" s="16">
        <v>105.214</v>
      </c>
      <c r="L12" s="16">
        <f>+K12+1</f>
        <v>106.214</v>
      </c>
      <c r="M12" s="16">
        <f t="shared" ref="M12:N12" si="54">+L12+1</f>
        <v>107.214</v>
      </c>
      <c r="N12" s="16">
        <f t="shared" si="54"/>
        <v>108.214</v>
      </c>
      <c r="W12" s="1">
        <f t="shared" si="53"/>
        <v>426.85599999999999</v>
      </c>
      <c r="X12" s="1">
        <f>+W12*1.05</f>
        <v>448.19880000000001</v>
      </c>
      <c r="Y12" s="1">
        <f t="shared" ref="Y12:AB12" si="55">+X12*1.05</f>
        <v>470.60874000000001</v>
      </c>
      <c r="Z12" s="1">
        <f t="shared" si="55"/>
        <v>494.13917700000002</v>
      </c>
      <c r="AA12" s="1">
        <f>+Z12*1.02</f>
        <v>504.02196054000001</v>
      </c>
      <c r="AB12" s="1">
        <f t="shared" ref="AB12:AD12" si="56">+AA12*1.02</f>
        <v>514.10239975080003</v>
      </c>
      <c r="AC12" s="1">
        <f t="shared" si="56"/>
        <v>524.38444774581603</v>
      </c>
      <c r="AD12" s="1">
        <f t="shared" si="56"/>
        <v>534.87213670073231</v>
      </c>
      <c r="AE12" s="1">
        <f>+AD12*0.98</f>
        <v>524.17469396671765</v>
      </c>
      <c r="AF12" s="1">
        <f t="shared" ref="AF12:AI12" si="57">+AE12*0.98</f>
        <v>513.69120008738332</v>
      </c>
      <c r="AG12" s="1">
        <f t="shared" si="57"/>
        <v>503.41737608563562</v>
      </c>
      <c r="AH12" s="1">
        <f t="shared" si="57"/>
        <v>493.3490285639229</v>
      </c>
      <c r="AI12" s="1">
        <f>+AH12*0.5</f>
        <v>246.67451428196145</v>
      </c>
      <c r="AJ12" s="1">
        <v>0</v>
      </c>
      <c r="AK12" s="1">
        <v>0</v>
      </c>
    </row>
    <row r="13" spans="1:37" s="1" customFormat="1" x14ac:dyDescent="0.2">
      <c r="B13" s="1" t="s">
        <v>50</v>
      </c>
      <c r="D13" s="16">
        <f>+D12+D11</f>
        <v>301.93299999999999</v>
      </c>
      <c r="E13" s="16">
        <f>+E12+E11</f>
        <v>266.16300000000001</v>
      </c>
      <c r="F13" s="16">
        <f>+F12+F11</f>
        <v>279.99</v>
      </c>
      <c r="G13" s="16">
        <f>+G12+G11</f>
        <v>301.459</v>
      </c>
      <c r="H13" s="16">
        <f>+H12+H11</f>
        <v>318.25200000000001</v>
      </c>
      <c r="I13" s="16">
        <f>+I12+I11</f>
        <v>346.05599999999998</v>
      </c>
      <c r="J13" s="16">
        <f>+J12+J11</f>
        <v>407.48299999999995</v>
      </c>
      <c r="K13" s="16">
        <f>+K12+K11</f>
        <v>361.07400000000001</v>
      </c>
      <c r="L13" s="16">
        <f t="shared" ref="L13:N13" si="58">+L12+L11</f>
        <v>106.214</v>
      </c>
      <c r="M13" s="16">
        <f t="shared" si="58"/>
        <v>107.214</v>
      </c>
      <c r="N13" s="16">
        <f t="shared" si="58"/>
        <v>108.214</v>
      </c>
      <c r="W13" s="16">
        <f t="shared" ref="W13" si="59">+W12+W11</f>
        <v>682.71600000000001</v>
      </c>
      <c r="X13" s="16">
        <f t="shared" ref="X13" si="60">+X12+X11</f>
        <v>448.19880000000001</v>
      </c>
      <c r="Y13" s="16">
        <f t="shared" ref="Y13" si="61">+Y12+Y11</f>
        <v>470.60874000000001</v>
      </c>
      <c r="Z13" s="16">
        <f t="shared" ref="Z13" si="62">+Z12+Z11</f>
        <v>494.13917700000002</v>
      </c>
      <c r="AA13" s="16">
        <f t="shared" ref="AA13" si="63">+AA12+AA11</f>
        <v>504.02196054000001</v>
      </c>
      <c r="AB13" s="16">
        <f t="shared" ref="AB13" si="64">+AB12+AB11</f>
        <v>514.10239975080003</v>
      </c>
      <c r="AC13" s="16">
        <f t="shared" ref="AC13" si="65">+AC12+AC11</f>
        <v>524.38444774581603</v>
      </c>
      <c r="AD13" s="16">
        <f t="shared" ref="AD13" si="66">+AD12+AD11</f>
        <v>534.87213670073231</v>
      </c>
      <c r="AE13" s="16">
        <f t="shared" ref="AE13" si="67">+AE12+AE11</f>
        <v>524.17469396671765</v>
      </c>
      <c r="AF13" s="16">
        <f t="shared" ref="AF13" si="68">+AF12+AF11</f>
        <v>513.69120008738332</v>
      </c>
      <c r="AG13" s="16">
        <f t="shared" ref="AG13" si="69">+AG12+AG11</f>
        <v>503.41737608563562</v>
      </c>
      <c r="AH13" s="16">
        <f t="shared" ref="AH13" si="70">+AH12+AH11</f>
        <v>493.3490285639229</v>
      </c>
      <c r="AI13" s="16">
        <f t="shared" ref="AI13" si="71">+AI12+AI11</f>
        <v>246.67451428196145</v>
      </c>
      <c r="AJ13" s="16">
        <f t="shared" ref="AJ13" si="72">+AJ12+AJ11</f>
        <v>0</v>
      </c>
      <c r="AK13" s="16">
        <f t="shared" ref="AK13" si="73">+AK12+AK11</f>
        <v>0</v>
      </c>
    </row>
    <row r="14" spans="1:37" s="1" customFormat="1" x14ac:dyDescent="0.2">
      <c r="B14" s="1" t="s">
        <v>51</v>
      </c>
      <c r="D14" s="16">
        <f>+D10-D13</f>
        <v>-180.81200000000001</v>
      </c>
      <c r="E14" s="16">
        <f>+E10-E13</f>
        <v>-101.36000000000001</v>
      </c>
      <c r="F14" s="16">
        <f>+F10-F13</f>
        <v>-149.46100000000001</v>
      </c>
      <c r="G14" s="16">
        <f>+G10-G13</f>
        <v>-175.25700000000001</v>
      </c>
      <c r="H14" s="16">
        <f>+H10-H13</f>
        <v>-169.036</v>
      </c>
      <c r="I14" s="16">
        <f>+I10-I13</f>
        <v>-68.199999999999875</v>
      </c>
      <c r="J14" s="16">
        <f>+J10-J13</f>
        <v>-53.962999999999909</v>
      </c>
      <c r="K14" s="16">
        <f>+K10-K13</f>
        <v>-13.643000000000029</v>
      </c>
      <c r="L14" s="16">
        <f t="shared" ref="L14:N14" si="74">+L10-L13</f>
        <v>270.55929999999995</v>
      </c>
      <c r="M14" s="16">
        <f t="shared" si="74"/>
        <v>292.05929999999995</v>
      </c>
      <c r="N14" s="16">
        <f t="shared" si="74"/>
        <v>313.55929999999995</v>
      </c>
      <c r="W14" s="16">
        <f t="shared" ref="W14" si="75">+W10-W13</f>
        <v>862.53489999999977</v>
      </c>
      <c r="X14" s="16">
        <f t="shared" ref="X14" si="76">+X10-X13</f>
        <v>1578.7497719999997</v>
      </c>
      <c r="Y14" s="16">
        <f t="shared" ref="Y14" si="77">+Y10-Y13</f>
        <v>2259.5871531599996</v>
      </c>
      <c r="Z14" s="16">
        <f t="shared" ref="Z14" si="78">+Z10-Z13</f>
        <v>2871.5535289548002</v>
      </c>
      <c r="AA14" s="16">
        <f t="shared" ref="AA14" si="79">+AA10-AA13</f>
        <v>3415.7659593934441</v>
      </c>
      <c r="AB14" s="16">
        <f t="shared" ref="AB14" si="80">+AB10-AB13</f>
        <v>3491.2939037006472</v>
      </c>
      <c r="AC14" s="16">
        <f t="shared" ref="AC14" si="81">+AC10-AC13</f>
        <v>3568.5487856475752</v>
      </c>
      <c r="AD14" s="16">
        <f t="shared" ref="AD14" si="82">+AD10-AD13</f>
        <v>3647.5716353496287</v>
      </c>
      <c r="AE14" s="16">
        <f t="shared" ref="AE14" si="83">+AE10-AE13</f>
        <v>3749.7993837334257</v>
      </c>
      <c r="AF14" s="16">
        <f t="shared" ref="AF14" si="84">+AF10-AF13</f>
        <v>3853.880232281801</v>
      </c>
      <c r="AG14" s="16">
        <f t="shared" ref="AG14" si="85">+AG10-AG13</f>
        <v>3959.8668942394215</v>
      </c>
      <c r="AH14" s="16">
        <f t="shared" ref="AH14" si="86">+AH10-AH13</f>
        <v>4067.8131787553802</v>
      </c>
      <c r="AI14" s="16">
        <f t="shared" ref="AI14" si="87">+AI10-AI13</f>
        <v>3589.613976729102</v>
      </c>
      <c r="AJ14" s="16">
        <f t="shared" ref="AJ14" si="88">+AJ10-AJ13</f>
        <v>3756.4529187926764</v>
      </c>
      <c r="AK14" s="16">
        <f t="shared" ref="AK14" si="89">+AK10-AK13</f>
        <v>375.64529187926763</v>
      </c>
    </row>
    <row r="15" spans="1:37" s="1" customFormat="1" x14ac:dyDescent="0.2">
      <c r="B15" s="1" t="s">
        <v>55</v>
      </c>
      <c r="D15" s="16">
        <f>-15.585+37.731</f>
        <v>22.146000000000001</v>
      </c>
      <c r="E15" s="16">
        <f>-20.384-3.99</f>
        <v>-24.374000000000002</v>
      </c>
      <c r="F15" s="16">
        <f>-21.177-3.792</f>
        <v>-24.969000000000001</v>
      </c>
      <c r="G15" s="16">
        <f>-21.307-5.113</f>
        <v>-26.419999999999998</v>
      </c>
      <c r="H15" s="16">
        <f>-21.111+1.414</f>
        <v>-19.696999999999999</v>
      </c>
      <c r="I15" s="16">
        <f>-21.134-1.326</f>
        <v>-22.46</v>
      </c>
      <c r="J15" s="16">
        <f>-20.654-1.688</f>
        <v>-22.341999999999999</v>
      </c>
      <c r="K15" s="16">
        <f>-20.698+4.411</f>
        <v>-16.286999999999999</v>
      </c>
      <c r="L15" s="16">
        <f>+K15</f>
        <v>-16.286999999999999</v>
      </c>
      <c r="M15" s="16">
        <f t="shared" ref="M15:N15" si="90">+L15</f>
        <v>-16.286999999999999</v>
      </c>
      <c r="N15" s="16">
        <f t="shared" si="90"/>
        <v>-16.286999999999999</v>
      </c>
      <c r="W15" s="1">
        <f t="shared" ref="W15:W17" si="91">+SUM(K15:N15)</f>
        <v>-65.147999999999996</v>
      </c>
      <c r="X15" s="1">
        <f>+W24*$AN$22</f>
        <v>0</v>
      </c>
      <c r="Y15" s="1">
        <f>+X24*$AN$22</f>
        <v>0.57954367499999981</v>
      </c>
      <c r="Z15" s="1">
        <f>+Y24*$AN$22</f>
        <v>1.7636060039999999</v>
      </c>
      <c r="AA15" s="1">
        <f>+Z24*$AN$22</f>
        <v>3.4587310266262494</v>
      </c>
      <c r="AB15" s="1">
        <f>+AA24*$AN$22</f>
        <v>5.6137188778453497</v>
      </c>
      <c r="AC15" s="1">
        <f>+AB24*$AN$22</f>
        <v>8.1781373956604018</v>
      </c>
      <c r="AD15" s="1">
        <f>+AC24*$AN$22</f>
        <v>10.800818112594273</v>
      </c>
      <c r="AE15" s="1">
        <f>+AD24*$AN$22</f>
        <v>13.483363304876699</v>
      </c>
      <c r="AF15" s="1">
        <f>+AE24*$AN$22</f>
        <v>16.227142644973366</v>
      </c>
      <c r="AG15" s="1">
        <f>+AF24*$AN$22</f>
        <v>19.049604705252094</v>
      </c>
      <c r="AH15" s="1">
        <f>+AG24*$AN$22</f>
        <v>21.952185236447171</v>
      </c>
      <c r="AI15" s="1">
        <f>+AH24*$AN$22</f>
        <v>24.936372610655674</v>
      </c>
      <c r="AJ15" s="1">
        <f>+AI24*$AN$22</f>
        <v>28.003696633649547</v>
      </c>
      <c r="AK15" s="1">
        <f>+AJ24*$AN$22</f>
        <v>30.714609395654364</v>
      </c>
    </row>
    <row r="16" spans="1:37" s="1" customFormat="1" x14ac:dyDescent="0.2">
      <c r="B16" s="1" t="s">
        <v>54</v>
      </c>
      <c r="D16" s="16">
        <f>+D14+D15</f>
        <v>-158.666</v>
      </c>
      <c r="E16" s="16">
        <f>+E14+E15</f>
        <v>-125.73400000000001</v>
      </c>
      <c r="F16" s="16">
        <f>+F14+F15</f>
        <v>-174.43</v>
      </c>
      <c r="G16" s="16">
        <f>+G14+G15</f>
        <v>-201.67699999999999</v>
      </c>
      <c r="H16" s="16">
        <f>+H14+H15</f>
        <v>-188.733</v>
      </c>
      <c r="I16" s="16">
        <f>+I14+I15</f>
        <v>-90.659999999999883</v>
      </c>
      <c r="J16" s="16">
        <f>+J14+J15</f>
        <v>-76.304999999999907</v>
      </c>
      <c r="K16" s="16">
        <f>+K14+K15</f>
        <v>-29.930000000000028</v>
      </c>
      <c r="L16" s="16">
        <f t="shared" ref="L16:N16" si="92">+L14+L15</f>
        <v>254.27229999999994</v>
      </c>
      <c r="M16" s="16">
        <f t="shared" si="92"/>
        <v>275.77229999999997</v>
      </c>
      <c r="N16" s="16">
        <f t="shared" si="92"/>
        <v>297.27229999999997</v>
      </c>
      <c r="W16" s="16">
        <f t="shared" ref="W16" si="93">+W14+W15</f>
        <v>797.38689999999974</v>
      </c>
      <c r="X16" s="16">
        <f t="shared" ref="X16" si="94">+X14+X15</f>
        <v>1578.7497719999997</v>
      </c>
      <c r="Y16" s="16">
        <f t="shared" ref="Y16" si="95">+Y14+Y15</f>
        <v>2260.1666968349996</v>
      </c>
      <c r="Z16" s="16">
        <f t="shared" ref="Z16" si="96">+Z14+Z15</f>
        <v>2873.3171349588001</v>
      </c>
      <c r="AA16" s="16">
        <f t="shared" ref="AA16" si="97">+AA14+AA15</f>
        <v>3419.2246904200701</v>
      </c>
      <c r="AB16" s="16">
        <f t="shared" ref="AB16" si="98">+AB14+AB15</f>
        <v>3496.9076225784925</v>
      </c>
      <c r="AC16" s="16">
        <f t="shared" ref="AC16" si="99">+AC14+AC15</f>
        <v>3576.7269230432357</v>
      </c>
      <c r="AD16" s="16">
        <f t="shared" ref="AD16" si="100">+AD14+AD15</f>
        <v>3658.3724534622229</v>
      </c>
      <c r="AE16" s="16">
        <f t="shared" ref="AE16" si="101">+AE14+AE15</f>
        <v>3763.2827470383022</v>
      </c>
      <c r="AF16" s="16">
        <f t="shared" ref="AF16" si="102">+AF14+AF15</f>
        <v>3870.1073749267744</v>
      </c>
      <c r="AG16" s="16">
        <f t="shared" ref="AG16" si="103">+AG14+AG15</f>
        <v>3978.9164989446735</v>
      </c>
      <c r="AH16" s="16">
        <f t="shared" ref="AH16" si="104">+AH14+AH15</f>
        <v>4089.7653639918276</v>
      </c>
      <c r="AI16" s="16">
        <f t="shared" ref="AI16" si="105">+AI14+AI15</f>
        <v>3614.5503493397578</v>
      </c>
      <c r="AJ16" s="16">
        <f t="shared" ref="AJ16" si="106">+AJ14+AJ15</f>
        <v>3784.4566154263262</v>
      </c>
      <c r="AK16" s="16">
        <f t="shared" ref="AK16" si="107">+AK14+AK15</f>
        <v>406.35990127492198</v>
      </c>
    </row>
    <row r="17" spans="2:44" s="1" customFormat="1" x14ac:dyDescent="0.2">
      <c r="B17" s="1" t="s">
        <v>52</v>
      </c>
      <c r="D17" s="16">
        <v>0.69299999999999995</v>
      </c>
      <c r="E17" s="16">
        <v>3.419</v>
      </c>
      <c r="F17" s="16">
        <f>2.043-4.19</f>
        <v>-2.1470000000000002</v>
      </c>
      <c r="G17" s="16">
        <f>0.299+0.098</f>
        <v>0.39700000000000002</v>
      </c>
      <c r="H17" s="16">
        <f>30.131-32.144</f>
        <v>-2.0129999999999981</v>
      </c>
      <c r="I17" s="16">
        <f>1.33+1.333</f>
        <v>2.6630000000000003</v>
      </c>
      <c r="J17" s="16">
        <f>-1.379-0.938</f>
        <v>-2.3170000000000002</v>
      </c>
      <c r="K17" s="16">
        <f>5.485+5.529</f>
        <v>11.013999999999999</v>
      </c>
      <c r="L17" s="16">
        <f>+L16*0.25</f>
        <v>63.568074999999986</v>
      </c>
      <c r="M17" s="16">
        <f t="shared" ref="M17:N17" si="108">+M16*0.25</f>
        <v>68.943074999999993</v>
      </c>
      <c r="N17" s="16">
        <f t="shared" si="108"/>
        <v>74.318074999999993</v>
      </c>
      <c r="W17" s="1">
        <f t="shared" si="91"/>
        <v>217.84322499999999</v>
      </c>
      <c r="X17" s="1">
        <f>+X16*0.25</f>
        <v>394.68744299999992</v>
      </c>
      <c r="Y17" s="1">
        <f t="shared" ref="Y17:AK17" si="109">+Y16*0.25</f>
        <v>565.0416742087499</v>
      </c>
      <c r="Z17" s="1">
        <f t="shared" si="109"/>
        <v>718.32928373970003</v>
      </c>
      <c r="AA17" s="1">
        <f t="shared" si="109"/>
        <v>854.80617260501754</v>
      </c>
      <c r="AB17" s="1">
        <f t="shared" si="109"/>
        <v>874.22690564462312</v>
      </c>
      <c r="AC17" s="1">
        <f t="shared" si="109"/>
        <v>894.18173076080893</v>
      </c>
      <c r="AD17" s="1">
        <f t="shared" si="109"/>
        <v>914.59311336555572</v>
      </c>
      <c r="AE17" s="1">
        <f t="shared" si="109"/>
        <v>940.82068675957555</v>
      </c>
      <c r="AF17" s="1">
        <f t="shared" si="109"/>
        <v>967.52684373169359</v>
      </c>
      <c r="AG17" s="1">
        <f t="shared" si="109"/>
        <v>994.72912473616839</v>
      </c>
      <c r="AH17" s="1">
        <f t="shared" si="109"/>
        <v>1022.4413409979569</v>
      </c>
      <c r="AI17" s="1">
        <f t="shared" si="109"/>
        <v>903.63758733493944</v>
      </c>
      <c r="AJ17" s="1">
        <f t="shared" si="109"/>
        <v>946.11415385658154</v>
      </c>
      <c r="AK17" s="1">
        <f t="shared" si="109"/>
        <v>101.5899753187305</v>
      </c>
    </row>
    <row r="18" spans="2:44" s="1" customFormat="1" x14ac:dyDescent="0.2">
      <c r="B18" s="1" t="s">
        <v>53</v>
      </c>
      <c r="D18" s="16">
        <f>+D16-D17</f>
        <v>-159.35900000000001</v>
      </c>
      <c r="E18" s="16">
        <f>+E16-E17</f>
        <v>-129.15300000000002</v>
      </c>
      <c r="F18" s="16">
        <f>+F16-F17</f>
        <v>-172.28300000000002</v>
      </c>
      <c r="G18" s="16">
        <f>+G16-G17</f>
        <v>-202.07399999999998</v>
      </c>
      <c r="H18" s="16">
        <f>+H16-H17</f>
        <v>-186.72</v>
      </c>
      <c r="I18" s="16">
        <f>+I16-I17</f>
        <v>-93.32299999999988</v>
      </c>
      <c r="J18" s="16">
        <f>+J16-J17</f>
        <v>-73.987999999999914</v>
      </c>
      <c r="K18" s="16">
        <f>+K16-K17</f>
        <v>-40.944000000000031</v>
      </c>
      <c r="L18" s="16">
        <f t="shared" ref="L18:N18" si="110">+L16-L17</f>
        <v>190.70422499999995</v>
      </c>
      <c r="M18" s="16">
        <f t="shared" si="110"/>
        <v>206.82922499999998</v>
      </c>
      <c r="N18" s="16">
        <f t="shared" si="110"/>
        <v>222.95422499999998</v>
      </c>
      <c r="W18" s="1">
        <f>W16-W17</f>
        <v>579.54367499999978</v>
      </c>
      <c r="X18" s="1">
        <f t="shared" ref="X18:AK18" si="111">X16-X17</f>
        <v>1184.0623289999999</v>
      </c>
      <c r="Y18" s="1">
        <f t="shared" si="111"/>
        <v>1695.1250226262496</v>
      </c>
      <c r="Z18" s="1">
        <f t="shared" si="111"/>
        <v>2154.9878512190999</v>
      </c>
      <c r="AA18" s="1">
        <f t="shared" si="111"/>
        <v>2564.4185178150528</v>
      </c>
      <c r="AB18" s="1">
        <f t="shared" si="111"/>
        <v>2622.6807169338695</v>
      </c>
      <c r="AC18" s="1">
        <f t="shared" si="111"/>
        <v>2682.5451922824268</v>
      </c>
      <c r="AD18" s="1">
        <f t="shared" si="111"/>
        <v>2743.7793400966671</v>
      </c>
      <c r="AE18" s="1">
        <f t="shared" si="111"/>
        <v>2822.4620602787268</v>
      </c>
      <c r="AF18" s="1">
        <f t="shared" si="111"/>
        <v>2902.5805311950808</v>
      </c>
      <c r="AG18" s="1">
        <f t="shared" si="111"/>
        <v>2984.1873742085054</v>
      </c>
      <c r="AH18" s="1">
        <f t="shared" si="111"/>
        <v>3067.3240229938706</v>
      </c>
      <c r="AI18" s="1">
        <f t="shared" si="111"/>
        <v>2710.9127620048184</v>
      </c>
      <c r="AJ18" s="1">
        <f t="shared" si="111"/>
        <v>2838.3424615697445</v>
      </c>
      <c r="AK18" s="1">
        <f t="shared" si="111"/>
        <v>304.76992595619151</v>
      </c>
      <c r="AL18" s="1">
        <f>+AK18*(1+$AN$21)</f>
        <v>3.0476992595619179</v>
      </c>
      <c r="AM18" s="1">
        <f t="shared" ref="AM18:AR18" si="112">+AL18*(1+$AN$21)</f>
        <v>3.0476992595619205E-2</v>
      </c>
      <c r="AN18" s="1">
        <f t="shared" si="112"/>
        <v>3.0476992595619229E-4</v>
      </c>
      <c r="AO18" s="1">
        <f t="shared" si="112"/>
        <v>3.0476992595619255E-6</v>
      </c>
      <c r="AP18" s="1">
        <f t="shared" si="112"/>
        <v>3.0476992595619281E-8</v>
      </c>
      <c r="AQ18" s="1">
        <f t="shared" si="112"/>
        <v>3.0476992595619308E-10</v>
      </c>
      <c r="AR18" s="1">
        <f t="shared" si="112"/>
        <v>3.0476992595619336E-12</v>
      </c>
    </row>
    <row r="19" spans="2:44" s="22" customFormat="1" x14ac:dyDescent="0.2">
      <c r="B19" s="22" t="s">
        <v>1</v>
      </c>
      <c r="D19" s="21">
        <f>D18/D20</f>
        <v>-0.68158061315267238</v>
      </c>
      <c r="E19" s="21">
        <f>E18/E20</f>
        <v>-0.54694097070768244</v>
      </c>
      <c r="F19" s="21">
        <f>F18/F20</f>
        <v>-0.72305180633897403</v>
      </c>
      <c r="G19" s="21">
        <f>G18/G20</f>
        <v>-0.84375743758690225</v>
      </c>
      <c r="H19" s="21">
        <f>H18/H20</f>
        <v>-0.77555377413740823</v>
      </c>
      <c r="I19" s="21">
        <f>I18/I20</f>
        <v>-0.38568163690390045</v>
      </c>
      <c r="J19" s="21">
        <f>J18/J20</f>
        <v>-0.30449365603921164</v>
      </c>
      <c r="K19" s="21">
        <f>K18/K20</f>
        <v>-0.16791958364605006</v>
      </c>
      <c r="L19" s="21">
        <f t="shared" ref="L19:N19" si="113">L18/L20</f>
        <v>0.78211640439484709</v>
      </c>
      <c r="M19" s="21">
        <f t="shared" si="113"/>
        <v>0.8482482744195774</v>
      </c>
      <c r="N19" s="21">
        <f t="shared" si="113"/>
        <v>0.91438014444430771</v>
      </c>
      <c r="W19" s="22">
        <f>W18/W20</f>
        <v>2.3768252396126819</v>
      </c>
      <c r="X19" s="22">
        <f t="shared" ref="X19:AK19" si="114">X18/X20</f>
        <v>4.8560778941151863</v>
      </c>
      <c r="Y19" s="22">
        <f t="shared" si="114"/>
        <v>6.9520488478751661</v>
      </c>
      <c r="Z19" s="22">
        <f t="shared" si="114"/>
        <v>8.8380388515779362</v>
      </c>
      <c r="AA19" s="22">
        <f t="shared" si="114"/>
        <v>10.517196409870168</v>
      </c>
      <c r="AB19" s="22">
        <f t="shared" si="114"/>
        <v>10.756141413248805</v>
      </c>
      <c r="AC19" s="22">
        <f t="shared" si="114"/>
        <v>11.001657673890634</v>
      </c>
      <c r="AD19" s="22">
        <f t="shared" si="114"/>
        <v>11.252791236949639</v>
      </c>
      <c r="AE19" s="22">
        <f t="shared" si="114"/>
        <v>11.575484906671944</v>
      </c>
      <c r="AF19" s="22">
        <f t="shared" si="114"/>
        <v>11.904066879088717</v>
      </c>
      <c r="AG19" s="22">
        <f t="shared" si="114"/>
        <v>12.238752964998321</v>
      </c>
      <c r="AH19" s="22">
        <f t="shared" si="114"/>
        <v>12.579713092239587</v>
      </c>
      <c r="AI19" s="22">
        <f t="shared" si="114"/>
        <v>11.117998786064195</v>
      </c>
      <c r="AJ19" s="22">
        <f t="shared" si="114"/>
        <v>11.640613628167642</v>
      </c>
      <c r="AK19" s="22">
        <f t="shared" si="114"/>
        <v>1.2499227988081563</v>
      </c>
    </row>
    <row r="20" spans="2:44" s="1" customFormat="1" x14ac:dyDescent="0.2">
      <c r="B20" s="1" t="s">
        <v>56</v>
      </c>
      <c r="D20" s="1">
        <v>233.80799999999999</v>
      </c>
      <c r="E20" s="1">
        <v>236.137</v>
      </c>
      <c r="F20" s="1">
        <v>238.27199999999999</v>
      </c>
      <c r="G20" s="16">
        <v>239.49299999999999</v>
      </c>
      <c r="H20" s="16">
        <v>240.75700000000001</v>
      </c>
      <c r="I20" s="16">
        <v>241.96899999999999</v>
      </c>
      <c r="J20" s="16">
        <v>242.98699999999999</v>
      </c>
      <c r="K20" s="16">
        <v>243.83099999999999</v>
      </c>
      <c r="L20" s="16">
        <f>+K20</f>
        <v>243.83099999999999</v>
      </c>
      <c r="M20" s="16">
        <f t="shared" ref="M20:N20" si="115">+L20</f>
        <v>243.83099999999999</v>
      </c>
      <c r="N20" s="16">
        <f t="shared" si="115"/>
        <v>243.83099999999999</v>
      </c>
      <c r="W20" s="1">
        <f>AVERAGE(K20:N20)</f>
        <v>243.83099999999999</v>
      </c>
      <c r="X20" s="1">
        <f>+W20</f>
        <v>243.83099999999999</v>
      </c>
      <c r="Y20" s="1">
        <f t="shared" ref="Y20:AK20" si="116">+X20</f>
        <v>243.83099999999999</v>
      </c>
      <c r="Z20" s="1">
        <f t="shared" si="116"/>
        <v>243.83099999999999</v>
      </c>
      <c r="AA20" s="1">
        <f t="shared" si="116"/>
        <v>243.83099999999999</v>
      </c>
      <c r="AB20" s="1">
        <f t="shared" si="116"/>
        <v>243.83099999999999</v>
      </c>
      <c r="AC20" s="1">
        <f t="shared" si="116"/>
        <v>243.83099999999999</v>
      </c>
      <c r="AD20" s="1">
        <f t="shared" si="116"/>
        <v>243.83099999999999</v>
      </c>
      <c r="AE20" s="1">
        <f t="shared" si="116"/>
        <v>243.83099999999999</v>
      </c>
      <c r="AF20" s="1">
        <f t="shared" si="116"/>
        <v>243.83099999999999</v>
      </c>
      <c r="AG20" s="1">
        <f t="shared" si="116"/>
        <v>243.83099999999999</v>
      </c>
      <c r="AH20" s="1">
        <f t="shared" si="116"/>
        <v>243.83099999999999</v>
      </c>
      <c r="AI20" s="1">
        <f t="shared" si="116"/>
        <v>243.83099999999999</v>
      </c>
      <c r="AJ20" s="1">
        <f t="shared" si="116"/>
        <v>243.83099999999999</v>
      </c>
      <c r="AK20" s="1">
        <f t="shared" si="116"/>
        <v>243.83099999999999</v>
      </c>
    </row>
    <row r="21" spans="2:44" x14ac:dyDescent="0.2">
      <c r="AM21" t="s">
        <v>84</v>
      </c>
      <c r="AN21" s="29">
        <v>-0.99</v>
      </c>
    </row>
    <row r="22" spans="2:44" x14ac:dyDescent="0.2">
      <c r="B22" s="1" t="s">
        <v>78</v>
      </c>
      <c r="G22" s="28">
        <f t="shared" ref="G22:K22" si="117">G10/G8</f>
        <v>0.91114656809304806</v>
      </c>
      <c r="H22" s="28">
        <f t="shared" si="117"/>
        <v>0.89848021387798371</v>
      </c>
      <c r="I22" s="28">
        <f t="shared" si="117"/>
        <v>0.89684199653988184</v>
      </c>
      <c r="J22" s="28">
        <f t="shared" si="117"/>
        <v>0.84587316209458407</v>
      </c>
      <c r="K22" s="28">
        <f>K10/K8</f>
        <v>0.87276678054662382</v>
      </c>
      <c r="L22" s="28">
        <f t="shared" ref="L22:N22" si="118">L10/L8</f>
        <v>0.9</v>
      </c>
      <c r="M22" s="28">
        <f t="shared" si="118"/>
        <v>0.9</v>
      </c>
      <c r="N22" s="28">
        <f t="shared" si="118"/>
        <v>0.9</v>
      </c>
      <c r="W22" s="28">
        <f t="shared" ref="W22:AK22" si="119">W10/W8</f>
        <v>0.8937298690392258</v>
      </c>
      <c r="X22" s="28">
        <f t="shared" si="119"/>
        <v>0.9</v>
      </c>
      <c r="Y22" s="28">
        <f t="shared" si="119"/>
        <v>0.9</v>
      </c>
      <c r="Z22" s="28">
        <f t="shared" si="119"/>
        <v>0.9</v>
      </c>
      <c r="AA22" s="28">
        <f t="shared" si="119"/>
        <v>0.9</v>
      </c>
      <c r="AB22" s="28">
        <f t="shared" si="119"/>
        <v>0.9</v>
      </c>
      <c r="AC22" s="28">
        <f t="shared" si="119"/>
        <v>0.9</v>
      </c>
      <c r="AD22" s="28">
        <f t="shared" si="119"/>
        <v>0.89999999999999991</v>
      </c>
      <c r="AE22" s="28">
        <f t="shared" si="119"/>
        <v>0.9</v>
      </c>
      <c r="AF22" s="28">
        <f t="shared" si="119"/>
        <v>0.89999999999999991</v>
      </c>
      <c r="AG22" s="28">
        <f t="shared" si="119"/>
        <v>0.9</v>
      </c>
      <c r="AH22" s="28">
        <f t="shared" si="119"/>
        <v>0.9</v>
      </c>
      <c r="AI22" s="28">
        <f t="shared" si="119"/>
        <v>0.89999999999999991</v>
      </c>
      <c r="AJ22" s="28">
        <f t="shared" si="119"/>
        <v>0.9</v>
      </c>
      <c r="AK22" s="28">
        <f t="shared" si="119"/>
        <v>0.89999999999999991</v>
      </c>
      <c r="AM22" s="1" t="s">
        <v>82</v>
      </c>
      <c r="AN22" s="30">
        <v>1E-3</v>
      </c>
    </row>
    <row r="23" spans="2:44" x14ac:dyDescent="0.2">
      <c r="AM23" t="s">
        <v>81</v>
      </c>
      <c r="AN23" s="29">
        <v>0.06</v>
      </c>
    </row>
    <row r="24" spans="2:44" x14ac:dyDescent="0.2">
      <c r="B24" t="s">
        <v>83</v>
      </c>
      <c r="W24">
        <v>0</v>
      </c>
      <c r="X24" s="1">
        <f>W24+W18</f>
        <v>579.54367499999978</v>
      </c>
      <c r="Y24" s="1">
        <f t="shared" ref="Y24:AK24" si="120">X24+X18</f>
        <v>1763.6060039999998</v>
      </c>
      <c r="Z24" s="1">
        <f t="shared" si="120"/>
        <v>3458.7310266262493</v>
      </c>
      <c r="AA24" s="1">
        <f t="shared" si="120"/>
        <v>5613.7188778453492</v>
      </c>
      <c r="AB24" s="1">
        <f t="shared" si="120"/>
        <v>8178.137395660402</v>
      </c>
      <c r="AC24" s="1">
        <f t="shared" si="120"/>
        <v>10800.818112594272</v>
      </c>
      <c r="AD24" s="1">
        <f t="shared" si="120"/>
        <v>13483.363304876699</v>
      </c>
      <c r="AE24" s="1">
        <f t="shared" si="120"/>
        <v>16227.142644973366</v>
      </c>
      <c r="AF24" s="1">
        <f t="shared" si="120"/>
        <v>19049.604705252092</v>
      </c>
      <c r="AG24" s="1">
        <f t="shared" si="120"/>
        <v>21952.185236447171</v>
      </c>
      <c r="AH24" s="1">
        <f t="shared" si="120"/>
        <v>24936.372610655675</v>
      </c>
      <c r="AI24" s="1">
        <f t="shared" si="120"/>
        <v>28003.696633649546</v>
      </c>
      <c r="AJ24" s="1">
        <f t="shared" si="120"/>
        <v>30714.609395654363</v>
      </c>
      <c r="AK24" s="1">
        <f t="shared" si="120"/>
        <v>33552.951857224107</v>
      </c>
      <c r="AM24" t="s">
        <v>80</v>
      </c>
      <c r="AN24" s="1">
        <f>NPV(AN23,X18:AZ18)</f>
        <v>21727.115640566342</v>
      </c>
    </row>
    <row r="25" spans="2:44" x14ac:dyDescent="0.2">
      <c r="AM25" t="s">
        <v>85</v>
      </c>
      <c r="AN25" s="22">
        <f>AN24/Main!$K$3</f>
        <v>87.839610215295465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5" t="s">
        <v>14</v>
      </c>
    </row>
    <row r="2" spans="1:3" x14ac:dyDescent="0.2">
      <c r="B2" t="s">
        <v>58</v>
      </c>
      <c r="C2" t="s">
        <v>30</v>
      </c>
    </row>
    <row r="3" spans="1:3" x14ac:dyDescent="0.2">
      <c r="B3" t="s">
        <v>25</v>
      </c>
      <c r="C3" t="s">
        <v>62</v>
      </c>
    </row>
    <row r="4" spans="1:3" x14ac:dyDescent="0.2">
      <c r="B4" t="s">
        <v>59</v>
      </c>
    </row>
    <row r="5" spans="1:3" x14ac:dyDescent="0.2">
      <c r="C5" s="23" t="s">
        <v>60</v>
      </c>
    </row>
    <row r="6" spans="1:3" x14ac:dyDescent="0.2">
      <c r="C6" t="s">
        <v>61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2016-06-17T22:36:53Z</dcterms:created>
  <dcterms:modified xsi:type="dcterms:W3CDTF">2016-06-17T23:13:56Z</dcterms:modified>
</cp:coreProperties>
</file>