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0220" windowHeight="12000" activeTab="1"/>
  </bookViews>
  <sheets>
    <sheet name="Main" sheetId="1" r:id="rId1"/>
    <sheet name="Model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M3" i="2"/>
  <c r="N3" i="2"/>
  <c r="K3" i="2"/>
  <c r="N5" i="2"/>
  <c r="M5" i="2"/>
  <c r="L5" i="2"/>
  <c r="K5" i="2"/>
  <c r="N19" i="2"/>
  <c r="M19" i="2"/>
  <c r="L19" i="2"/>
  <c r="K19" i="2"/>
  <c r="N18" i="2"/>
  <c r="M18" i="2"/>
  <c r="L18" i="2"/>
  <c r="K18" i="2"/>
  <c r="K8" i="2"/>
  <c r="L8" i="2"/>
  <c r="M8" i="2"/>
  <c r="K7" i="2"/>
  <c r="L7" i="2"/>
  <c r="M7" i="2"/>
  <c r="K6" i="2"/>
  <c r="L6" i="2"/>
  <c r="M6" i="2"/>
  <c r="N6" i="2"/>
  <c r="N9" i="2"/>
  <c r="N10" i="2"/>
  <c r="K11" i="2"/>
  <c r="L11" i="2"/>
  <c r="M11" i="2"/>
  <c r="N11" i="2"/>
  <c r="N12" i="2"/>
  <c r="N14" i="2"/>
  <c r="N15" i="2"/>
  <c r="M9" i="2"/>
  <c r="M10" i="2"/>
  <c r="M12" i="2"/>
  <c r="M14" i="2"/>
  <c r="M15" i="2"/>
  <c r="L9" i="2"/>
  <c r="L10" i="2"/>
  <c r="L12" i="2"/>
  <c r="L14" i="2"/>
  <c r="L15" i="2"/>
  <c r="K9" i="2"/>
  <c r="K10" i="2"/>
  <c r="K12" i="2"/>
  <c r="K14" i="2"/>
  <c r="K15" i="2"/>
  <c r="N4" i="2"/>
  <c r="M4" i="2"/>
  <c r="L4" i="2"/>
  <c r="K4" i="2"/>
  <c r="J19" i="2"/>
  <c r="J18" i="2"/>
  <c r="J9" i="2"/>
  <c r="J10" i="2"/>
  <c r="J12" i="2"/>
  <c r="J14" i="2"/>
  <c r="J15" i="2"/>
  <c r="J11" i="2"/>
  <c r="J8" i="2"/>
  <c r="J7" i="2"/>
  <c r="J6" i="2"/>
  <c r="J4" i="2"/>
  <c r="J5" i="2"/>
  <c r="J3" i="2"/>
  <c r="F11" i="2"/>
  <c r="F8" i="2"/>
  <c r="F19" i="2"/>
  <c r="F7" i="2"/>
  <c r="F6" i="2"/>
  <c r="F5" i="2"/>
  <c r="F9" i="2"/>
  <c r="F10" i="2"/>
  <c r="F12" i="2"/>
  <c r="F14" i="2"/>
  <c r="F15" i="2"/>
  <c r="F4" i="2"/>
  <c r="F3" i="2"/>
  <c r="H18" i="2"/>
  <c r="G18" i="2"/>
  <c r="C19" i="2"/>
  <c r="C5" i="2"/>
  <c r="C9" i="2"/>
  <c r="C10" i="2"/>
  <c r="C12" i="2"/>
  <c r="C14" i="2"/>
  <c r="C15" i="2"/>
  <c r="G19" i="2"/>
  <c r="G5" i="2"/>
  <c r="G9" i="2"/>
  <c r="G10" i="2"/>
  <c r="G12" i="2"/>
  <c r="G14" i="2"/>
  <c r="G15" i="2"/>
  <c r="D19" i="2"/>
  <c r="E19" i="2"/>
  <c r="D5" i="2"/>
  <c r="D9" i="2"/>
  <c r="D10" i="2"/>
  <c r="D12" i="2"/>
  <c r="D14" i="2"/>
  <c r="D15" i="2"/>
  <c r="H19" i="2"/>
  <c r="H5" i="2"/>
  <c r="H9" i="2"/>
  <c r="H10" i="2"/>
  <c r="H12" i="2"/>
  <c r="H14" i="2"/>
  <c r="H15" i="2"/>
  <c r="K5" i="1"/>
  <c r="K3" i="1"/>
  <c r="I19" i="2"/>
  <c r="I18" i="2"/>
  <c r="E5" i="2"/>
  <c r="E9" i="2"/>
  <c r="E10" i="2"/>
  <c r="E12" i="2"/>
  <c r="E14" i="2"/>
  <c r="E15" i="2"/>
  <c r="I10" i="2"/>
  <c r="I12" i="2"/>
  <c r="I14" i="2"/>
  <c r="I15" i="2"/>
  <c r="I9" i="2"/>
  <c r="I5" i="2"/>
  <c r="K4" i="1"/>
  <c r="K7" i="1"/>
  <c r="K6" i="1"/>
</calcChain>
</file>

<file path=xl/sharedStrings.xml><?xml version="1.0" encoding="utf-8"?>
<sst xmlns="http://schemas.openxmlformats.org/spreadsheetml/2006/main" count="40" uniqueCount="36">
  <si>
    <t>Price</t>
  </si>
  <si>
    <t>Shares</t>
  </si>
  <si>
    <t>MC</t>
  </si>
  <si>
    <t>Cash</t>
  </si>
  <si>
    <t>Debt</t>
  </si>
  <si>
    <t>EV</t>
  </si>
  <si>
    <t>Q315</t>
  </si>
  <si>
    <t>Main</t>
  </si>
  <si>
    <t>Revenue</t>
  </si>
  <si>
    <t>Q114</t>
  </si>
  <si>
    <t>Q214</t>
  </si>
  <si>
    <t>Q314</t>
  </si>
  <si>
    <t>Q414</t>
  </si>
  <si>
    <t>Q115</t>
  </si>
  <si>
    <t>Q215</t>
  </si>
  <si>
    <t>Q415</t>
  </si>
  <si>
    <t>Q116</t>
  </si>
  <si>
    <t>Q216</t>
  </si>
  <si>
    <t>Q316</t>
  </si>
  <si>
    <t>Q416</t>
  </si>
  <si>
    <t>Operating Income</t>
  </si>
  <si>
    <t>Operating Expenses</t>
  </si>
  <si>
    <t>G&amp;A</t>
  </si>
  <si>
    <t>R&amp;D</t>
  </si>
  <si>
    <t>S&amp;M</t>
  </si>
  <si>
    <t>Gross Profit</t>
  </si>
  <si>
    <t>COGS</t>
  </si>
  <si>
    <t>EPS</t>
  </si>
  <si>
    <t>Net Income</t>
  </si>
  <si>
    <t>Taxes</t>
  </si>
  <si>
    <t>Pretax Income</t>
  </si>
  <si>
    <t>Interest Income</t>
  </si>
  <si>
    <t>Revenue Y/Y</t>
  </si>
  <si>
    <t>Gross Margin</t>
  </si>
  <si>
    <t>ICELL8 Single Cell System</t>
  </si>
  <si>
    <t>SmartChip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</si>
</sst>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" fillId="0" borderId="0" xfId="0" applyNumberFormat="1" applyFont="1"/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0</xdr:rowOff>
    </xdr:from>
    <xdr:to>
      <xdr:col>9</xdr:col>
      <xdr:colOff>28575</xdr:colOff>
      <xdr:row>48</xdr:row>
      <xdr:rowOff>123825</xdr:rowOff>
    </xdr:to>
    <xdr:cxnSp macro="">
      <xdr:nvCxnSpPr>
        <xdr:cNvPr id="3" name="Straight Connector 2"/>
        <xdr:cNvCxnSpPr/>
      </xdr:nvCxnSpPr>
      <xdr:spPr>
        <a:xfrm>
          <a:off x="5857875" y="0"/>
          <a:ext cx="0" cy="7896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"/>
  <sheetViews>
    <sheetView workbookViewId="0">
      <selection activeCell="F9" sqref="F9"/>
    </sheetView>
  </sheetViews>
  <sheetFormatPr defaultRowHeight="12.75" x14ac:dyDescent="0.2"/>
  <cols>
    <col min="2" max="2" width="11.42578125" customWidth="1"/>
  </cols>
  <sheetData>
    <row r="2" spans="2:12" x14ac:dyDescent="0.2">
      <c r="B2" t="s">
        <v>34</v>
      </c>
      <c r="J2" t="s">
        <v>0</v>
      </c>
      <c r="K2">
        <v>0.83</v>
      </c>
    </row>
    <row r="3" spans="2:12" x14ac:dyDescent="0.2">
      <c r="B3" t="s">
        <v>35</v>
      </c>
      <c r="J3" t="s">
        <v>1</v>
      </c>
      <c r="K3" s="1">
        <f>6.41+11.08+3.92</f>
        <v>21.410000000000004</v>
      </c>
      <c r="L3" s="2" t="s">
        <v>6</v>
      </c>
    </row>
    <row r="4" spans="2:12" x14ac:dyDescent="0.2">
      <c r="J4" t="s">
        <v>2</v>
      </c>
      <c r="K4" s="1">
        <f>+K3*K2</f>
        <v>17.770300000000002</v>
      </c>
    </row>
    <row r="5" spans="2:12" x14ac:dyDescent="0.2">
      <c r="J5" t="s">
        <v>3</v>
      </c>
      <c r="K5" s="1">
        <f>3.672+13.6</f>
        <v>17.271999999999998</v>
      </c>
      <c r="L5" s="2" t="s">
        <v>6</v>
      </c>
    </row>
    <row r="6" spans="2:12" x14ac:dyDescent="0.2">
      <c r="J6" t="s">
        <v>4</v>
      </c>
      <c r="K6" s="1">
        <f>2.516+0.178</f>
        <v>2.694</v>
      </c>
      <c r="L6" s="2" t="s">
        <v>6</v>
      </c>
    </row>
    <row r="7" spans="2:12" x14ac:dyDescent="0.2">
      <c r="J7" t="s">
        <v>5</v>
      </c>
      <c r="K7" s="1">
        <f>+K4-K5+K6</f>
        <v>3.1923000000000039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0" sqref="K10"/>
    </sheetView>
  </sheetViews>
  <sheetFormatPr defaultRowHeight="12.75" x14ac:dyDescent="0.2"/>
  <cols>
    <col min="1" max="1" width="5" bestFit="1" customWidth="1"/>
    <col min="2" max="2" width="18.140625" bestFit="1" customWidth="1"/>
    <col min="3" max="8" width="9.140625" style="2"/>
    <col min="9" max="9" width="9.42578125" style="2" customWidth="1"/>
    <col min="10" max="14" width="9.140625" style="2"/>
  </cols>
  <sheetData>
    <row r="1" spans="1:14" x14ac:dyDescent="0.2">
      <c r="A1" s="3" t="s">
        <v>7</v>
      </c>
    </row>
    <row r="2" spans="1:14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6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</row>
    <row r="3" spans="1:14" s="7" customFormat="1" x14ac:dyDescent="0.2">
      <c r="B3" s="7" t="s">
        <v>8</v>
      </c>
      <c r="C3" s="5">
        <v>1406</v>
      </c>
      <c r="D3" s="5">
        <v>1733</v>
      </c>
      <c r="E3" s="5">
        <v>1250</v>
      </c>
      <c r="F3" s="5">
        <f>6001.342-E3-D3-C3</f>
        <v>1612.3419999999996</v>
      </c>
      <c r="G3" s="5">
        <v>1146</v>
      </c>
      <c r="H3" s="5">
        <v>1610</v>
      </c>
      <c r="I3" s="5">
        <v>2010</v>
      </c>
      <c r="J3" s="5">
        <f>8000-I3-H3-G3</f>
        <v>3234</v>
      </c>
      <c r="K3" s="5">
        <f>+J3+150</f>
        <v>3384</v>
      </c>
      <c r="L3" s="5">
        <f t="shared" ref="L3:N3" si="0">+K3+150</f>
        <v>3534</v>
      </c>
      <c r="M3" s="5">
        <f t="shared" si="0"/>
        <v>3684</v>
      </c>
      <c r="N3" s="5">
        <f t="shared" si="0"/>
        <v>3834</v>
      </c>
    </row>
    <row r="4" spans="1:14" s="1" customFormat="1" x14ac:dyDescent="0.2">
      <c r="B4" s="1" t="s">
        <v>26</v>
      </c>
      <c r="C4" s="4">
        <v>607</v>
      </c>
      <c r="D4" s="4">
        <v>758</v>
      </c>
      <c r="E4" s="4">
        <v>374</v>
      </c>
      <c r="F4" s="4">
        <f>2572.399-E4-D4-C4</f>
        <v>833.39899999999989</v>
      </c>
      <c r="G4" s="4">
        <v>414</v>
      </c>
      <c r="H4" s="4">
        <v>676</v>
      </c>
      <c r="I4" s="4">
        <v>848</v>
      </c>
      <c r="J4" s="4">
        <f>+J3-J5</f>
        <v>1293.6000000000001</v>
      </c>
      <c r="K4" s="4">
        <f t="shared" ref="K4:N4" si="1">+K3-K5</f>
        <v>1184.4000000000001</v>
      </c>
      <c r="L4" s="4">
        <f t="shared" si="1"/>
        <v>1236.9000000000001</v>
      </c>
      <c r="M4" s="4">
        <f t="shared" si="1"/>
        <v>1289.4000000000001</v>
      </c>
      <c r="N4" s="4">
        <f t="shared" si="1"/>
        <v>1341.9</v>
      </c>
    </row>
    <row r="5" spans="1:14" s="1" customFormat="1" x14ac:dyDescent="0.2">
      <c r="B5" s="1" t="s">
        <v>25</v>
      </c>
      <c r="C5" s="4">
        <f>+C3-C4</f>
        <v>799</v>
      </c>
      <c r="D5" s="4">
        <f>+D3-D4</f>
        <v>975</v>
      </c>
      <c r="E5" s="4">
        <f>+E3-E4</f>
        <v>876</v>
      </c>
      <c r="F5" s="4">
        <f>+F3-F4</f>
        <v>778.94299999999976</v>
      </c>
      <c r="G5" s="4">
        <f>+G3-G4</f>
        <v>732</v>
      </c>
      <c r="H5" s="4">
        <f>+H3-H4</f>
        <v>934</v>
      </c>
      <c r="I5" s="4">
        <f>+I3-I4</f>
        <v>1162</v>
      </c>
      <c r="J5" s="4">
        <f>+J3*0.6</f>
        <v>1940.3999999999999</v>
      </c>
      <c r="K5" s="4">
        <f>+K3*0.65</f>
        <v>2199.6</v>
      </c>
      <c r="L5" s="4">
        <f t="shared" ref="L5:N5" si="2">+L3*0.65</f>
        <v>2297.1</v>
      </c>
      <c r="M5" s="4">
        <f t="shared" si="2"/>
        <v>2394.6</v>
      </c>
      <c r="N5" s="4">
        <f t="shared" si="2"/>
        <v>2492.1</v>
      </c>
    </row>
    <row r="6" spans="1:14" s="1" customFormat="1" x14ac:dyDescent="0.2">
      <c r="B6" s="1" t="s">
        <v>24</v>
      </c>
      <c r="C6" s="4">
        <v>1273</v>
      </c>
      <c r="D6" s="4">
        <v>1364</v>
      </c>
      <c r="E6" s="4">
        <v>962</v>
      </c>
      <c r="F6" s="4">
        <f>4739.789-SUM(C6:E6)</f>
        <v>1140.7889999999998</v>
      </c>
      <c r="G6" s="4">
        <v>1233</v>
      </c>
      <c r="H6" s="4">
        <v>1232</v>
      </c>
      <c r="I6" s="4">
        <v>1425</v>
      </c>
      <c r="J6" s="4">
        <f>+I6</f>
        <v>1425</v>
      </c>
      <c r="K6" s="4">
        <f t="shared" ref="K6:N6" si="3">+J6</f>
        <v>1425</v>
      </c>
      <c r="L6" s="4">
        <f t="shared" si="3"/>
        <v>1425</v>
      </c>
      <c r="M6" s="4">
        <f t="shared" si="3"/>
        <v>1425</v>
      </c>
      <c r="N6" s="4">
        <f t="shared" si="3"/>
        <v>1425</v>
      </c>
    </row>
    <row r="7" spans="1:14" s="1" customFormat="1" x14ac:dyDescent="0.2">
      <c r="B7" s="1" t="s">
        <v>23</v>
      </c>
      <c r="C7" s="4">
        <v>1367</v>
      </c>
      <c r="D7" s="4">
        <v>1473</v>
      </c>
      <c r="E7" s="4">
        <v>1909</v>
      </c>
      <c r="F7" s="4">
        <f>6716.689-SUM(C7:E7)</f>
        <v>1967.6890000000003</v>
      </c>
      <c r="G7" s="4">
        <v>2471</v>
      </c>
      <c r="H7" s="4">
        <v>2279</v>
      </c>
      <c r="I7" s="4">
        <v>2387</v>
      </c>
      <c r="J7" s="4">
        <f t="shared" ref="J7:N8" si="4">+I7</f>
        <v>2387</v>
      </c>
      <c r="K7" s="4">
        <f t="shared" si="4"/>
        <v>2387</v>
      </c>
      <c r="L7" s="4">
        <f t="shared" si="4"/>
        <v>2387</v>
      </c>
      <c r="M7" s="4">
        <f t="shared" si="4"/>
        <v>2387</v>
      </c>
      <c r="N7" s="4"/>
    </row>
    <row r="8" spans="1:14" s="1" customFormat="1" x14ac:dyDescent="0.2">
      <c r="B8" s="1" t="s">
        <v>22</v>
      </c>
      <c r="C8" s="4">
        <v>812</v>
      </c>
      <c r="D8" s="4">
        <v>1289</v>
      </c>
      <c r="E8" s="4">
        <v>1133</v>
      </c>
      <c r="F8" s="4">
        <f>4422.18-SUM(C8:E8)</f>
        <v>1188.1800000000003</v>
      </c>
      <c r="G8" s="4">
        <v>1602</v>
      </c>
      <c r="H8" s="4">
        <v>1252</v>
      </c>
      <c r="I8" s="4">
        <v>781</v>
      </c>
      <c r="J8" s="4">
        <f t="shared" si="4"/>
        <v>781</v>
      </c>
      <c r="K8" s="4">
        <f t="shared" si="4"/>
        <v>781</v>
      </c>
      <c r="L8" s="4">
        <f t="shared" si="4"/>
        <v>781</v>
      </c>
      <c r="M8" s="4">
        <f t="shared" si="4"/>
        <v>781</v>
      </c>
      <c r="N8" s="4"/>
    </row>
    <row r="9" spans="1:14" s="1" customFormat="1" x14ac:dyDescent="0.2">
      <c r="B9" s="1" t="s">
        <v>21</v>
      </c>
      <c r="C9" s="4">
        <f>+C8+C7+C6</f>
        <v>3452</v>
      </c>
      <c r="D9" s="4">
        <f>+D8+D7+D6</f>
        <v>4126</v>
      </c>
      <c r="E9" s="4">
        <f>+E8+E7+E6</f>
        <v>4004</v>
      </c>
      <c r="F9" s="4">
        <f>+F8+F7+F6</f>
        <v>4296.6580000000004</v>
      </c>
      <c r="G9" s="4">
        <f>+G8+G7+G6</f>
        <v>5306</v>
      </c>
      <c r="H9" s="4">
        <f>+H8+H7+H6</f>
        <v>4763</v>
      </c>
      <c r="I9" s="4">
        <f>+I8+I7+I6</f>
        <v>4593</v>
      </c>
      <c r="J9" s="4">
        <f t="shared" ref="J9" si="5">+J8+J7+J6</f>
        <v>4593</v>
      </c>
      <c r="K9" s="4">
        <f t="shared" ref="K9" si="6">+K8+K7+K6</f>
        <v>4593</v>
      </c>
      <c r="L9" s="4">
        <f t="shared" ref="L9" si="7">+L8+L7+L6</f>
        <v>4593</v>
      </c>
      <c r="M9" s="4">
        <f t="shared" ref="M9" si="8">+M8+M7+M6</f>
        <v>4593</v>
      </c>
      <c r="N9" s="4">
        <f t="shared" ref="N9" si="9">+N8+N7+N6</f>
        <v>1425</v>
      </c>
    </row>
    <row r="10" spans="1:14" s="1" customFormat="1" x14ac:dyDescent="0.2">
      <c r="B10" s="1" t="s">
        <v>20</v>
      </c>
      <c r="C10" s="6">
        <f>C5-C9</f>
        <v>-2653</v>
      </c>
      <c r="D10" s="6">
        <f>D5-D9</f>
        <v>-3151</v>
      </c>
      <c r="E10" s="6">
        <f>E5-E9</f>
        <v>-3128</v>
      </c>
      <c r="F10" s="6">
        <f>F5-F9</f>
        <v>-3517.7150000000006</v>
      </c>
      <c r="G10" s="6">
        <f>G5-G9</f>
        <v>-4574</v>
      </c>
      <c r="H10" s="6">
        <f>H5-H9</f>
        <v>-3829</v>
      </c>
      <c r="I10" s="6">
        <f>I5-I9</f>
        <v>-3431</v>
      </c>
      <c r="J10" s="6">
        <f t="shared" ref="J10" si="10">J5-J9</f>
        <v>-2652.6000000000004</v>
      </c>
      <c r="K10" s="6">
        <f t="shared" ref="K10" si="11">K5-K9</f>
        <v>-2393.4</v>
      </c>
      <c r="L10" s="6">
        <f t="shared" ref="L10" si="12">L5-L9</f>
        <v>-2295.9</v>
      </c>
      <c r="M10" s="6">
        <f t="shared" ref="M10" si="13">M5-M9</f>
        <v>-2198.4</v>
      </c>
      <c r="N10" s="6">
        <f t="shared" ref="N10" si="14">N5-N9</f>
        <v>1067.0999999999999</v>
      </c>
    </row>
    <row r="11" spans="1:14" s="1" customFormat="1" x14ac:dyDescent="0.2">
      <c r="B11" s="1" t="s">
        <v>31</v>
      </c>
      <c r="C11" s="4">
        <v>-103</v>
      </c>
      <c r="D11" s="4">
        <v>-109</v>
      </c>
      <c r="E11" s="4">
        <v>-108</v>
      </c>
      <c r="F11" s="4">
        <f>-503.044-SUM(C11:E11)</f>
        <v>-183.04399999999998</v>
      </c>
      <c r="G11" s="4">
        <v>-106</v>
      </c>
      <c r="H11" s="4">
        <v>-107</v>
      </c>
      <c r="I11" s="4">
        <v>-113</v>
      </c>
      <c r="J11" s="4">
        <f>+I11</f>
        <v>-113</v>
      </c>
      <c r="K11" s="4">
        <f t="shared" ref="K11:N11" si="15">+J11</f>
        <v>-113</v>
      </c>
      <c r="L11" s="4">
        <f t="shared" si="15"/>
        <v>-113</v>
      </c>
      <c r="M11" s="4">
        <f t="shared" si="15"/>
        <v>-113</v>
      </c>
      <c r="N11" s="4">
        <f t="shared" si="15"/>
        <v>-113</v>
      </c>
    </row>
    <row r="12" spans="1:14" s="1" customFormat="1" x14ac:dyDescent="0.2">
      <c r="B12" s="1" t="s">
        <v>30</v>
      </c>
      <c r="C12" s="4">
        <f>+C10+C11</f>
        <v>-2756</v>
      </c>
      <c r="D12" s="4">
        <f>+D10+D11</f>
        <v>-3260</v>
      </c>
      <c r="E12" s="4">
        <f>+E10+E11</f>
        <v>-3236</v>
      </c>
      <c r="F12" s="4">
        <f>+F10+F11</f>
        <v>-3700.7590000000005</v>
      </c>
      <c r="G12" s="4">
        <f>+G10+G11</f>
        <v>-4680</v>
      </c>
      <c r="H12" s="4">
        <f>+H10+H11</f>
        <v>-3936</v>
      </c>
      <c r="I12" s="4">
        <f>+I10+I11</f>
        <v>-3544</v>
      </c>
      <c r="J12" s="4">
        <f t="shared" ref="J12" si="16">+J10+J11</f>
        <v>-2765.6000000000004</v>
      </c>
      <c r="K12" s="4">
        <f t="shared" ref="K12" si="17">+K10+K11</f>
        <v>-2506.4</v>
      </c>
      <c r="L12" s="4">
        <f t="shared" ref="L12" si="18">+L10+L11</f>
        <v>-2408.9</v>
      </c>
      <c r="M12" s="4">
        <f t="shared" ref="M12" si="19">+M10+M11</f>
        <v>-2311.4</v>
      </c>
      <c r="N12" s="4">
        <f t="shared" ref="N12" si="20">+N10+N11</f>
        <v>954.09999999999991</v>
      </c>
    </row>
    <row r="13" spans="1:14" s="1" customFormat="1" x14ac:dyDescent="0.2">
      <c r="B13" s="1" t="s">
        <v>29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s="1" customFormat="1" x14ac:dyDescent="0.2">
      <c r="B14" s="1" t="s">
        <v>28</v>
      </c>
      <c r="C14" s="4">
        <f>+C12-C13</f>
        <v>-2756</v>
      </c>
      <c r="D14" s="4">
        <f>+D12-D13</f>
        <v>-3260</v>
      </c>
      <c r="E14" s="4">
        <f>+E12-E13</f>
        <v>-3236</v>
      </c>
      <c r="F14" s="4">
        <f>+F12-F13</f>
        <v>-3700.7590000000005</v>
      </c>
      <c r="G14" s="4">
        <f>+G12-G13</f>
        <v>-4680</v>
      </c>
      <c r="H14" s="4">
        <f>+H12-H13</f>
        <v>-3936</v>
      </c>
      <c r="I14" s="4">
        <f>+I12-I13</f>
        <v>-3544</v>
      </c>
      <c r="J14" s="4">
        <f t="shared" ref="J14" si="21">+J12-J13</f>
        <v>-2765.6000000000004</v>
      </c>
      <c r="K14" s="4">
        <f t="shared" ref="K14" si="22">+K12-K13</f>
        <v>-2506.4</v>
      </c>
      <c r="L14" s="4">
        <f t="shared" ref="L14" si="23">+L12-L13</f>
        <v>-2408.9</v>
      </c>
      <c r="M14" s="4">
        <f t="shared" ref="M14" si="24">+M12-M13</f>
        <v>-2311.4</v>
      </c>
      <c r="N14" s="4">
        <f t="shared" ref="N14" si="25">+N12-N13</f>
        <v>954.09999999999991</v>
      </c>
    </row>
    <row r="15" spans="1:14" x14ac:dyDescent="0.2">
      <c r="B15" t="s">
        <v>27</v>
      </c>
      <c r="C15" s="8">
        <f>C14/C16</f>
        <v>-3.0252469813391878</v>
      </c>
      <c r="D15" s="8">
        <f>D14/D16</f>
        <v>-3.5357917570498913</v>
      </c>
      <c r="E15" s="8">
        <f>E14/E16</f>
        <v>-1.186217008797654</v>
      </c>
      <c r="F15" s="8">
        <f>F14/F16</f>
        <v>-1.3565832111436953</v>
      </c>
      <c r="G15" s="8">
        <f>G14/G16</f>
        <v>-0.82685512367491165</v>
      </c>
      <c r="H15" s="8">
        <f>H14/H16</f>
        <v>-0.69332393870001763</v>
      </c>
      <c r="I15" s="8">
        <f>I14/I16</f>
        <v>-0.62099176449973714</v>
      </c>
      <c r="J15" s="8">
        <f t="shared" ref="J15" si="26">J14/J16</f>
        <v>-0.48459786227439994</v>
      </c>
      <c r="K15" s="8">
        <f t="shared" ref="K15" si="27">K14/K16</f>
        <v>-0.43917995444191343</v>
      </c>
      <c r="L15" s="8">
        <f t="shared" ref="L15" si="28">L14/L16</f>
        <v>-0.42209567198177678</v>
      </c>
      <c r="M15" s="8">
        <f t="shared" ref="M15" si="29">M14/M16</f>
        <v>-0.40501138952164012</v>
      </c>
      <c r="N15" s="8">
        <f t="shared" ref="N15" si="30">N14/N16</f>
        <v>0.16718065533555282</v>
      </c>
    </row>
    <row r="16" spans="1:14" s="1" customFormat="1" x14ac:dyDescent="0.2">
      <c r="B16" s="1" t="s">
        <v>1</v>
      </c>
      <c r="C16" s="4">
        <v>911</v>
      </c>
      <c r="D16" s="4">
        <v>922</v>
      </c>
      <c r="E16" s="4">
        <v>2728</v>
      </c>
      <c r="F16" s="4">
        <v>2728</v>
      </c>
      <c r="G16" s="4">
        <v>5660</v>
      </c>
      <c r="H16" s="4">
        <v>5677</v>
      </c>
      <c r="I16" s="4">
        <v>5707</v>
      </c>
      <c r="J16" s="4">
        <v>5707</v>
      </c>
      <c r="K16" s="4">
        <v>5707</v>
      </c>
      <c r="L16" s="4">
        <v>5707</v>
      </c>
      <c r="M16" s="4">
        <v>5707</v>
      </c>
      <c r="N16" s="4">
        <v>5707</v>
      </c>
    </row>
    <row r="18" spans="2:14" x14ac:dyDescent="0.2">
      <c r="B18" s="1" t="s">
        <v>32</v>
      </c>
      <c r="G18" s="9">
        <f>G3/C3-1</f>
        <v>-0.18492176386913228</v>
      </c>
      <c r="H18" s="9">
        <f>H3/D3-1</f>
        <v>-7.0975187536064577E-2</v>
      </c>
      <c r="I18" s="9">
        <f>I3/E3-1</f>
        <v>0.6080000000000001</v>
      </c>
      <c r="J18" s="9">
        <f>J3/F3-1</f>
        <v>1.0057779304886934</v>
      </c>
      <c r="K18" s="9">
        <f t="shared" ref="K18:N18" si="31">K3/G3-1</f>
        <v>1.9528795811518322</v>
      </c>
      <c r="L18" s="9">
        <f t="shared" si="31"/>
        <v>1.1950310559006212</v>
      </c>
      <c r="M18" s="9">
        <f t="shared" si="31"/>
        <v>0.83283582089552244</v>
      </c>
      <c r="N18" s="9">
        <f t="shared" si="31"/>
        <v>0.18552875695732829</v>
      </c>
    </row>
    <row r="19" spans="2:14" x14ac:dyDescent="0.2">
      <c r="B19" t="s">
        <v>33</v>
      </c>
      <c r="C19" s="9">
        <f t="shared" ref="C19:G19" si="32">C5/C3</f>
        <v>0.56827880512091034</v>
      </c>
      <c r="D19" s="9">
        <f t="shared" si="32"/>
        <v>0.56260819388343908</v>
      </c>
      <c r="E19" s="9">
        <f t="shared" si="32"/>
        <v>0.70079999999999998</v>
      </c>
      <c r="F19" s="9">
        <f t="shared" si="32"/>
        <v>0.48311276391733265</v>
      </c>
      <c r="G19" s="9">
        <f>G5/G3</f>
        <v>0.63874345549738221</v>
      </c>
      <c r="H19" s="9">
        <f>H5/H3</f>
        <v>0.5801242236024845</v>
      </c>
      <c r="I19" s="9">
        <f>I5/I3</f>
        <v>0.57810945273631842</v>
      </c>
      <c r="J19" s="9">
        <f>J5/J3</f>
        <v>0.6</v>
      </c>
      <c r="K19" s="9">
        <f t="shared" ref="K19:N19" si="33">K5/K3</f>
        <v>0.65</v>
      </c>
      <c r="L19" s="9">
        <f t="shared" si="33"/>
        <v>0.65</v>
      </c>
      <c r="M19" s="9">
        <f t="shared" si="33"/>
        <v>0.65</v>
      </c>
      <c r="N19" s="9">
        <f t="shared" si="33"/>
        <v>0.65</v>
      </c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2015-11-30T02:10:10Z</dcterms:created>
  <dcterms:modified xsi:type="dcterms:W3CDTF">2015-11-30T02:33:18Z</dcterms:modified>
</cp:coreProperties>
</file>