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\Desktop\Investing Class\"/>
    </mc:Choice>
  </mc:AlternateContent>
  <bookViews>
    <workbookView xWindow="0" yWindow="0" windowWidth="21750" windowHeight="12315" activeTab="1"/>
  </bookViews>
  <sheets>
    <sheet name="Main" sheetId="1" r:id="rId1"/>
    <sheet name="Model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1" i="2" l="1"/>
  <c r="L81" i="2"/>
  <c r="K81" i="2"/>
  <c r="K80" i="2" l="1"/>
  <c r="M80" i="2"/>
  <c r="L80" i="2"/>
  <c r="M79" i="2"/>
  <c r="L79" i="2"/>
  <c r="K79" i="2"/>
  <c r="M78" i="2"/>
  <c r="L78" i="2"/>
  <c r="K78" i="2"/>
  <c r="M77" i="2"/>
  <c r="L77" i="2"/>
  <c r="K77" i="2"/>
  <c r="M76" i="2"/>
  <c r="L76" i="2"/>
  <c r="K76" i="2"/>
  <c r="M74" i="2"/>
  <c r="L74" i="2"/>
  <c r="K74" i="2"/>
  <c r="M73" i="2"/>
  <c r="L73" i="2"/>
  <c r="K73" i="2"/>
  <c r="I39" i="2"/>
  <c r="I34" i="2"/>
  <c r="J39" i="2"/>
  <c r="J34" i="2"/>
  <c r="K70" i="2"/>
  <c r="K68" i="2"/>
  <c r="K67" i="2"/>
  <c r="K66" i="2"/>
  <c r="K65" i="2"/>
  <c r="K64" i="2"/>
  <c r="K63" i="2"/>
  <c r="K62" i="2"/>
  <c r="K61" i="2"/>
  <c r="K58" i="2"/>
  <c r="K57" i="2"/>
  <c r="K56" i="2"/>
  <c r="K53" i="2"/>
  <c r="K52" i="2"/>
  <c r="K51" i="2"/>
  <c r="K50" i="2"/>
  <c r="K49" i="2"/>
  <c r="K48" i="2"/>
  <c r="K47" i="2"/>
  <c r="K46" i="2"/>
  <c r="K45" i="2"/>
  <c r="J70" i="2"/>
  <c r="J68" i="2"/>
  <c r="J67" i="2"/>
  <c r="J66" i="2"/>
  <c r="J65" i="2"/>
  <c r="J64" i="2"/>
  <c r="J63" i="2"/>
  <c r="J62" i="2"/>
  <c r="J61" i="2"/>
  <c r="J58" i="2"/>
  <c r="J57" i="2"/>
  <c r="J56" i="2"/>
  <c r="J53" i="2"/>
  <c r="J52" i="2"/>
  <c r="J51" i="2"/>
  <c r="J50" i="2"/>
  <c r="J49" i="2"/>
  <c r="J48" i="2"/>
  <c r="J47" i="2"/>
  <c r="J46" i="2"/>
  <c r="J45" i="2"/>
  <c r="I70" i="2"/>
  <c r="I68" i="2"/>
  <c r="I67" i="2"/>
  <c r="I66" i="2"/>
  <c r="I65" i="2"/>
  <c r="I64" i="2"/>
  <c r="I63" i="2"/>
  <c r="I62" i="2"/>
  <c r="I61" i="2"/>
  <c r="I58" i="2"/>
  <c r="I57" i="2"/>
  <c r="I56" i="2"/>
  <c r="I53" i="2"/>
  <c r="I52" i="2"/>
  <c r="I51" i="2"/>
  <c r="I50" i="2"/>
  <c r="I49" i="2"/>
  <c r="I48" i="2"/>
  <c r="I47" i="2"/>
  <c r="I46" i="2"/>
  <c r="I45" i="2"/>
  <c r="H71" i="2"/>
  <c r="K69" i="2" l="1"/>
  <c r="J69" i="2"/>
  <c r="I69" i="2"/>
  <c r="H69" i="2"/>
  <c r="K59" i="2"/>
  <c r="J59" i="2"/>
  <c r="I59" i="2"/>
  <c r="H59" i="2"/>
  <c r="K54" i="2"/>
  <c r="K71" i="2" s="1"/>
  <c r="J54" i="2"/>
  <c r="J71" i="2" s="1"/>
  <c r="I54" i="2"/>
  <c r="I71" i="2" s="1"/>
  <c r="H54" i="2"/>
  <c r="K44" i="2"/>
  <c r="J44" i="2"/>
  <c r="I44" i="2"/>
  <c r="H44" i="2"/>
  <c r="J42" i="2"/>
  <c r="H42" i="2"/>
  <c r="I42" i="2"/>
  <c r="H39" i="2"/>
  <c r="H34" i="2"/>
  <c r="J32" i="2"/>
  <c r="I32" i="2"/>
  <c r="H32" i="2"/>
  <c r="K39" i="2"/>
  <c r="K42" i="2" s="1"/>
  <c r="K34" i="2"/>
  <c r="K32" i="2"/>
  <c r="T17" i="2"/>
  <c r="S17" i="2"/>
  <c r="S18" i="2"/>
  <c r="T18" i="2"/>
  <c r="R12" i="2"/>
  <c r="R10" i="2"/>
  <c r="R5" i="2"/>
  <c r="R7" i="2" s="1"/>
  <c r="R9" i="2" s="1"/>
  <c r="S12" i="2"/>
  <c r="S10" i="2"/>
  <c r="S5" i="2"/>
  <c r="S7" i="2" s="1"/>
  <c r="S9" i="2" s="1"/>
  <c r="S11" i="2" s="1"/>
  <c r="S13" i="2" s="1"/>
  <c r="S14" i="2" s="1"/>
  <c r="T14" i="2"/>
  <c r="T13" i="2"/>
  <c r="T12" i="2"/>
  <c r="T11" i="2"/>
  <c r="T10" i="2"/>
  <c r="T9" i="2"/>
  <c r="T7" i="2"/>
  <c r="T5" i="2"/>
  <c r="S2" i="2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R2" i="2"/>
  <c r="K23" i="2"/>
  <c r="J23" i="2"/>
  <c r="I23" i="2"/>
  <c r="H23" i="2"/>
  <c r="M71" i="2"/>
  <c r="M70" i="2"/>
  <c r="M67" i="2"/>
  <c r="M61" i="2"/>
  <c r="M69" i="2"/>
  <c r="M68" i="2"/>
  <c r="M66" i="2"/>
  <c r="M65" i="2"/>
  <c r="M64" i="2"/>
  <c r="M63" i="2"/>
  <c r="M62" i="2"/>
  <c r="M59" i="2"/>
  <c r="M58" i="2"/>
  <c r="M57" i="2"/>
  <c r="M56" i="2"/>
  <c r="M54" i="2"/>
  <c r="M53" i="2"/>
  <c r="M52" i="2"/>
  <c r="M51" i="2"/>
  <c r="M50" i="2"/>
  <c r="M49" i="2"/>
  <c r="M48" i="2"/>
  <c r="M47" i="2"/>
  <c r="M46" i="2"/>
  <c r="M45" i="2"/>
  <c r="L71" i="2"/>
  <c r="L69" i="2"/>
  <c r="L59" i="2"/>
  <c r="L54" i="2"/>
  <c r="M44" i="2"/>
  <c r="L44" i="2"/>
  <c r="M39" i="2"/>
  <c r="M34" i="2"/>
  <c r="M23" i="2" s="1"/>
  <c r="L39" i="2"/>
  <c r="L42" i="2" s="1"/>
  <c r="L34" i="2"/>
  <c r="L32" i="2"/>
  <c r="L23" i="2"/>
  <c r="M21" i="2"/>
  <c r="L21" i="2"/>
  <c r="K21" i="2"/>
  <c r="J21" i="2"/>
  <c r="I21" i="2"/>
  <c r="H21" i="2"/>
  <c r="G21" i="2"/>
  <c r="F21" i="2"/>
  <c r="E21" i="2"/>
  <c r="D21" i="2"/>
  <c r="C21" i="2"/>
  <c r="M20" i="2"/>
  <c r="L20" i="2"/>
  <c r="K20" i="2"/>
  <c r="J20" i="2"/>
  <c r="I20" i="2"/>
  <c r="H20" i="2"/>
  <c r="G20" i="2"/>
  <c r="F20" i="2"/>
  <c r="E20" i="2"/>
  <c r="D20" i="2"/>
  <c r="C20" i="2"/>
  <c r="K12" i="2"/>
  <c r="K10" i="2"/>
  <c r="K9" i="2"/>
  <c r="M19" i="2"/>
  <c r="L19" i="2"/>
  <c r="K19" i="2"/>
  <c r="J19" i="2"/>
  <c r="I19" i="2"/>
  <c r="H19" i="2"/>
  <c r="G19" i="2"/>
  <c r="F19" i="2"/>
  <c r="E19" i="2"/>
  <c r="D19" i="2"/>
  <c r="C19" i="2"/>
  <c r="K7" i="2"/>
  <c r="M32" i="2"/>
  <c r="L12" i="2"/>
  <c r="L10" i="2"/>
  <c r="L7" i="2"/>
  <c r="L9" i="2" s="1"/>
  <c r="L17" i="2"/>
  <c r="K17" i="2"/>
  <c r="J17" i="2"/>
  <c r="J18" i="2"/>
  <c r="I18" i="2"/>
  <c r="H18" i="2"/>
  <c r="G18" i="2"/>
  <c r="M18" i="2"/>
  <c r="M17" i="2"/>
  <c r="M14" i="2"/>
  <c r="M12" i="2"/>
  <c r="M13" i="2"/>
  <c r="M11" i="2"/>
  <c r="M10" i="2"/>
  <c r="M9" i="2"/>
  <c r="M7" i="2"/>
  <c r="K5" i="2"/>
  <c r="K18" i="2" s="1"/>
  <c r="L5" i="2"/>
  <c r="L18" i="2" s="1"/>
  <c r="M5" i="2"/>
  <c r="R11" i="2" l="1"/>
  <c r="R13" i="2" s="1"/>
  <c r="R14" i="2" s="1"/>
  <c r="M42" i="2"/>
  <c r="K11" i="2"/>
  <c r="K13" i="2" s="1"/>
  <c r="K14" i="2" s="1"/>
  <c r="L11" i="2"/>
  <c r="L13" i="2" s="1"/>
  <c r="L14" i="2" s="1"/>
  <c r="C12" i="2"/>
  <c r="C5" i="2"/>
  <c r="C7" i="2" s="1"/>
  <c r="C9" i="2" s="1"/>
  <c r="C11" i="2" s="1"/>
  <c r="C13" i="2" s="1"/>
  <c r="C14" i="2" s="1"/>
  <c r="G12" i="2"/>
  <c r="G17" i="2"/>
  <c r="G5" i="2"/>
  <c r="G7" i="2" s="1"/>
  <c r="G9" i="2" s="1"/>
  <c r="G11" i="2" s="1"/>
  <c r="G13" i="2" s="1"/>
  <c r="G14" i="2" s="1"/>
  <c r="H17" i="2"/>
  <c r="I17" i="2"/>
  <c r="D12" i="2"/>
  <c r="D5" i="2"/>
  <c r="D7" i="2" s="1"/>
  <c r="D9" i="2" s="1"/>
  <c r="D11" i="2" s="1"/>
  <c r="D13" i="2" s="1"/>
  <c r="D14" i="2" s="1"/>
  <c r="H12" i="2"/>
  <c r="H5" i="2"/>
  <c r="H7" i="2" s="1"/>
  <c r="H9" i="2" s="1"/>
  <c r="H11" i="2" s="1"/>
  <c r="E12" i="2"/>
  <c r="E5" i="2"/>
  <c r="E7" i="2" s="1"/>
  <c r="E9" i="2" s="1"/>
  <c r="E11" i="2" s="1"/>
  <c r="I12" i="2"/>
  <c r="I5" i="2"/>
  <c r="I7" i="2" s="1"/>
  <c r="I9" i="2" s="1"/>
  <c r="I11" i="2" s="1"/>
  <c r="I13" i="2" l="1"/>
  <c r="I14" i="2" s="1"/>
  <c r="H13" i="2"/>
  <c r="H14" i="2" s="1"/>
  <c r="E13" i="2"/>
  <c r="E14" i="2" s="1"/>
  <c r="F12" i="2"/>
  <c r="F5" i="2"/>
  <c r="F7" i="2" s="1"/>
  <c r="F9" i="2" s="1"/>
  <c r="F11" i="2" s="1"/>
  <c r="F13" i="2" s="1"/>
  <c r="F14" i="2" s="1"/>
  <c r="J12" i="2"/>
  <c r="J5" i="2"/>
  <c r="J7" i="2" s="1"/>
  <c r="J9" i="2" s="1"/>
  <c r="J11" i="2" s="1"/>
  <c r="L6" i="1"/>
  <c r="L4" i="1"/>
  <c r="L7" i="1" s="1"/>
  <c r="J13" i="2" l="1"/>
  <c r="J14" i="2" s="1"/>
</calcChain>
</file>

<file path=xl/sharedStrings.xml><?xml version="1.0" encoding="utf-8"?>
<sst xmlns="http://schemas.openxmlformats.org/spreadsheetml/2006/main" count="93" uniqueCount="71">
  <si>
    <t>Price</t>
  </si>
  <si>
    <t>Shares</t>
  </si>
  <si>
    <t>MC</t>
  </si>
  <si>
    <t>Cash</t>
  </si>
  <si>
    <t>Debt</t>
  </si>
  <si>
    <t>EV</t>
  </si>
  <si>
    <t>Q315</t>
  </si>
  <si>
    <t>Revenue</t>
  </si>
  <si>
    <t>Q114</t>
  </si>
  <si>
    <t>Q214</t>
  </si>
  <si>
    <t>Q314</t>
  </si>
  <si>
    <t>Q414</t>
  </si>
  <si>
    <t>Q115</t>
  </si>
  <si>
    <t>Q215</t>
  </si>
  <si>
    <t>Q415</t>
  </si>
  <si>
    <t>Q116</t>
  </si>
  <si>
    <t>Q216</t>
  </si>
  <si>
    <t>Q316</t>
  </si>
  <si>
    <t>Q416</t>
  </si>
  <si>
    <t>Other</t>
  </si>
  <si>
    <t>Products</t>
  </si>
  <si>
    <t>COGS</t>
  </si>
  <si>
    <t>Gross Margin</t>
  </si>
  <si>
    <t>Operating Costs</t>
  </si>
  <si>
    <t>Operating Income</t>
  </si>
  <si>
    <t>Interest Income</t>
  </si>
  <si>
    <t>Pretax Income</t>
  </si>
  <si>
    <t>Taxes</t>
  </si>
  <si>
    <t>Net Income</t>
  </si>
  <si>
    <t>EPS</t>
  </si>
  <si>
    <t>Q413</t>
  </si>
  <si>
    <t>Product Growth</t>
  </si>
  <si>
    <t>Revenue Growth</t>
  </si>
  <si>
    <t>Assets</t>
  </si>
  <si>
    <t>OA</t>
  </si>
  <si>
    <t>Goodwill</t>
  </si>
  <si>
    <t>Capital Lease</t>
  </si>
  <si>
    <t>PP&amp;E</t>
  </si>
  <si>
    <t>Prepaids</t>
  </si>
  <si>
    <t>Inventories</t>
  </si>
  <si>
    <t>AR</t>
  </si>
  <si>
    <t>SE</t>
  </si>
  <si>
    <t>L+SE</t>
  </si>
  <si>
    <t>Lease</t>
  </si>
  <si>
    <t>AL</t>
  </si>
  <si>
    <t>Dividends</t>
  </si>
  <si>
    <t>AP</t>
  </si>
  <si>
    <t>Net Cash</t>
  </si>
  <si>
    <t>Operating Margin</t>
  </si>
  <si>
    <t>Tax Rate</t>
  </si>
  <si>
    <t>Model NI</t>
  </si>
  <si>
    <t>Reported NI</t>
  </si>
  <si>
    <t>FX</t>
  </si>
  <si>
    <t>CFFF</t>
  </si>
  <si>
    <t>CFFI</t>
  </si>
  <si>
    <t>CFFO</t>
  </si>
  <si>
    <t>D&amp;A</t>
  </si>
  <si>
    <t>DT</t>
  </si>
  <si>
    <t>CapEx</t>
  </si>
  <si>
    <t>Disposals</t>
  </si>
  <si>
    <t>Buyback</t>
  </si>
  <si>
    <t>NCI</t>
  </si>
  <si>
    <t>CIC</t>
  </si>
  <si>
    <t>CFFO TTM</t>
  </si>
  <si>
    <t>CFFO-CapEx TTM</t>
  </si>
  <si>
    <t>ROA</t>
  </si>
  <si>
    <t>ROTA</t>
  </si>
  <si>
    <t>ROE</t>
  </si>
  <si>
    <t>ROTE</t>
  </si>
  <si>
    <t>ROI</t>
  </si>
  <si>
    <t>Buffett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</si>
</sst>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14" fontId="0" fillId="0" borderId="0" xfId="0" applyNumberFormat="1"/>
    <xf numFmtId="9" fontId="0" fillId="0" borderId="0" xfId="0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1</xdr:row>
      <xdr:rowOff>9525</xdr:rowOff>
    </xdr:from>
    <xdr:to>
      <xdr:col>13</xdr:col>
      <xdr:colOff>47625</xdr:colOff>
      <xdr:row>88</xdr:row>
      <xdr:rowOff>0</xdr:rowOff>
    </xdr:to>
    <xdr:cxnSp macro="">
      <xdr:nvCxnSpPr>
        <xdr:cNvPr id="3" name="Straight Connector 2"/>
        <xdr:cNvCxnSpPr/>
      </xdr:nvCxnSpPr>
      <xdr:spPr>
        <a:xfrm>
          <a:off x="8620125" y="171450"/>
          <a:ext cx="0" cy="140779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2:M7"/>
  <sheetViews>
    <sheetView workbookViewId="0">
      <selection activeCell="L7" sqref="L7"/>
    </sheetView>
  </sheetViews>
  <sheetFormatPr defaultRowHeight="12.75" x14ac:dyDescent="0.2"/>
  <sheetData>
    <row r="2" spans="11:13" x14ac:dyDescent="0.2">
      <c r="K2" t="s">
        <v>0</v>
      </c>
      <c r="L2" s="1">
        <v>67.97</v>
      </c>
    </row>
    <row r="3" spans="11:13" x14ac:dyDescent="0.2">
      <c r="K3" t="s">
        <v>1</v>
      </c>
      <c r="L3" s="2">
        <v>3201.893</v>
      </c>
      <c r="M3" s="3" t="s">
        <v>6</v>
      </c>
    </row>
    <row r="4" spans="11:13" x14ac:dyDescent="0.2">
      <c r="K4" t="s">
        <v>2</v>
      </c>
      <c r="L4" s="2">
        <f>+L3*L2</f>
        <v>217632.66720999999</v>
      </c>
      <c r="M4" s="3"/>
    </row>
    <row r="5" spans="11:13" x14ac:dyDescent="0.2">
      <c r="K5" t="s">
        <v>3</v>
      </c>
      <c r="L5" s="2">
        <v>6990</v>
      </c>
      <c r="M5" s="3" t="s">
        <v>6</v>
      </c>
    </row>
    <row r="6" spans="11:13" x14ac:dyDescent="0.2">
      <c r="K6" t="s">
        <v>4</v>
      </c>
      <c r="L6" s="2">
        <f>4960+38617+2746</f>
        <v>46323</v>
      </c>
      <c r="M6" s="3" t="s">
        <v>6</v>
      </c>
    </row>
    <row r="7" spans="11:13" x14ac:dyDescent="0.2">
      <c r="K7" t="s">
        <v>5</v>
      </c>
      <c r="L7" s="2">
        <f>+L4-L5+L6</f>
        <v>256965.66720999999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81"/>
  <sheetViews>
    <sheetView tabSelected="1" workbookViewId="0">
      <pane xSplit="2" ySplit="2" topLeftCell="C40" activePane="bottomRight" state="frozen"/>
      <selection pane="topRight" activeCell="C1" sqref="C1"/>
      <selection pane="bottomLeft" activeCell="A3" sqref="A3"/>
      <selection pane="bottomRight" activeCell="K82" sqref="K82"/>
    </sheetView>
  </sheetViews>
  <sheetFormatPr defaultRowHeight="12.75" x14ac:dyDescent="0.2"/>
  <cols>
    <col min="2" max="2" width="17.85546875" customWidth="1"/>
    <col min="3" max="9" width="9.140625" style="3"/>
    <col min="10" max="10" width="10.140625" style="3" bestFit="1" customWidth="1"/>
    <col min="11" max="15" width="9.140625" style="3"/>
  </cols>
  <sheetData>
    <row r="1" spans="2:31" x14ac:dyDescent="0.2">
      <c r="D1" s="4">
        <v>41759</v>
      </c>
      <c r="G1" s="4">
        <v>42035</v>
      </c>
      <c r="H1" s="4">
        <v>42124</v>
      </c>
      <c r="I1" s="4">
        <v>42216</v>
      </c>
      <c r="J1" s="4">
        <v>42308</v>
      </c>
      <c r="K1" s="4">
        <v>42400</v>
      </c>
      <c r="L1" s="4">
        <v>42490</v>
      </c>
      <c r="M1" s="4">
        <v>42582</v>
      </c>
      <c r="R1" s="13">
        <v>41670</v>
      </c>
      <c r="S1" s="13">
        <v>42035</v>
      </c>
      <c r="T1" s="13">
        <v>42400</v>
      </c>
    </row>
    <row r="2" spans="2:31" x14ac:dyDescent="0.2">
      <c r="C2" s="3" t="s">
        <v>30</v>
      </c>
      <c r="D2" s="3" t="s">
        <v>8</v>
      </c>
      <c r="E2" s="3" t="s">
        <v>9</v>
      </c>
      <c r="F2" s="3" t="s">
        <v>10</v>
      </c>
      <c r="G2" s="3" t="s">
        <v>11</v>
      </c>
      <c r="H2" s="3" t="s">
        <v>12</v>
      </c>
      <c r="I2" s="3" t="s">
        <v>13</v>
      </c>
      <c r="J2" s="3" t="s">
        <v>6</v>
      </c>
      <c r="K2" s="3" t="s">
        <v>14</v>
      </c>
      <c r="L2" s="3" t="s">
        <v>15</v>
      </c>
      <c r="M2" s="3" t="s">
        <v>16</v>
      </c>
      <c r="N2" s="3" t="s">
        <v>17</v>
      </c>
      <c r="O2" s="3" t="s">
        <v>18</v>
      </c>
      <c r="Q2">
        <v>2012</v>
      </c>
      <c r="R2">
        <f>+Q2+1</f>
        <v>2013</v>
      </c>
      <c r="S2">
        <f t="shared" ref="S2:AE2" si="0">+R2+1</f>
        <v>2014</v>
      </c>
      <c r="T2">
        <f t="shared" si="0"/>
        <v>2015</v>
      </c>
      <c r="U2">
        <f t="shared" si="0"/>
        <v>2016</v>
      </c>
      <c r="V2">
        <f t="shared" si="0"/>
        <v>2017</v>
      </c>
      <c r="W2">
        <f t="shared" si="0"/>
        <v>2018</v>
      </c>
      <c r="X2">
        <f t="shared" si="0"/>
        <v>2019</v>
      </c>
      <c r="Y2">
        <f t="shared" si="0"/>
        <v>2020</v>
      </c>
      <c r="Z2">
        <f t="shared" si="0"/>
        <v>2021</v>
      </c>
      <c r="AA2">
        <f t="shared" si="0"/>
        <v>2022</v>
      </c>
      <c r="AB2">
        <f t="shared" si="0"/>
        <v>2023</v>
      </c>
      <c r="AC2">
        <f t="shared" si="0"/>
        <v>2024</v>
      </c>
      <c r="AD2">
        <f t="shared" si="0"/>
        <v>2025</v>
      </c>
      <c r="AE2">
        <f t="shared" si="0"/>
        <v>2026</v>
      </c>
    </row>
    <row r="3" spans="2:31" s="2" customFormat="1" x14ac:dyDescent="0.2">
      <c r="B3" s="2" t="s">
        <v>20</v>
      </c>
      <c r="C3" s="6">
        <v>128786</v>
      </c>
      <c r="D3" s="6">
        <v>114167</v>
      </c>
      <c r="E3" s="6">
        <v>119336</v>
      </c>
      <c r="F3" s="6">
        <v>118076</v>
      </c>
      <c r="G3" s="6">
        <v>130650</v>
      </c>
      <c r="H3" s="6">
        <v>114002</v>
      </c>
      <c r="I3" s="6">
        <v>119330</v>
      </c>
      <c r="J3" s="6">
        <v>116598</v>
      </c>
      <c r="K3" s="6">
        <v>128684</v>
      </c>
      <c r="L3" s="6">
        <v>114986</v>
      </c>
      <c r="M3" s="6">
        <v>119405</v>
      </c>
      <c r="N3" s="6"/>
      <c r="O3" s="6"/>
      <c r="R3" s="2">
        <v>473076</v>
      </c>
      <c r="S3" s="2">
        <v>482229</v>
      </c>
      <c r="T3" s="2">
        <v>478614</v>
      </c>
    </row>
    <row r="4" spans="2:31" s="2" customFormat="1" x14ac:dyDescent="0.2">
      <c r="B4" s="2" t="s">
        <v>19</v>
      </c>
      <c r="C4" s="6">
        <v>920</v>
      </c>
      <c r="D4" s="6">
        <v>793</v>
      </c>
      <c r="E4" s="6">
        <v>789</v>
      </c>
      <c r="F4" s="6">
        <v>925</v>
      </c>
      <c r="G4" s="6">
        <v>915</v>
      </c>
      <c r="H4" s="6">
        <v>824</v>
      </c>
      <c r="I4" s="6">
        <v>899</v>
      </c>
      <c r="J4" s="6">
        <v>810</v>
      </c>
      <c r="K4" s="6">
        <v>983</v>
      </c>
      <c r="L4" s="6">
        <v>918</v>
      </c>
      <c r="M4" s="6">
        <v>1449</v>
      </c>
      <c r="N4" s="6"/>
      <c r="O4" s="6"/>
      <c r="R4" s="2">
        <v>3218</v>
      </c>
      <c r="S4" s="2">
        <v>3422</v>
      </c>
      <c r="T4" s="2">
        <v>3516</v>
      </c>
    </row>
    <row r="5" spans="2:31" s="7" customFormat="1" x14ac:dyDescent="0.2">
      <c r="B5" s="7" t="s">
        <v>7</v>
      </c>
      <c r="C5" s="8">
        <f t="shared" ref="C5:J5" si="1">+C4+C3</f>
        <v>129706</v>
      </c>
      <c r="D5" s="8">
        <f t="shared" si="1"/>
        <v>114960</v>
      </c>
      <c r="E5" s="8">
        <f t="shared" si="1"/>
        <v>120125</v>
      </c>
      <c r="F5" s="8">
        <f t="shared" si="1"/>
        <v>119001</v>
      </c>
      <c r="G5" s="8">
        <f t="shared" si="1"/>
        <v>131565</v>
      </c>
      <c r="H5" s="8">
        <f t="shared" si="1"/>
        <v>114826</v>
      </c>
      <c r="I5" s="8">
        <f t="shared" si="1"/>
        <v>120229</v>
      </c>
      <c r="J5" s="8">
        <f t="shared" si="1"/>
        <v>117408</v>
      </c>
      <c r="K5" s="8">
        <f t="shared" ref="K5:M5" si="2">+K4+K3</f>
        <v>129667</v>
      </c>
      <c r="L5" s="8">
        <f t="shared" si="2"/>
        <v>115904</v>
      </c>
      <c r="M5" s="8">
        <f t="shared" si="2"/>
        <v>120854</v>
      </c>
      <c r="N5" s="8"/>
      <c r="O5" s="8"/>
      <c r="R5" s="7">
        <f>+R4+R3</f>
        <v>476294</v>
      </c>
      <c r="S5" s="7">
        <f>+S4+S3</f>
        <v>485651</v>
      </c>
      <c r="T5" s="7">
        <f>+T4+T3</f>
        <v>482130</v>
      </c>
    </row>
    <row r="6" spans="2:31" s="2" customFormat="1" x14ac:dyDescent="0.2">
      <c r="B6" s="2" t="s">
        <v>21</v>
      </c>
      <c r="C6" s="6">
        <v>97971</v>
      </c>
      <c r="D6" s="6">
        <v>86714</v>
      </c>
      <c r="E6" s="6">
        <v>90010</v>
      </c>
      <c r="F6" s="6">
        <v>89247</v>
      </c>
      <c r="G6" s="6">
        <v>99115</v>
      </c>
      <c r="H6" s="6">
        <v>86483</v>
      </c>
      <c r="I6" s="6">
        <v>90056</v>
      </c>
      <c r="J6" s="6">
        <v>87446</v>
      </c>
      <c r="K6" s="6">
        <v>96999</v>
      </c>
      <c r="L6" s="6">
        <v>86544</v>
      </c>
      <c r="M6" s="6">
        <v>89485</v>
      </c>
      <c r="N6" s="6"/>
      <c r="O6" s="6"/>
      <c r="R6" s="2">
        <v>358069</v>
      </c>
      <c r="S6" s="2">
        <v>365086</v>
      </c>
      <c r="T6" s="2">
        <v>360984</v>
      </c>
    </row>
    <row r="7" spans="2:31" s="2" customFormat="1" x14ac:dyDescent="0.2">
      <c r="B7" s="2" t="s">
        <v>22</v>
      </c>
      <c r="C7" s="6">
        <f t="shared" ref="C7:K7" si="3">+C5-C6</f>
        <v>31735</v>
      </c>
      <c r="D7" s="6">
        <f t="shared" si="3"/>
        <v>28246</v>
      </c>
      <c r="E7" s="6">
        <f t="shared" si="3"/>
        <v>30115</v>
      </c>
      <c r="F7" s="6">
        <f t="shared" si="3"/>
        <v>29754</v>
      </c>
      <c r="G7" s="6">
        <f t="shared" si="3"/>
        <v>32450</v>
      </c>
      <c r="H7" s="6">
        <f t="shared" si="3"/>
        <v>28343</v>
      </c>
      <c r="I7" s="6">
        <f t="shared" si="3"/>
        <v>30173</v>
      </c>
      <c r="J7" s="6">
        <f t="shared" si="3"/>
        <v>29962</v>
      </c>
      <c r="K7" s="6">
        <f t="shared" si="3"/>
        <v>32668</v>
      </c>
      <c r="L7" s="6">
        <f>+L5-L6</f>
        <v>29360</v>
      </c>
      <c r="M7" s="6">
        <f>+M5-M6</f>
        <v>31369</v>
      </c>
      <c r="N7" s="6"/>
      <c r="O7" s="6"/>
      <c r="R7" s="2">
        <f>+R5-R6</f>
        <v>118225</v>
      </c>
      <c r="S7" s="2">
        <f>+S5-S6</f>
        <v>120565</v>
      </c>
      <c r="T7" s="2">
        <f>+T5-T6</f>
        <v>121146</v>
      </c>
    </row>
    <row r="8" spans="2:31" s="2" customFormat="1" x14ac:dyDescent="0.2">
      <c r="B8" s="2" t="s">
        <v>23</v>
      </c>
      <c r="C8" s="6">
        <v>24388</v>
      </c>
      <c r="D8" s="6">
        <v>22053</v>
      </c>
      <c r="E8" s="6">
        <v>23375</v>
      </c>
      <c r="F8" s="6">
        <v>23489</v>
      </c>
      <c r="G8" s="6">
        <v>24501</v>
      </c>
      <c r="H8" s="6">
        <v>22663</v>
      </c>
      <c r="I8" s="6">
        <v>24104</v>
      </c>
      <c r="J8" s="6">
        <v>24248</v>
      </c>
      <c r="K8" s="6">
        <v>26026</v>
      </c>
      <c r="L8" s="6">
        <v>24085</v>
      </c>
      <c r="M8" s="6">
        <v>25204</v>
      </c>
      <c r="N8" s="6"/>
      <c r="O8" s="6"/>
      <c r="R8" s="2">
        <v>91353</v>
      </c>
      <c r="S8" s="2">
        <v>93418</v>
      </c>
      <c r="T8" s="2">
        <v>97041</v>
      </c>
    </row>
    <row r="9" spans="2:31" s="2" customFormat="1" x14ac:dyDescent="0.2">
      <c r="B9" s="2" t="s">
        <v>24</v>
      </c>
      <c r="C9" s="6">
        <f t="shared" ref="C9:J9" si="4">+C7-C8</f>
        <v>7347</v>
      </c>
      <c r="D9" s="6">
        <f t="shared" si="4"/>
        <v>6193</v>
      </c>
      <c r="E9" s="6">
        <f t="shared" si="4"/>
        <v>6740</v>
      </c>
      <c r="F9" s="6">
        <f t="shared" si="4"/>
        <v>6265</v>
      </c>
      <c r="G9" s="6">
        <f t="shared" si="4"/>
        <v>7949</v>
      </c>
      <c r="H9" s="6">
        <f t="shared" si="4"/>
        <v>5680</v>
      </c>
      <c r="I9" s="6">
        <f t="shared" si="4"/>
        <v>6069</v>
      </c>
      <c r="J9" s="6">
        <f t="shared" si="4"/>
        <v>5714</v>
      </c>
      <c r="K9" s="6">
        <f>+K7-K8</f>
        <v>6642</v>
      </c>
      <c r="L9" s="6">
        <f>+L7-L8</f>
        <v>5275</v>
      </c>
      <c r="M9" s="6">
        <f>+M7-M8</f>
        <v>6165</v>
      </c>
      <c r="N9" s="6"/>
      <c r="O9" s="6"/>
      <c r="R9" s="2">
        <f>+R7-R8</f>
        <v>26872</v>
      </c>
      <c r="S9" s="2">
        <f>+S7-S8</f>
        <v>27147</v>
      </c>
      <c r="T9" s="2">
        <f>+T7-T8</f>
        <v>24105</v>
      </c>
    </row>
    <row r="10" spans="2:31" s="2" customFormat="1" x14ac:dyDescent="0.2">
      <c r="B10" s="2" t="s">
        <v>25</v>
      </c>
      <c r="C10" s="6">
        <v>-554</v>
      </c>
      <c r="D10" s="6">
        <v>-568</v>
      </c>
      <c r="E10" s="6">
        <v>-538</v>
      </c>
      <c r="F10" s="6">
        <v>-656</v>
      </c>
      <c r="G10" s="6">
        <v>-586</v>
      </c>
      <c r="H10" s="6">
        <v>-824</v>
      </c>
      <c r="I10" s="6">
        <v>-543</v>
      </c>
      <c r="J10" s="6">
        <v>-552</v>
      </c>
      <c r="K10" s="6">
        <f>-472-93+17</f>
        <v>-548</v>
      </c>
      <c r="L10" s="6">
        <f>-499-86+24</f>
        <v>-561</v>
      </c>
      <c r="M10" s="6">
        <f>-509-79+22</f>
        <v>-566</v>
      </c>
      <c r="N10" s="6"/>
      <c r="O10" s="6"/>
      <c r="R10" s="2">
        <f>-2072-263+119</f>
        <v>-2216</v>
      </c>
      <c r="S10" s="2">
        <f>-2161-300+113</f>
        <v>-2348</v>
      </c>
      <c r="T10" s="2">
        <f>-2027-521+81</f>
        <v>-2467</v>
      </c>
    </row>
    <row r="11" spans="2:31" s="2" customFormat="1" x14ac:dyDescent="0.2">
      <c r="B11" s="2" t="s">
        <v>26</v>
      </c>
      <c r="C11" s="6">
        <f t="shared" ref="C11:J11" si="5">+C9+C10</f>
        <v>6793</v>
      </c>
      <c r="D11" s="6">
        <f t="shared" si="5"/>
        <v>5625</v>
      </c>
      <c r="E11" s="6">
        <f t="shared" si="5"/>
        <v>6202</v>
      </c>
      <c r="F11" s="6">
        <f t="shared" si="5"/>
        <v>5609</v>
      </c>
      <c r="G11" s="6">
        <f t="shared" si="5"/>
        <v>7363</v>
      </c>
      <c r="H11" s="6">
        <f t="shared" si="5"/>
        <v>4856</v>
      </c>
      <c r="I11" s="6">
        <f t="shared" si="5"/>
        <v>5526</v>
      </c>
      <c r="J11" s="6">
        <f t="shared" si="5"/>
        <v>5162</v>
      </c>
      <c r="K11" s="6">
        <f t="shared" ref="K11:M11" si="6">+K9+K10</f>
        <v>6094</v>
      </c>
      <c r="L11" s="6">
        <f t="shared" si="6"/>
        <v>4714</v>
      </c>
      <c r="M11" s="6">
        <f t="shared" si="6"/>
        <v>5599</v>
      </c>
      <c r="N11" s="6"/>
      <c r="O11" s="6"/>
      <c r="R11" s="2">
        <f>+R9+R10</f>
        <v>24656</v>
      </c>
      <c r="S11" s="2">
        <f>+S9+S10</f>
        <v>24799</v>
      </c>
      <c r="T11" s="2">
        <f>+T9+T10</f>
        <v>21638</v>
      </c>
    </row>
    <row r="12" spans="2:31" s="2" customFormat="1" x14ac:dyDescent="0.2">
      <c r="B12" s="2" t="s">
        <v>27</v>
      </c>
      <c r="C12" s="6">
        <f>2249-106+219</f>
        <v>2362</v>
      </c>
      <c r="D12" s="6">
        <f>1914-15+133</f>
        <v>2032</v>
      </c>
      <c r="E12" s="6">
        <f>2113+270-266</f>
        <v>2117</v>
      </c>
      <c r="F12" s="6">
        <f>1783+115</f>
        <v>1898</v>
      </c>
      <c r="G12" s="6">
        <f>2175+222</f>
        <v>2397</v>
      </c>
      <c r="H12" s="6">
        <f>1573-58</f>
        <v>1515</v>
      </c>
      <c r="I12" s="6">
        <f>1891+160</f>
        <v>2051</v>
      </c>
      <c r="J12" s="6">
        <f>1748+110</f>
        <v>1858</v>
      </c>
      <c r="K12" s="6">
        <f>1346+174</f>
        <v>1520</v>
      </c>
      <c r="L12" s="6">
        <f>1498+137</f>
        <v>1635</v>
      </c>
      <c r="M12" s="6">
        <f>1710+116</f>
        <v>1826</v>
      </c>
      <c r="N12" s="6"/>
      <c r="O12" s="6"/>
      <c r="R12" s="2">
        <f>8105+673</f>
        <v>8778</v>
      </c>
      <c r="S12" s="2">
        <f>7985+736</f>
        <v>8721</v>
      </c>
      <c r="T12" s="2">
        <f>6558+386</f>
        <v>6944</v>
      </c>
    </row>
    <row r="13" spans="2:31" s="2" customFormat="1" x14ac:dyDescent="0.2">
      <c r="B13" s="2" t="s">
        <v>28</v>
      </c>
      <c r="C13" s="6">
        <f t="shared" ref="C13:J13" si="7">+C11-C12</f>
        <v>4431</v>
      </c>
      <c r="D13" s="6">
        <f t="shared" si="7"/>
        <v>3593</v>
      </c>
      <c r="E13" s="6">
        <f t="shared" si="7"/>
        <v>4085</v>
      </c>
      <c r="F13" s="6">
        <f t="shared" si="7"/>
        <v>3711</v>
      </c>
      <c r="G13" s="6">
        <f t="shared" si="7"/>
        <v>4966</v>
      </c>
      <c r="H13" s="6">
        <f t="shared" si="7"/>
        <v>3341</v>
      </c>
      <c r="I13" s="6">
        <f t="shared" si="7"/>
        <v>3475</v>
      </c>
      <c r="J13" s="6">
        <f t="shared" si="7"/>
        <v>3304</v>
      </c>
      <c r="K13" s="6">
        <f t="shared" ref="K13:M13" si="8">+K11-K12</f>
        <v>4574</v>
      </c>
      <c r="L13" s="6">
        <f t="shared" si="8"/>
        <v>3079</v>
      </c>
      <c r="M13" s="6">
        <f t="shared" si="8"/>
        <v>3773</v>
      </c>
      <c r="N13" s="6"/>
      <c r="O13" s="6"/>
      <c r="R13" s="2">
        <f>+R11-R12</f>
        <v>15878</v>
      </c>
      <c r="S13" s="2">
        <f>+S11-S12</f>
        <v>16078</v>
      </c>
      <c r="T13" s="2">
        <f>+T11-T12</f>
        <v>14694</v>
      </c>
    </row>
    <row r="14" spans="2:31" x14ac:dyDescent="0.2">
      <c r="B14" s="2" t="s">
        <v>29</v>
      </c>
      <c r="C14" s="5">
        <f t="shared" ref="C14:J14" si="9">C13/C15</f>
        <v>1.3617086662569147</v>
      </c>
      <c r="D14" s="5">
        <f t="shared" si="9"/>
        <v>1.1062192118226601</v>
      </c>
      <c r="E14" s="5">
        <f t="shared" si="9"/>
        <v>1.2604134526380746</v>
      </c>
      <c r="F14" s="5">
        <f t="shared" si="9"/>
        <v>1.1453703703703704</v>
      </c>
      <c r="G14" s="5">
        <f t="shared" si="9"/>
        <v>1.5317705120296115</v>
      </c>
      <c r="H14" s="5">
        <f t="shared" si="9"/>
        <v>1.0302189330866482</v>
      </c>
      <c r="I14" s="5">
        <f t="shared" si="9"/>
        <v>1.0755184153512845</v>
      </c>
      <c r="J14" s="5">
        <f t="shared" si="9"/>
        <v>1.0264057160608884</v>
      </c>
      <c r="K14" s="5">
        <f t="shared" ref="K14:M14" si="10">K13/K15</f>
        <v>1.4316118935837245</v>
      </c>
      <c r="L14" s="5">
        <f t="shared" si="10"/>
        <v>0.97622067216233355</v>
      </c>
      <c r="M14" s="5">
        <f t="shared" si="10"/>
        <v>1.2096825905739019</v>
      </c>
      <c r="R14" s="1">
        <f>+R13/R15</f>
        <v>4.8364300944258298</v>
      </c>
      <c r="S14" s="1">
        <f>+S13/S15</f>
        <v>4.9577551649707061</v>
      </c>
      <c r="T14" s="1">
        <f>+T13/T15</f>
        <v>4.5676095741373954</v>
      </c>
    </row>
    <row r="15" spans="2:31" s="2" customFormat="1" x14ac:dyDescent="0.2">
      <c r="B15" s="2" t="s">
        <v>1</v>
      </c>
      <c r="C15" s="6">
        <v>3254</v>
      </c>
      <c r="D15" s="6">
        <v>3248</v>
      </c>
      <c r="E15" s="6">
        <v>3241</v>
      </c>
      <c r="F15" s="6">
        <v>3240</v>
      </c>
      <c r="G15" s="6">
        <v>3242</v>
      </c>
      <c r="H15" s="6">
        <v>3243</v>
      </c>
      <c r="I15" s="6">
        <v>3231</v>
      </c>
      <c r="J15" s="6">
        <v>3219</v>
      </c>
      <c r="K15" s="6">
        <v>3195</v>
      </c>
      <c r="L15" s="6">
        <v>3154</v>
      </c>
      <c r="M15" s="6">
        <v>3119</v>
      </c>
      <c r="N15" s="6"/>
      <c r="O15" s="6"/>
      <c r="R15" s="2">
        <v>3283</v>
      </c>
      <c r="S15" s="2">
        <v>3243</v>
      </c>
      <c r="T15" s="2">
        <v>3217</v>
      </c>
    </row>
    <row r="17" spans="2:20" s="9" customFormat="1" x14ac:dyDescent="0.2">
      <c r="B17" s="9" t="s">
        <v>31</v>
      </c>
      <c r="C17" s="10"/>
      <c r="D17" s="10"/>
      <c r="E17" s="10"/>
      <c r="F17" s="10"/>
      <c r="G17" s="10">
        <f>G3/C3-1</f>
        <v>1.4473622909322525E-2</v>
      </c>
      <c r="H17" s="10">
        <f>H3/D3-1</f>
        <v>-1.4452512547408203E-3</v>
      </c>
      <c r="I17" s="10">
        <f>I3/E3-1</f>
        <v>-5.0278206073617326E-5</v>
      </c>
      <c r="J17" s="10">
        <f t="shared" ref="J17:L17" si="11">J3/F3-1</f>
        <v>-1.2517361699244556E-2</v>
      </c>
      <c r="K17" s="10">
        <f t="shared" si="11"/>
        <v>-1.5047837734404879E-2</v>
      </c>
      <c r="L17" s="10">
        <f t="shared" si="11"/>
        <v>8.6314275188155154E-3</v>
      </c>
      <c r="M17" s="10">
        <f>M3/I3-1</f>
        <v>6.2850917623391567E-4</v>
      </c>
      <c r="N17" s="10"/>
      <c r="O17" s="10"/>
      <c r="S17" s="9">
        <f>S3/R3-1</f>
        <v>1.934784262993694E-2</v>
      </c>
      <c r="T17" s="9">
        <f>T3/S3-1</f>
        <v>-7.4964384141144036E-3</v>
      </c>
    </row>
    <row r="18" spans="2:20" s="11" customFormat="1" x14ac:dyDescent="0.2">
      <c r="B18" s="11" t="s">
        <v>32</v>
      </c>
      <c r="C18" s="12"/>
      <c r="D18" s="12"/>
      <c r="E18" s="12"/>
      <c r="F18" s="12"/>
      <c r="G18" s="12">
        <f t="shared" ref="G18:L18" si="12">G5/C5-1</f>
        <v>1.4332413303933533E-2</v>
      </c>
      <c r="H18" s="12">
        <f t="shared" si="12"/>
        <v>-1.1656228253305034E-3</v>
      </c>
      <c r="I18" s="12">
        <f t="shared" si="12"/>
        <v>8.6576482830391654E-4</v>
      </c>
      <c r="J18" s="12">
        <f t="shared" si="12"/>
        <v>-1.3386442130738363E-2</v>
      </c>
      <c r="K18" s="12">
        <f t="shared" si="12"/>
        <v>-1.442632919089426E-2</v>
      </c>
      <c r="L18" s="12">
        <f t="shared" si="12"/>
        <v>9.3881176736976268E-3</v>
      </c>
      <c r="M18" s="12">
        <f>M5/I5-1</f>
        <v>5.1984130284705721E-3</v>
      </c>
      <c r="N18" s="12"/>
      <c r="O18" s="12"/>
      <c r="S18" s="11">
        <f>S5/R5-1</f>
        <v>1.9645429083717136E-2</v>
      </c>
      <c r="T18" s="11">
        <f>T5/S5-1</f>
        <v>-7.2500622875274479E-3</v>
      </c>
    </row>
    <row r="19" spans="2:20" s="9" customFormat="1" x14ac:dyDescent="0.2">
      <c r="B19" s="9" t="s">
        <v>22</v>
      </c>
      <c r="C19" s="10">
        <f>C7/C5</f>
        <v>0.24466871231862827</v>
      </c>
      <c r="D19" s="10">
        <f t="shared" ref="D19:M19" si="13">D7/D5</f>
        <v>0.24570285316631871</v>
      </c>
      <c r="E19" s="10">
        <f t="shared" si="13"/>
        <v>0.25069719042663891</v>
      </c>
      <c r="F19" s="10">
        <f t="shared" si="13"/>
        <v>0.25003151234023241</v>
      </c>
      <c r="G19" s="10">
        <f t="shared" si="13"/>
        <v>0.24664614449131608</v>
      </c>
      <c r="H19" s="10">
        <f t="shared" si="13"/>
        <v>0.24683434065455559</v>
      </c>
      <c r="I19" s="10">
        <f t="shared" si="13"/>
        <v>0.25096274609287278</v>
      </c>
      <c r="J19" s="10">
        <f t="shared" si="13"/>
        <v>0.25519555737258109</v>
      </c>
      <c r="K19" s="10">
        <f t="shared" si="13"/>
        <v>0.25193765568726045</v>
      </c>
      <c r="L19" s="10">
        <f t="shared" si="13"/>
        <v>0.25331308669243513</v>
      </c>
      <c r="M19" s="10">
        <f t="shared" si="13"/>
        <v>0.2595611233389048</v>
      </c>
      <c r="N19" s="10"/>
      <c r="O19" s="10"/>
    </row>
    <row r="20" spans="2:20" s="9" customFormat="1" x14ac:dyDescent="0.2">
      <c r="B20" s="9" t="s">
        <v>48</v>
      </c>
      <c r="C20" s="10">
        <f>C11/C5</f>
        <v>5.2372288097697874E-2</v>
      </c>
      <c r="D20" s="10">
        <f t="shared" ref="D20:M20" si="14">D11/D5</f>
        <v>4.8930062630480164E-2</v>
      </c>
      <c r="E20" s="10">
        <f t="shared" si="14"/>
        <v>5.1629552549427679E-2</v>
      </c>
      <c r="F20" s="10">
        <f t="shared" si="14"/>
        <v>4.7134057696994143E-2</v>
      </c>
      <c r="G20" s="10">
        <f t="shared" si="14"/>
        <v>5.5964732261619729E-2</v>
      </c>
      <c r="H20" s="10">
        <f t="shared" si="14"/>
        <v>4.2290073676693435E-2</v>
      </c>
      <c r="I20" s="10">
        <f t="shared" si="14"/>
        <v>4.5962288632526264E-2</v>
      </c>
      <c r="J20" s="10">
        <f t="shared" si="14"/>
        <v>4.3966339602071407E-2</v>
      </c>
      <c r="K20" s="10">
        <f t="shared" si="14"/>
        <v>4.6997308490209534E-2</v>
      </c>
      <c r="L20" s="10">
        <f t="shared" si="14"/>
        <v>4.0671590281612366E-2</v>
      </c>
      <c r="M20" s="10">
        <f t="shared" si="14"/>
        <v>4.6328627931222797E-2</v>
      </c>
      <c r="N20" s="10"/>
      <c r="O20" s="10"/>
    </row>
    <row r="21" spans="2:20" s="9" customFormat="1" x14ac:dyDescent="0.2">
      <c r="B21" s="9" t="s">
        <v>49</v>
      </c>
      <c r="C21" s="10">
        <f>C12/C11</f>
        <v>0.34771087884587076</v>
      </c>
      <c r="D21" s="10">
        <f t="shared" ref="D21:M21" si="15">D12/D11</f>
        <v>0.36124444444444442</v>
      </c>
      <c r="E21" s="10">
        <f t="shared" si="15"/>
        <v>0.34134150274105129</v>
      </c>
      <c r="F21" s="10">
        <f t="shared" si="15"/>
        <v>0.3383847388126226</v>
      </c>
      <c r="G21" s="10">
        <f t="shared" si="15"/>
        <v>0.32554665217981799</v>
      </c>
      <c r="H21" s="10">
        <f t="shared" si="15"/>
        <v>0.31198517298187811</v>
      </c>
      <c r="I21" s="10">
        <f t="shared" si="15"/>
        <v>0.37115454216431415</v>
      </c>
      <c r="J21" s="10">
        <f t="shared" si="15"/>
        <v>0.35993800852382796</v>
      </c>
      <c r="K21" s="10">
        <f t="shared" si="15"/>
        <v>0.24942566458811946</v>
      </c>
      <c r="L21" s="10">
        <f t="shared" si="15"/>
        <v>0.34683920237590155</v>
      </c>
      <c r="M21" s="10">
        <f t="shared" si="15"/>
        <v>0.32612966601178783</v>
      </c>
      <c r="N21" s="10"/>
      <c r="O21" s="10"/>
    </row>
    <row r="23" spans="2:20" x14ac:dyDescent="0.2">
      <c r="B23" t="s">
        <v>47</v>
      </c>
      <c r="H23" s="6">
        <f t="shared" ref="H23:K23" si="16">+H24-H34</f>
        <v>-37948</v>
      </c>
      <c r="I23" s="6">
        <f t="shared" si="16"/>
        <v>-38579</v>
      </c>
      <c r="J23" s="6">
        <f t="shared" si="16"/>
        <v>-39333</v>
      </c>
      <c r="K23" s="6">
        <f t="shared" si="16"/>
        <v>-34962</v>
      </c>
      <c r="L23" s="6">
        <f>+L24-L34</f>
        <v>-35624</v>
      </c>
      <c r="M23" s="6">
        <f>+M24-M34</f>
        <v>-33194</v>
      </c>
    </row>
    <row r="24" spans="2:20" s="2" customFormat="1" x14ac:dyDescent="0.2">
      <c r="B24" s="2" t="s">
        <v>3</v>
      </c>
      <c r="C24" s="6"/>
      <c r="D24" s="6"/>
      <c r="E24" s="6"/>
      <c r="F24" s="6"/>
      <c r="G24" s="6"/>
      <c r="H24" s="6">
        <v>7759</v>
      </c>
      <c r="I24" s="6">
        <v>5751</v>
      </c>
      <c r="J24" s="6">
        <v>6990</v>
      </c>
      <c r="K24" s="6">
        <v>8705</v>
      </c>
      <c r="L24" s="6">
        <v>7597</v>
      </c>
      <c r="M24" s="6">
        <v>7676</v>
      </c>
      <c r="N24" s="6"/>
      <c r="O24" s="6"/>
    </row>
    <row r="25" spans="2:20" s="2" customFormat="1" x14ac:dyDescent="0.2">
      <c r="B25" s="2" t="s">
        <v>40</v>
      </c>
      <c r="C25" s="6"/>
      <c r="D25" s="6"/>
      <c r="E25" s="6"/>
      <c r="F25" s="6"/>
      <c r="G25" s="6"/>
      <c r="H25" s="6">
        <v>5813</v>
      </c>
      <c r="I25" s="6">
        <v>5275</v>
      </c>
      <c r="J25" s="6">
        <v>5012</v>
      </c>
      <c r="K25" s="6">
        <v>5624</v>
      </c>
      <c r="L25" s="6">
        <v>5187</v>
      </c>
      <c r="M25" s="6">
        <v>5275</v>
      </c>
      <c r="N25" s="6"/>
      <c r="O25" s="6"/>
    </row>
    <row r="26" spans="2:20" s="2" customFormat="1" x14ac:dyDescent="0.2">
      <c r="B26" s="2" t="s">
        <v>39</v>
      </c>
      <c r="C26" s="6"/>
      <c r="D26" s="6"/>
      <c r="E26" s="6"/>
      <c r="F26" s="6"/>
      <c r="G26" s="6"/>
      <c r="H26" s="6">
        <v>46310</v>
      </c>
      <c r="I26" s="6">
        <v>45007</v>
      </c>
      <c r="J26" s="6">
        <v>50706</v>
      </c>
      <c r="K26" s="6">
        <v>44469</v>
      </c>
      <c r="L26" s="6">
        <v>44513</v>
      </c>
      <c r="M26" s="6">
        <v>43453</v>
      </c>
      <c r="N26" s="6"/>
      <c r="O26" s="6"/>
    </row>
    <row r="27" spans="2:20" s="2" customFormat="1" x14ac:dyDescent="0.2">
      <c r="B27" s="2" t="s">
        <v>38</v>
      </c>
      <c r="C27" s="6"/>
      <c r="D27" s="6"/>
      <c r="E27" s="6"/>
      <c r="F27" s="6"/>
      <c r="G27" s="6"/>
      <c r="H27" s="6">
        <v>2251</v>
      </c>
      <c r="I27" s="6">
        <v>2099</v>
      </c>
      <c r="J27" s="6">
        <v>2404</v>
      </c>
      <c r="K27" s="6">
        <v>1441</v>
      </c>
      <c r="L27" s="6">
        <v>1800</v>
      </c>
      <c r="M27" s="6">
        <v>1828</v>
      </c>
      <c r="N27" s="6"/>
      <c r="O27" s="6"/>
    </row>
    <row r="28" spans="2:20" s="2" customFormat="1" x14ac:dyDescent="0.2">
      <c r="B28" s="2" t="s">
        <v>37</v>
      </c>
      <c r="C28" s="6"/>
      <c r="D28" s="6"/>
      <c r="E28" s="6"/>
      <c r="F28" s="6"/>
      <c r="G28" s="6"/>
      <c r="H28" s="6">
        <v>112151</v>
      </c>
      <c r="I28" s="6">
        <v>112824</v>
      </c>
      <c r="J28" s="6">
        <v>110835</v>
      </c>
      <c r="K28" s="6">
        <v>110171</v>
      </c>
      <c r="L28" s="6">
        <v>109787</v>
      </c>
      <c r="M28" s="6">
        <v>108867</v>
      </c>
      <c r="N28" s="6"/>
      <c r="O28" s="6"/>
    </row>
    <row r="29" spans="2:20" s="2" customFormat="1" x14ac:dyDescent="0.2">
      <c r="B29" s="2" t="s">
        <v>36</v>
      </c>
      <c r="C29" s="6"/>
      <c r="D29" s="6"/>
      <c r="E29" s="6"/>
      <c r="F29" s="6"/>
      <c r="G29" s="6"/>
      <c r="H29" s="6">
        <v>3534</v>
      </c>
      <c r="I29" s="6">
        <v>3687</v>
      </c>
      <c r="J29" s="6">
        <v>6121</v>
      </c>
      <c r="K29" s="6">
        <v>6345</v>
      </c>
      <c r="L29" s="6">
        <v>6707</v>
      </c>
      <c r="M29" s="6">
        <v>6543</v>
      </c>
      <c r="N29" s="6"/>
      <c r="O29" s="6"/>
    </row>
    <row r="30" spans="2:20" s="2" customFormat="1" x14ac:dyDescent="0.2">
      <c r="B30" s="2" t="s">
        <v>35</v>
      </c>
      <c r="C30" s="6"/>
      <c r="D30" s="6"/>
      <c r="E30" s="6"/>
      <c r="F30" s="6"/>
      <c r="G30" s="6"/>
      <c r="H30" s="6">
        <v>17531</v>
      </c>
      <c r="I30" s="6">
        <v>17799</v>
      </c>
      <c r="J30" s="6">
        <v>17051</v>
      </c>
      <c r="K30" s="6">
        <v>16695</v>
      </c>
      <c r="L30" s="6">
        <v>16751</v>
      </c>
      <c r="M30" s="6">
        <v>16339</v>
      </c>
      <c r="N30" s="6"/>
      <c r="O30" s="6"/>
    </row>
    <row r="31" spans="2:20" s="2" customFormat="1" x14ac:dyDescent="0.2">
      <c r="B31" s="2" t="s">
        <v>34</v>
      </c>
      <c r="C31" s="6"/>
      <c r="D31" s="6"/>
      <c r="E31" s="6"/>
      <c r="F31" s="6"/>
      <c r="G31" s="6"/>
      <c r="H31" s="6">
        <v>5398</v>
      </c>
      <c r="I31" s="6">
        <v>6178</v>
      </c>
      <c r="J31" s="6">
        <v>6025</v>
      </c>
      <c r="K31" s="6">
        <v>6131</v>
      </c>
      <c r="L31" s="6">
        <v>6363</v>
      </c>
      <c r="M31" s="6">
        <v>7905</v>
      </c>
      <c r="N31" s="6"/>
      <c r="O31" s="6"/>
    </row>
    <row r="32" spans="2:20" s="2" customFormat="1" x14ac:dyDescent="0.2">
      <c r="B32" s="2" t="s">
        <v>33</v>
      </c>
      <c r="C32" s="6"/>
      <c r="D32" s="6"/>
      <c r="E32" s="6"/>
      <c r="F32" s="6"/>
      <c r="G32" s="6"/>
      <c r="H32" s="6">
        <f t="shared" ref="H32:M32" si="17">SUM(H24:H31)</f>
        <v>200747</v>
      </c>
      <c r="I32" s="6">
        <f t="shared" si="17"/>
        <v>198620</v>
      </c>
      <c r="J32" s="6">
        <f t="shared" si="17"/>
        <v>205144</v>
      </c>
      <c r="K32" s="6">
        <f t="shared" si="17"/>
        <v>199581</v>
      </c>
      <c r="L32" s="6">
        <f t="shared" si="17"/>
        <v>198705</v>
      </c>
      <c r="M32" s="6">
        <f t="shared" si="17"/>
        <v>197886</v>
      </c>
      <c r="N32" s="6"/>
      <c r="O32" s="6"/>
    </row>
    <row r="34" spans="2:15" s="2" customFormat="1" x14ac:dyDescent="0.2">
      <c r="B34" s="2" t="s">
        <v>4</v>
      </c>
      <c r="C34" s="6"/>
      <c r="D34" s="6"/>
      <c r="E34" s="6"/>
      <c r="F34" s="6"/>
      <c r="G34" s="6"/>
      <c r="H34" s="6">
        <f>799+38867+6041</f>
        <v>45707</v>
      </c>
      <c r="I34" s="6">
        <f>1725+38581+4024</f>
        <v>44330</v>
      </c>
      <c r="J34" s="6">
        <f>4960+38617+2746</f>
        <v>46323</v>
      </c>
      <c r="K34" s="6">
        <f>2708+38214+2745</f>
        <v>43667</v>
      </c>
      <c r="L34" s="6">
        <f>3813+37151+2257</f>
        <v>43221</v>
      </c>
      <c r="M34" s="6">
        <f>1932+36673+2265</f>
        <v>40870</v>
      </c>
      <c r="N34" s="6"/>
      <c r="O34" s="6"/>
    </row>
    <row r="35" spans="2:15" s="2" customFormat="1" x14ac:dyDescent="0.2">
      <c r="B35" s="2" t="s">
        <v>46</v>
      </c>
      <c r="C35" s="6"/>
      <c r="D35" s="6"/>
      <c r="E35" s="6"/>
      <c r="F35" s="6"/>
      <c r="G35" s="6"/>
      <c r="H35" s="6">
        <v>37224</v>
      </c>
      <c r="I35" s="6">
        <v>37225</v>
      </c>
      <c r="J35" s="6">
        <v>40553</v>
      </c>
      <c r="K35" s="6">
        <v>38487</v>
      </c>
      <c r="L35" s="6">
        <v>37997</v>
      </c>
      <c r="M35" s="6">
        <v>39902</v>
      </c>
      <c r="N35" s="6"/>
      <c r="O35" s="6"/>
    </row>
    <row r="36" spans="2:15" s="2" customFormat="1" x14ac:dyDescent="0.2">
      <c r="B36" s="2" t="s">
        <v>45</v>
      </c>
      <c r="C36" s="6"/>
      <c r="D36" s="6"/>
      <c r="E36" s="6"/>
      <c r="F36" s="6"/>
      <c r="G36" s="6"/>
      <c r="H36" s="6">
        <v>4741</v>
      </c>
      <c r="I36" s="6">
        <v>3162</v>
      </c>
      <c r="J36" s="6">
        <v>1589</v>
      </c>
      <c r="K36" s="6">
        <v>0</v>
      </c>
      <c r="L36" s="6">
        <v>4723</v>
      </c>
      <c r="M36" s="6">
        <v>3101</v>
      </c>
      <c r="N36" s="6"/>
      <c r="O36" s="6"/>
    </row>
    <row r="37" spans="2:15" s="2" customFormat="1" x14ac:dyDescent="0.2">
      <c r="B37" s="2" t="s">
        <v>44</v>
      </c>
      <c r="C37" s="6"/>
      <c r="D37" s="6"/>
      <c r="E37" s="6"/>
      <c r="F37" s="6"/>
      <c r="G37" s="6"/>
      <c r="H37" s="6">
        <v>18685</v>
      </c>
      <c r="I37" s="6">
        <v>18290</v>
      </c>
      <c r="J37" s="6">
        <v>19499</v>
      </c>
      <c r="K37" s="6">
        <v>19607</v>
      </c>
      <c r="L37" s="6">
        <v>19605</v>
      </c>
      <c r="M37" s="6">
        <v>19651</v>
      </c>
      <c r="N37" s="6"/>
      <c r="O37" s="6"/>
    </row>
    <row r="38" spans="2:15" s="2" customFormat="1" x14ac:dyDescent="0.2">
      <c r="B38" s="2" t="s">
        <v>27</v>
      </c>
      <c r="C38" s="6"/>
      <c r="D38" s="6"/>
      <c r="E38" s="6"/>
      <c r="F38" s="6"/>
      <c r="G38" s="6"/>
      <c r="H38" s="6">
        <v>1707</v>
      </c>
      <c r="I38" s="6">
        <v>373</v>
      </c>
      <c r="J38" s="6">
        <v>587</v>
      </c>
      <c r="K38" s="6">
        <v>521</v>
      </c>
      <c r="L38" s="6">
        <v>1328</v>
      </c>
      <c r="M38" s="6">
        <v>720</v>
      </c>
      <c r="N38" s="6"/>
      <c r="O38" s="6"/>
    </row>
    <row r="39" spans="2:15" s="2" customFormat="1" x14ac:dyDescent="0.2">
      <c r="B39" s="2" t="s">
        <v>43</v>
      </c>
      <c r="C39" s="6"/>
      <c r="D39" s="6"/>
      <c r="E39" s="6"/>
      <c r="F39" s="6"/>
      <c r="G39" s="6"/>
      <c r="H39" s="6">
        <f>427+4097</f>
        <v>4524</v>
      </c>
      <c r="I39" s="6">
        <f>463+4262</f>
        <v>4725</v>
      </c>
      <c r="J39" s="6">
        <f>558+5581</f>
        <v>6139</v>
      </c>
      <c r="K39" s="6">
        <f>551+5816</f>
        <v>6367</v>
      </c>
      <c r="L39" s="6">
        <f>559+6242</f>
        <v>6801</v>
      </c>
      <c r="M39" s="6">
        <f>551+6070</f>
        <v>6621</v>
      </c>
      <c r="N39" s="6"/>
      <c r="O39" s="6"/>
    </row>
    <row r="40" spans="2:15" s="2" customFormat="1" x14ac:dyDescent="0.2">
      <c r="B40" s="2" t="s">
        <v>27</v>
      </c>
      <c r="C40" s="6"/>
      <c r="D40" s="6"/>
      <c r="E40" s="6"/>
      <c r="F40" s="6"/>
      <c r="G40" s="6"/>
      <c r="H40" s="6">
        <v>8169</v>
      </c>
      <c r="I40" s="6">
        <v>8391</v>
      </c>
      <c r="J40" s="6">
        <v>7824</v>
      </c>
      <c r="K40" s="6">
        <v>7321</v>
      </c>
      <c r="L40" s="6">
        <v>7272</v>
      </c>
      <c r="M40" s="6">
        <v>7877</v>
      </c>
      <c r="N40" s="6"/>
      <c r="O40" s="6"/>
    </row>
    <row r="41" spans="2:15" s="2" customFormat="1" x14ac:dyDescent="0.2">
      <c r="B41" s="2" t="s">
        <v>41</v>
      </c>
      <c r="C41" s="6"/>
      <c r="D41" s="6"/>
      <c r="E41" s="6"/>
      <c r="F41" s="6"/>
      <c r="G41" s="6"/>
      <c r="H41" s="6">
        <v>79990</v>
      </c>
      <c r="I41" s="6">
        <v>82124</v>
      </c>
      <c r="J41" s="6">
        <v>82630</v>
      </c>
      <c r="K41" s="6">
        <v>83611</v>
      </c>
      <c r="L41" s="6">
        <v>77758</v>
      </c>
      <c r="M41" s="6">
        <v>79144</v>
      </c>
      <c r="N41" s="6"/>
      <c r="O41" s="6"/>
    </row>
    <row r="42" spans="2:15" s="2" customFormat="1" x14ac:dyDescent="0.2">
      <c r="B42" s="2" t="s">
        <v>42</v>
      </c>
      <c r="C42" s="6"/>
      <c r="D42" s="6"/>
      <c r="E42" s="6"/>
      <c r="F42" s="6"/>
      <c r="G42" s="6"/>
      <c r="H42" s="6">
        <f t="shared" ref="H42:M42" si="18">SUM(H34:H41)</f>
        <v>200747</v>
      </c>
      <c r="I42" s="6">
        <f t="shared" si="18"/>
        <v>198620</v>
      </c>
      <c r="J42" s="6">
        <f t="shared" si="18"/>
        <v>205144</v>
      </c>
      <c r="K42" s="6">
        <f t="shared" si="18"/>
        <v>199581</v>
      </c>
      <c r="L42" s="6">
        <f t="shared" si="18"/>
        <v>198705</v>
      </c>
      <c r="M42" s="6">
        <f t="shared" si="18"/>
        <v>197886</v>
      </c>
      <c r="N42" s="6"/>
      <c r="O42" s="6"/>
    </row>
    <row r="43" spans="2:15" s="2" customFormat="1" x14ac:dyDescent="0.2"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</row>
    <row r="44" spans="2:15" s="2" customFormat="1" x14ac:dyDescent="0.2">
      <c r="B44" s="2" t="s">
        <v>50</v>
      </c>
      <c r="C44" s="6"/>
      <c r="D44" s="6"/>
      <c r="E44" s="6"/>
      <c r="F44" s="6"/>
      <c r="G44" s="6"/>
      <c r="H44" s="6">
        <f t="shared" ref="H44:K44" si="19">+H13</f>
        <v>3341</v>
      </c>
      <c r="I44" s="6">
        <f t="shared" si="19"/>
        <v>3475</v>
      </c>
      <c r="J44" s="6">
        <f t="shared" si="19"/>
        <v>3304</v>
      </c>
      <c r="K44" s="6">
        <f t="shared" si="19"/>
        <v>4574</v>
      </c>
      <c r="L44" s="6">
        <f>+L13</f>
        <v>3079</v>
      </c>
      <c r="M44" s="6">
        <f t="shared" ref="M44" si="20">+M13</f>
        <v>3773</v>
      </c>
      <c r="N44" s="6"/>
      <c r="O44" s="6"/>
    </row>
    <row r="45" spans="2:15" s="2" customFormat="1" x14ac:dyDescent="0.2">
      <c r="B45" s="2" t="s">
        <v>51</v>
      </c>
      <c r="C45" s="6"/>
      <c r="D45" s="6"/>
      <c r="E45" s="6"/>
      <c r="F45" s="6"/>
      <c r="G45" s="6"/>
      <c r="H45" s="6">
        <v>3283</v>
      </c>
      <c r="I45" s="6">
        <f>6918-H45</f>
        <v>3635</v>
      </c>
      <c r="J45" s="6">
        <f>10332-I45-H45</f>
        <v>3414</v>
      </c>
      <c r="K45" s="6">
        <f>15080-J45-I45-H45</f>
        <v>4748</v>
      </c>
      <c r="L45" s="6">
        <v>3216</v>
      </c>
      <c r="M45" s="6">
        <f>7105-L45</f>
        <v>3889</v>
      </c>
      <c r="N45" s="6"/>
      <c r="O45" s="6"/>
    </row>
    <row r="46" spans="2:15" s="2" customFormat="1" x14ac:dyDescent="0.2">
      <c r="B46" s="2" t="s">
        <v>56</v>
      </c>
      <c r="C46" s="6"/>
      <c r="D46" s="6"/>
      <c r="E46" s="6"/>
      <c r="F46" s="6"/>
      <c r="G46" s="6"/>
      <c r="H46" s="6">
        <v>2319</v>
      </c>
      <c r="I46" s="6">
        <f>4658-H46</f>
        <v>2339</v>
      </c>
      <c r="J46" s="6">
        <f>7023-I46-H46</f>
        <v>2365</v>
      </c>
      <c r="K46" s="6">
        <f>9454-J46-I46-H46</f>
        <v>2431</v>
      </c>
      <c r="L46" s="6">
        <v>2388</v>
      </c>
      <c r="M46" s="6">
        <f>4905-L46</f>
        <v>2517</v>
      </c>
      <c r="N46" s="6"/>
      <c r="O46" s="6"/>
    </row>
    <row r="47" spans="2:15" s="2" customFormat="1" x14ac:dyDescent="0.2">
      <c r="B47" s="2" t="s">
        <v>57</v>
      </c>
      <c r="C47" s="6"/>
      <c r="D47" s="6"/>
      <c r="E47" s="6"/>
      <c r="F47" s="6"/>
      <c r="G47" s="6"/>
      <c r="H47" s="6">
        <v>-159</v>
      </c>
      <c r="I47" s="6">
        <f>-396-H47</f>
        <v>-237</v>
      </c>
      <c r="J47" s="6">
        <f>-987-I47-H47</f>
        <v>-591</v>
      </c>
      <c r="K47" s="6">
        <f>-672-J47-I47-H47</f>
        <v>315</v>
      </c>
      <c r="L47" s="6">
        <v>-122</v>
      </c>
      <c r="M47" s="6">
        <f>33-L47</f>
        <v>155</v>
      </c>
      <c r="N47" s="6"/>
      <c r="O47" s="6"/>
    </row>
    <row r="48" spans="2:15" s="2" customFormat="1" x14ac:dyDescent="0.2">
      <c r="B48" s="2" t="s">
        <v>19</v>
      </c>
      <c r="C48" s="6"/>
      <c r="D48" s="6"/>
      <c r="E48" s="6"/>
      <c r="F48" s="6"/>
      <c r="G48" s="6"/>
      <c r="H48" s="6">
        <v>239</v>
      </c>
      <c r="I48" s="6">
        <f>532-H48</f>
        <v>293</v>
      </c>
      <c r="J48" s="6">
        <f>644-I48-H48</f>
        <v>112</v>
      </c>
      <c r="K48" s="6">
        <f>1410-J48-I48-H48</f>
        <v>766</v>
      </c>
      <c r="L48" s="6">
        <v>-33</v>
      </c>
      <c r="M48" s="6">
        <f>-361-L48</f>
        <v>-328</v>
      </c>
      <c r="N48" s="6"/>
      <c r="O48" s="6"/>
    </row>
    <row r="49" spans="2:15" s="2" customFormat="1" x14ac:dyDescent="0.2">
      <c r="B49" s="2" t="s">
        <v>40</v>
      </c>
      <c r="C49" s="6"/>
      <c r="D49" s="6"/>
      <c r="E49" s="6"/>
      <c r="F49" s="6"/>
      <c r="G49" s="6"/>
      <c r="H49" s="6">
        <v>782</v>
      </c>
      <c r="I49" s="6">
        <f>683-H49</f>
        <v>-99</v>
      </c>
      <c r="J49" s="6">
        <f>783-I49-H49</f>
        <v>100</v>
      </c>
      <c r="K49" s="6">
        <f>-19-J49-I49-H49</f>
        <v>-802</v>
      </c>
      <c r="L49" s="6">
        <v>494</v>
      </c>
      <c r="M49" s="6">
        <f>443-L49</f>
        <v>-51</v>
      </c>
      <c r="N49" s="6"/>
      <c r="O49" s="6"/>
    </row>
    <row r="50" spans="2:15" s="2" customFormat="1" x14ac:dyDescent="0.2">
      <c r="B50" s="2" t="s">
        <v>39</v>
      </c>
      <c r="C50" s="6"/>
      <c r="D50" s="6"/>
      <c r="E50" s="6"/>
      <c r="F50" s="6"/>
      <c r="G50" s="6"/>
      <c r="H50" s="6">
        <v>-1475</v>
      </c>
      <c r="I50" s="6">
        <f>-227-H50</f>
        <v>1248</v>
      </c>
      <c r="J50" s="6">
        <f>-6637-I50-H50</f>
        <v>-6410</v>
      </c>
      <c r="K50" s="6">
        <f>-703-J50-I50-H50</f>
        <v>5934</v>
      </c>
      <c r="L50" s="6">
        <v>264</v>
      </c>
      <c r="M50" s="6">
        <f>1055-L50</f>
        <v>791</v>
      </c>
      <c r="N50" s="6"/>
      <c r="O50" s="6"/>
    </row>
    <row r="51" spans="2:15" s="2" customFormat="1" x14ac:dyDescent="0.2">
      <c r="B51" s="2" t="s">
        <v>46</v>
      </c>
      <c r="C51" s="6"/>
      <c r="D51" s="6"/>
      <c r="E51" s="6"/>
      <c r="F51" s="6"/>
      <c r="G51" s="6"/>
      <c r="H51" s="6">
        <v>-319</v>
      </c>
      <c r="I51" s="6">
        <f>-562-H51</f>
        <v>-243</v>
      </c>
      <c r="J51" s="6">
        <f>3603-I51-H51</f>
        <v>4165</v>
      </c>
      <c r="K51" s="6">
        <f>2008-J51-I51-H51</f>
        <v>-1595</v>
      </c>
      <c r="L51" s="6">
        <v>-234</v>
      </c>
      <c r="M51" s="6">
        <f>1864-L51</f>
        <v>2098</v>
      </c>
      <c r="N51" s="6"/>
      <c r="O51" s="6"/>
    </row>
    <row r="52" spans="2:15" s="2" customFormat="1" x14ac:dyDescent="0.2">
      <c r="B52" s="2" t="s">
        <v>44</v>
      </c>
      <c r="C52" s="6"/>
      <c r="D52" s="6"/>
      <c r="E52" s="6"/>
      <c r="F52" s="6"/>
      <c r="G52" s="6"/>
      <c r="H52" s="6">
        <v>-919</v>
      </c>
      <c r="I52" s="6">
        <f>-860-H52</f>
        <v>59</v>
      </c>
      <c r="J52" s="6">
        <f>662-I52-H52</f>
        <v>1522</v>
      </c>
      <c r="K52" s="6">
        <f>1303-J52-I52-H52</f>
        <v>641</v>
      </c>
      <c r="L52" s="6">
        <v>-590</v>
      </c>
      <c r="M52" s="6">
        <f>-387-L52</f>
        <v>203</v>
      </c>
      <c r="N52" s="6"/>
      <c r="O52" s="6"/>
    </row>
    <row r="53" spans="2:15" s="2" customFormat="1" x14ac:dyDescent="0.2">
      <c r="B53" s="2" t="s">
        <v>27</v>
      </c>
      <c r="C53" s="6"/>
      <c r="D53" s="6"/>
      <c r="E53" s="6"/>
      <c r="F53" s="6"/>
      <c r="G53" s="6"/>
      <c r="H53" s="6">
        <v>695</v>
      </c>
      <c r="I53" s="6">
        <f>-644-H53</f>
        <v>-1339</v>
      </c>
      <c r="J53" s="6">
        <f>-418-I53-H53</f>
        <v>226</v>
      </c>
      <c r="K53" s="6">
        <f>-472-J53-I53-H53</f>
        <v>-54</v>
      </c>
      <c r="L53" s="6">
        <v>810</v>
      </c>
      <c r="M53" s="6">
        <f>274-L53</f>
        <v>-536</v>
      </c>
      <c r="N53" s="6"/>
      <c r="O53" s="6"/>
    </row>
    <row r="54" spans="2:15" s="2" customFormat="1" x14ac:dyDescent="0.2">
      <c r="B54" s="2" t="s">
        <v>55</v>
      </c>
      <c r="C54" s="6"/>
      <c r="D54" s="6"/>
      <c r="E54" s="6"/>
      <c r="F54" s="6"/>
      <c r="G54" s="6"/>
      <c r="H54" s="6">
        <f t="shared" ref="H54:K54" si="21">SUM(H45:H53)</f>
        <v>4446</v>
      </c>
      <c r="I54" s="6">
        <f t="shared" si="21"/>
        <v>5656</v>
      </c>
      <c r="J54" s="6">
        <f t="shared" si="21"/>
        <v>4903</v>
      </c>
      <c r="K54" s="6">
        <f t="shared" si="21"/>
        <v>12384</v>
      </c>
      <c r="L54" s="6">
        <f>SUM(L45:L53)</f>
        <v>6193</v>
      </c>
      <c r="M54" s="6">
        <f>SUM(M45:M53)</f>
        <v>8738</v>
      </c>
      <c r="N54" s="6"/>
      <c r="O54" s="6"/>
    </row>
    <row r="55" spans="2:15" s="2" customFormat="1" x14ac:dyDescent="0.2"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</row>
    <row r="56" spans="2:15" s="2" customFormat="1" x14ac:dyDescent="0.2">
      <c r="B56" s="2" t="s">
        <v>58</v>
      </c>
      <c r="C56" s="6"/>
      <c r="D56" s="6"/>
      <c r="E56" s="6"/>
      <c r="F56" s="6"/>
      <c r="G56" s="6"/>
      <c r="H56" s="6">
        <v>-2203</v>
      </c>
      <c r="I56" s="6">
        <f>-5044-H56</f>
        <v>-2841</v>
      </c>
      <c r="J56" s="6">
        <f>-8223-I56-H56</f>
        <v>-3179</v>
      </c>
      <c r="K56" s="6">
        <f>-11477-J56-I56-H56</f>
        <v>-3254</v>
      </c>
      <c r="L56" s="6">
        <v>-2209</v>
      </c>
      <c r="M56" s="6">
        <f>-4619-L56</f>
        <v>-2410</v>
      </c>
      <c r="N56" s="6"/>
      <c r="O56" s="6"/>
    </row>
    <row r="57" spans="2:15" s="2" customFormat="1" x14ac:dyDescent="0.2">
      <c r="B57" s="2" t="s">
        <v>59</v>
      </c>
      <c r="C57" s="6"/>
      <c r="D57" s="6"/>
      <c r="E57" s="6"/>
      <c r="F57" s="6"/>
      <c r="G57" s="6"/>
      <c r="H57" s="6">
        <v>68</v>
      </c>
      <c r="I57" s="6">
        <f>287-H57+246</f>
        <v>465</v>
      </c>
      <c r="J57" s="6">
        <f>362-I57-H57+246</f>
        <v>75</v>
      </c>
      <c r="K57" s="6">
        <f>635+246-J57-I57-H57</f>
        <v>273</v>
      </c>
      <c r="L57" s="6">
        <v>89</v>
      </c>
      <c r="M57" s="6">
        <f>260-L57</f>
        <v>171</v>
      </c>
      <c r="N57" s="6"/>
      <c r="O57" s="6"/>
    </row>
    <row r="58" spans="2:15" s="2" customFormat="1" x14ac:dyDescent="0.2">
      <c r="B58" s="2" t="s">
        <v>19</v>
      </c>
      <c r="C58" s="6"/>
      <c r="D58" s="6"/>
      <c r="E58" s="6"/>
      <c r="F58" s="6"/>
      <c r="G58" s="6"/>
      <c r="H58" s="6">
        <v>22</v>
      </c>
      <c r="I58" s="6">
        <f>-91-H58</f>
        <v>-113</v>
      </c>
      <c r="J58" s="6">
        <f>48-I58-H58</f>
        <v>139</v>
      </c>
      <c r="K58" s="6">
        <f>-79-J58-I58-H58</f>
        <v>-127</v>
      </c>
      <c r="L58" s="6">
        <v>1</v>
      </c>
      <c r="M58" s="6">
        <f>-57-L58</f>
        <v>-58</v>
      </c>
      <c r="N58" s="6"/>
      <c r="O58" s="6"/>
    </row>
    <row r="59" spans="2:15" s="2" customFormat="1" x14ac:dyDescent="0.2">
      <c r="B59" s="2" t="s">
        <v>54</v>
      </c>
      <c r="C59" s="6"/>
      <c r="D59" s="6"/>
      <c r="E59" s="6"/>
      <c r="F59" s="6"/>
      <c r="G59" s="6"/>
      <c r="H59" s="6">
        <f t="shared" ref="H59:K59" si="22">SUM(H56:H58)</f>
        <v>-2113</v>
      </c>
      <c r="I59" s="6">
        <f t="shared" si="22"/>
        <v>-2489</v>
      </c>
      <c r="J59" s="6">
        <f t="shared" si="22"/>
        <v>-2965</v>
      </c>
      <c r="K59" s="6">
        <f t="shared" si="22"/>
        <v>-3108</v>
      </c>
      <c r="L59" s="6">
        <f>SUM(L56:L58)</f>
        <v>-2119</v>
      </c>
      <c r="M59" s="6">
        <f>SUM(M56:M58)</f>
        <v>-2297</v>
      </c>
      <c r="N59" s="6"/>
      <c r="O59" s="6"/>
    </row>
    <row r="60" spans="2:15" s="2" customFormat="1" x14ac:dyDescent="0.2"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</row>
    <row r="61" spans="2:15" s="2" customFormat="1" x14ac:dyDescent="0.2">
      <c r="B61" s="2" t="s">
        <v>4</v>
      </c>
      <c r="C61" s="6"/>
      <c r="D61" s="6"/>
      <c r="E61" s="6"/>
      <c r="F61" s="6"/>
      <c r="G61" s="6"/>
      <c r="H61" s="6">
        <v>-741</v>
      </c>
      <c r="I61" s="6">
        <f>274-H61</f>
        <v>1015</v>
      </c>
      <c r="J61" s="6">
        <f>3537-I61-H61</f>
        <v>3263</v>
      </c>
      <c r="K61" s="6">
        <f>1235-J61-I61-H61</f>
        <v>-2302</v>
      </c>
      <c r="L61" s="6">
        <v>1065</v>
      </c>
      <c r="M61" s="6">
        <f>-857-L61</f>
        <v>-1922</v>
      </c>
      <c r="N61" s="6"/>
      <c r="O61" s="6"/>
    </row>
    <row r="62" spans="2:15" s="2" customFormat="1" x14ac:dyDescent="0.2">
      <c r="B62" s="2" t="s">
        <v>4</v>
      </c>
      <c r="C62" s="6"/>
      <c r="D62" s="6"/>
      <c r="E62" s="6"/>
      <c r="F62" s="6"/>
      <c r="G62" s="6"/>
      <c r="H62" s="6">
        <v>43</v>
      </c>
      <c r="I62" s="6">
        <f>42-H62</f>
        <v>-1</v>
      </c>
      <c r="J62" s="6">
        <f>41-I62-H62</f>
        <v>-1</v>
      </c>
      <c r="K62" s="6">
        <f>39-J62-I62-H62</f>
        <v>-2</v>
      </c>
      <c r="L62" s="6">
        <v>127</v>
      </c>
      <c r="M62" s="6">
        <f>130-L62</f>
        <v>3</v>
      </c>
      <c r="N62" s="6"/>
      <c r="O62" s="6"/>
    </row>
    <row r="63" spans="2:15" s="2" customFormat="1" x14ac:dyDescent="0.2">
      <c r="B63" s="2" t="s">
        <v>4</v>
      </c>
      <c r="C63" s="6"/>
      <c r="D63" s="6"/>
      <c r="E63" s="6"/>
      <c r="F63" s="6"/>
      <c r="G63" s="6"/>
      <c r="H63" s="6">
        <v>-915</v>
      </c>
      <c r="I63" s="6">
        <f>-3159-H63</f>
        <v>-2244</v>
      </c>
      <c r="J63" s="6">
        <f>-4422-I63-H63</f>
        <v>-1263</v>
      </c>
      <c r="K63" s="6">
        <f>-4432-J63-I63-H63</f>
        <v>-10</v>
      </c>
      <c r="L63" s="6">
        <v>-2013</v>
      </c>
      <c r="M63" s="6">
        <f>-2026-L63</f>
        <v>-13</v>
      </c>
      <c r="N63" s="6"/>
      <c r="O63" s="6"/>
    </row>
    <row r="64" spans="2:15" s="2" customFormat="1" x14ac:dyDescent="0.2">
      <c r="B64" s="2" t="s">
        <v>45</v>
      </c>
      <c r="C64" s="6"/>
      <c r="D64" s="6"/>
      <c r="E64" s="6"/>
      <c r="F64" s="6"/>
      <c r="G64" s="6"/>
      <c r="H64" s="6">
        <v>-1579</v>
      </c>
      <c r="I64" s="6">
        <f>-3157-H64</f>
        <v>-1578</v>
      </c>
      <c r="J64" s="6">
        <f>-4728-I64-H64</f>
        <v>-1571</v>
      </c>
      <c r="K64" s="6">
        <f>-6294-J64-I64-H64</f>
        <v>-1566</v>
      </c>
      <c r="L64" s="6">
        <v>-1573</v>
      </c>
      <c r="M64" s="6">
        <f>-3133-L64</f>
        <v>-1560</v>
      </c>
      <c r="N64" s="6"/>
      <c r="O64" s="6"/>
    </row>
    <row r="65" spans="2:15" s="2" customFormat="1" x14ac:dyDescent="0.2">
      <c r="B65" s="2" t="s">
        <v>60</v>
      </c>
      <c r="C65" s="6"/>
      <c r="D65" s="6"/>
      <c r="E65" s="6"/>
      <c r="F65" s="6"/>
      <c r="G65" s="6"/>
      <c r="H65" s="6">
        <v>-280</v>
      </c>
      <c r="I65" s="6">
        <f>-1283-H65</f>
        <v>-1003</v>
      </c>
      <c r="J65" s="6">
        <f>-1720-I65-H65</f>
        <v>-437</v>
      </c>
      <c r="K65" s="6">
        <f>-4112-J65-I65-H65</f>
        <v>-2392</v>
      </c>
      <c r="L65" s="6">
        <v>-2735</v>
      </c>
      <c r="M65" s="6">
        <f>-4852-L65</f>
        <v>-2117</v>
      </c>
      <c r="N65" s="6"/>
      <c r="O65" s="6"/>
    </row>
    <row r="66" spans="2:15" s="2" customFormat="1" x14ac:dyDescent="0.2">
      <c r="B66" s="2" t="s">
        <v>61</v>
      </c>
      <c r="C66" s="6"/>
      <c r="D66" s="6"/>
      <c r="E66" s="6"/>
      <c r="F66" s="6"/>
      <c r="G66" s="6"/>
      <c r="H66" s="6">
        <v>-69</v>
      </c>
      <c r="I66" s="6">
        <f>-434-H66</f>
        <v>-365</v>
      </c>
      <c r="J66" s="6">
        <f>-609-I66-H66</f>
        <v>-175</v>
      </c>
      <c r="K66" s="6">
        <f>-719-J66-I66-H66</f>
        <v>-110</v>
      </c>
      <c r="L66" s="6">
        <v>-57</v>
      </c>
      <c r="M66" s="6">
        <f>-270-L66</f>
        <v>-213</v>
      </c>
      <c r="N66" s="6"/>
      <c r="O66" s="6"/>
    </row>
    <row r="67" spans="2:15" s="2" customFormat="1" x14ac:dyDescent="0.2">
      <c r="B67" s="2" t="s">
        <v>61</v>
      </c>
      <c r="C67" s="6"/>
      <c r="D67" s="6"/>
      <c r="E67" s="6"/>
      <c r="F67" s="6"/>
      <c r="G67" s="6"/>
      <c r="H67" s="6">
        <v>-70</v>
      </c>
      <c r="I67" s="6">
        <f>-847-H67</f>
        <v>-777</v>
      </c>
      <c r="J67" s="6">
        <f>890-I67-H67</f>
        <v>1737</v>
      </c>
      <c r="K67" s="6">
        <f>-1326-J67-I67-H67</f>
        <v>-2216</v>
      </c>
      <c r="L67" s="6">
        <v>-126</v>
      </c>
      <c r="M67" s="6">
        <f>-103-L67</f>
        <v>23</v>
      </c>
      <c r="N67" s="6"/>
      <c r="O67" s="6"/>
    </row>
    <row r="68" spans="2:15" s="2" customFormat="1" x14ac:dyDescent="0.2">
      <c r="B68" s="2" t="s">
        <v>19</v>
      </c>
      <c r="C68" s="6"/>
      <c r="D68" s="6"/>
      <c r="E68" s="6"/>
      <c r="F68" s="6"/>
      <c r="G68" s="6"/>
      <c r="H68" s="6">
        <v>-84</v>
      </c>
      <c r="I68" s="6">
        <f>-210-H68</f>
        <v>-126</v>
      </c>
      <c r="J68" s="6">
        <f>-468-I68-H68</f>
        <v>-258</v>
      </c>
      <c r="K68" s="6">
        <f>-513-J68-I68-H68</f>
        <v>-45</v>
      </c>
      <c r="L68" s="6">
        <v>-120</v>
      </c>
      <c r="M68" s="6">
        <f>-103-L68</f>
        <v>17</v>
      </c>
      <c r="N68" s="6"/>
      <c r="O68" s="6"/>
    </row>
    <row r="69" spans="2:15" s="2" customFormat="1" x14ac:dyDescent="0.2">
      <c r="B69" s="2" t="s">
        <v>53</v>
      </c>
      <c r="C69" s="6"/>
      <c r="D69" s="6"/>
      <c r="E69" s="6"/>
      <c r="F69" s="6"/>
      <c r="G69" s="6"/>
      <c r="H69" s="6">
        <f t="shared" ref="H69:K69" si="23">SUM(H61:H68)</f>
        <v>-3695</v>
      </c>
      <c r="I69" s="6">
        <f t="shared" si="23"/>
        <v>-5079</v>
      </c>
      <c r="J69" s="6">
        <f t="shared" si="23"/>
        <v>1295</v>
      </c>
      <c r="K69" s="6">
        <f t="shared" si="23"/>
        <v>-8643</v>
      </c>
      <c r="L69" s="6">
        <f>SUM(L61:L68)</f>
        <v>-5432</v>
      </c>
      <c r="M69" s="6">
        <f>SUM(M61:M68)</f>
        <v>-5782</v>
      </c>
      <c r="N69" s="6"/>
      <c r="O69" s="6"/>
    </row>
    <row r="70" spans="2:15" x14ac:dyDescent="0.2">
      <c r="B70" t="s">
        <v>52</v>
      </c>
      <c r="H70" s="3">
        <v>-14</v>
      </c>
      <c r="I70" s="3">
        <f>-110-H70</f>
        <v>-96</v>
      </c>
      <c r="J70" s="3">
        <f>-324-I70-H70</f>
        <v>-214</v>
      </c>
      <c r="K70" s="3">
        <f>-1022-J70-I70-H70</f>
        <v>-698</v>
      </c>
      <c r="L70" s="3">
        <v>250</v>
      </c>
      <c r="M70" s="3">
        <f>-330-L70</f>
        <v>-580</v>
      </c>
    </row>
    <row r="71" spans="2:15" x14ac:dyDescent="0.2">
      <c r="B71" s="2" t="s">
        <v>62</v>
      </c>
      <c r="H71" s="6">
        <f t="shared" ref="H71:M71" si="24">+H70+H69+H59+H54</f>
        <v>-1376</v>
      </c>
      <c r="I71" s="6">
        <f t="shared" si="24"/>
        <v>-2008</v>
      </c>
      <c r="J71" s="6">
        <f t="shared" si="24"/>
        <v>3019</v>
      </c>
      <c r="K71" s="6">
        <f t="shared" si="24"/>
        <v>-65</v>
      </c>
      <c r="L71" s="6">
        <f t="shared" si="24"/>
        <v>-1108</v>
      </c>
      <c r="M71" s="6">
        <f t="shared" si="24"/>
        <v>79</v>
      </c>
    </row>
    <row r="73" spans="2:15" x14ac:dyDescent="0.2">
      <c r="B73" s="2" t="s">
        <v>63</v>
      </c>
      <c r="K73" s="6">
        <f>SUM(H54:K54)</f>
        <v>27389</v>
      </c>
      <c r="L73" s="6">
        <f>SUM(I54:L54)</f>
        <v>29136</v>
      </c>
      <c r="M73" s="6">
        <f>SUM(J54:M54)</f>
        <v>32218</v>
      </c>
    </row>
    <row r="74" spans="2:15" x14ac:dyDescent="0.2">
      <c r="B74" t="s">
        <v>64</v>
      </c>
      <c r="K74" s="6">
        <f>SUM(H54:K54)+SUM(H56:K56)</f>
        <v>15912</v>
      </c>
      <c r="L74" s="6">
        <f t="shared" ref="L74:M74" si="25">SUM(I54:L54)+SUM(I56:L56)</f>
        <v>17653</v>
      </c>
      <c r="M74" s="6">
        <f t="shared" si="25"/>
        <v>21166</v>
      </c>
    </row>
    <row r="76" spans="2:15" x14ac:dyDescent="0.2">
      <c r="B76" t="s">
        <v>65</v>
      </c>
      <c r="K76" s="14">
        <f>K74/K32</f>
        <v>7.9727028123919616E-2</v>
      </c>
      <c r="L76" s="14">
        <f t="shared" ref="L76:M76" si="26">L74/L32</f>
        <v>8.8840240557610528E-2</v>
      </c>
      <c r="M76" s="14">
        <f t="shared" si="26"/>
        <v>0.10696057325935135</v>
      </c>
    </row>
    <row r="77" spans="2:15" x14ac:dyDescent="0.2">
      <c r="B77" t="s">
        <v>66</v>
      </c>
      <c r="K77" s="14">
        <f>K74/(K32-K30)</f>
        <v>8.7005019520356941E-2</v>
      </c>
      <c r="L77" s="14">
        <f t="shared" ref="L77:M77" si="27">L74/(L32-L30)</f>
        <v>9.701902678699012E-2</v>
      </c>
      <c r="M77" s="14">
        <f t="shared" si="27"/>
        <v>0.11658688934545876</v>
      </c>
    </row>
    <row r="78" spans="2:15" x14ac:dyDescent="0.2">
      <c r="B78" t="s">
        <v>67</v>
      </c>
      <c r="K78" s="14">
        <f>K74/K41</f>
        <v>0.19030988745499994</v>
      </c>
      <c r="L78" s="14">
        <f t="shared" ref="L78:M78" si="28">L74/L41</f>
        <v>0.22702487203888988</v>
      </c>
      <c r="M78" s="14">
        <f t="shared" si="28"/>
        <v>0.26743657131304965</v>
      </c>
    </row>
    <row r="79" spans="2:15" x14ac:dyDescent="0.2">
      <c r="B79" t="s">
        <v>68</v>
      </c>
      <c r="K79" s="14">
        <f>K74/(K41-K30)</f>
        <v>0.23779066292067666</v>
      </c>
      <c r="L79" s="14">
        <f t="shared" ref="L79:M79" si="29">L74/(L41-L30)</f>
        <v>0.28936023734981231</v>
      </c>
      <c r="M79" s="14">
        <f t="shared" si="29"/>
        <v>0.33701138444391371</v>
      </c>
    </row>
    <row r="80" spans="2:15" x14ac:dyDescent="0.2">
      <c r="B80" t="s">
        <v>69</v>
      </c>
      <c r="K80" s="14">
        <f>(K74)/(K32+K35+K37)</f>
        <v>6.1752207237799554E-2</v>
      </c>
      <c r="L80" s="14">
        <f t="shared" ref="L80:M80" si="30">(L74)/(L32+L35+L37)</f>
        <v>6.8874435735270592E-2</v>
      </c>
      <c r="M80" s="14">
        <f t="shared" si="30"/>
        <v>8.2217535027715297E-2</v>
      </c>
    </row>
    <row r="81" spans="2:15" s="15" customFormat="1" x14ac:dyDescent="0.2">
      <c r="B81" s="15" t="s">
        <v>70</v>
      </c>
      <c r="C81" s="16"/>
      <c r="D81" s="16"/>
      <c r="E81" s="16"/>
      <c r="F81" s="16"/>
      <c r="G81" s="16"/>
      <c r="H81" s="16"/>
      <c r="I81" s="16"/>
      <c r="J81" s="16"/>
      <c r="K81" s="17">
        <f>K74/(K26+K28)</f>
        <v>0.10289705121572686</v>
      </c>
      <c r="L81" s="17">
        <f t="shared" ref="L81:M81" si="31">L74/(L26+L28)</f>
        <v>0.11440699935191186</v>
      </c>
      <c r="M81" s="17">
        <f t="shared" si="31"/>
        <v>0.13895745798319328</v>
      </c>
      <c r="N81" s="16"/>
      <c r="O81" s="16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2016-03-21T21:57:47Z</dcterms:created>
  <dcterms:modified xsi:type="dcterms:W3CDTF">2016-10-16T19:45:12Z</dcterms:modified>
</cp:coreProperties>
</file>