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2185" windowHeight="12405"/>
  </bookViews>
  <sheets>
    <sheet name="Main" sheetId="2" r:id="rId1"/>
    <sheet name="Model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2" l="1"/>
  <c r="L22" i="2"/>
  <c r="L21" i="2"/>
  <c r="L20" i="2"/>
  <c r="L17" i="2"/>
  <c r="L13" i="2"/>
  <c r="L12" i="2"/>
  <c r="L11" i="2"/>
  <c r="L14" i="2"/>
  <c r="L15" i="2"/>
  <c r="L16" i="2"/>
  <c r="K21" i="2"/>
  <c r="K20" i="2"/>
  <c r="K22" i="2" s="1"/>
  <c r="K23" i="2" s="1"/>
  <c r="K24" i="2" s="1"/>
  <c r="Y41" i="1"/>
  <c r="X41" i="1"/>
  <c r="W41" i="1"/>
  <c r="K17" i="2"/>
  <c r="F13" i="2" l="1"/>
  <c r="G13" i="2" s="1"/>
  <c r="L5" i="2" s="1"/>
  <c r="V22" i="1" l="1"/>
  <c r="V23" i="1" s="1"/>
  <c r="V25" i="1" s="1"/>
  <c r="V27" i="1" s="1"/>
  <c r="V28" i="1" s="1"/>
  <c r="V17" i="1"/>
  <c r="V18" i="1" s="1"/>
  <c r="V37" i="1" s="1"/>
  <c r="C6" i="2" l="1"/>
  <c r="W31" i="1"/>
  <c r="V31" i="1"/>
  <c r="X21" i="1" l="1"/>
  <c r="X20" i="1"/>
  <c r="X19" i="1"/>
  <c r="Y21" i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Y20" i="1"/>
  <c r="Z20" i="1" s="1"/>
  <c r="AA20" i="1" s="1"/>
  <c r="AB20" i="1" s="1"/>
  <c r="Y19" i="1"/>
  <c r="Z19" i="1" s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29" i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Y24" i="1"/>
  <c r="R6" i="1"/>
  <c r="R32" i="1" s="1"/>
  <c r="Q6" i="1"/>
  <c r="Q32" i="1" s="1"/>
  <c r="P6" i="1"/>
  <c r="P32" i="1" s="1"/>
  <c r="O6" i="1"/>
  <c r="Z8" i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O33" i="1"/>
  <c r="O32" i="1"/>
  <c r="R7" i="1"/>
  <c r="R33" i="1" s="1"/>
  <c r="Q7" i="1"/>
  <c r="Q33" i="1" s="1"/>
  <c r="P7" i="1"/>
  <c r="P33" i="1" s="1"/>
  <c r="O7" i="1"/>
  <c r="L33" i="1"/>
  <c r="K33" i="1"/>
  <c r="L32" i="1"/>
  <c r="K32" i="1"/>
  <c r="R8" i="1"/>
  <c r="Q8" i="1"/>
  <c r="P8" i="1"/>
  <c r="P14" i="1" s="1"/>
  <c r="O8" i="1"/>
  <c r="O14" i="1" s="1"/>
  <c r="Y8" i="1"/>
  <c r="Y7" i="1"/>
  <c r="Y33" i="1" s="1"/>
  <c r="Y6" i="1"/>
  <c r="Y32" i="1" s="1"/>
  <c r="X8" i="1"/>
  <c r="X7" i="1"/>
  <c r="X6" i="1"/>
  <c r="G14" i="1"/>
  <c r="K14" i="1"/>
  <c r="H14" i="1"/>
  <c r="I14" i="1"/>
  <c r="L14" i="1"/>
  <c r="M14" i="1"/>
  <c r="M88" i="1"/>
  <c r="M71" i="1"/>
  <c r="M86" i="1"/>
  <c r="M44" i="1"/>
  <c r="M26" i="1"/>
  <c r="M57" i="1"/>
  <c r="M63" i="1" s="1"/>
  <c r="M52" i="1"/>
  <c r="M48" i="1"/>
  <c r="M53" i="1"/>
  <c r="M33" i="1"/>
  <c r="M32" i="1"/>
  <c r="O21" i="1"/>
  <c r="O20" i="1"/>
  <c r="O19" i="1"/>
  <c r="N88" i="1"/>
  <c r="N71" i="1"/>
  <c r="N86" i="1" s="1"/>
  <c r="N26" i="1"/>
  <c r="N22" i="1"/>
  <c r="N57" i="1"/>
  <c r="N63" i="1" s="1"/>
  <c r="N48" i="1"/>
  <c r="N53" i="1" s="1"/>
  <c r="N52" i="1"/>
  <c r="J10" i="1"/>
  <c r="J11" i="1"/>
  <c r="N35" i="1"/>
  <c r="N34" i="1"/>
  <c r="N33" i="1"/>
  <c r="J14" i="1"/>
  <c r="N14" i="1"/>
  <c r="N32" i="1"/>
  <c r="J44" i="1"/>
  <c r="N44" i="1"/>
  <c r="R22" i="1"/>
  <c r="R23" i="1" s="1"/>
  <c r="R25" i="1" s="1"/>
  <c r="R27" i="1" s="1"/>
  <c r="Q22" i="1"/>
  <c r="Q23" i="1" s="1"/>
  <c r="Q25" i="1" s="1"/>
  <c r="Q27" i="1" s="1"/>
  <c r="P22" i="1"/>
  <c r="P23" i="1" s="1"/>
  <c r="P25" i="1" s="1"/>
  <c r="P27" i="1" s="1"/>
  <c r="O22" i="1"/>
  <c r="O29" i="1"/>
  <c r="P29" i="1" s="1"/>
  <c r="Q29" i="1" s="1"/>
  <c r="R29" i="1" s="1"/>
  <c r="O15" i="1" l="1"/>
  <c r="O18" i="1"/>
  <c r="Z22" i="1"/>
  <c r="AA19" i="1"/>
  <c r="Q14" i="1"/>
  <c r="Q37" i="1" s="1"/>
  <c r="R14" i="1"/>
  <c r="Z7" i="1"/>
  <c r="AA7" i="1" s="1"/>
  <c r="AA33" i="1" s="1"/>
  <c r="P37" i="1"/>
  <c r="AB7" i="1"/>
  <c r="R37" i="1"/>
  <c r="Z6" i="1"/>
  <c r="AA6" i="1" s="1"/>
  <c r="AC20" i="1"/>
  <c r="M47" i="1"/>
  <c r="N47" i="1"/>
  <c r="O17" i="1"/>
  <c r="O16" i="1" s="1"/>
  <c r="O31" i="1"/>
  <c r="O23" i="1"/>
  <c r="O25" i="1" s="1"/>
  <c r="O27" i="1" s="1"/>
  <c r="O28" i="1" s="1"/>
  <c r="P31" i="1"/>
  <c r="R28" i="1"/>
  <c r="Q28" i="1"/>
  <c r="P28" i="1"/>
  <c r="Q31" i="1"/>
  <c r="O37" i="1"/>
  <c r="R31" i="1"/>
  <c r="G26" i="1"/>
  <c r="G22" i="1"/>
  <c r="G17" i="1"/>
  <c r="G18" i="1" s="1"/>
  <c r="G37" i="1" s="1"/>
  <c r="K31" i="1"/>
  <c r="K26" i="1"/>
  <c r="K22" i="1"/>
  <c r="K17" i="1"/>
  <c r="K18" i="1" s="1"/>
  <c r="K37" i="1" s="1"/>
  <c r="H26" i="1"/>
  <c r="H22" i="1"/>
  <c r="H17" i="1"/>
  <c r="H18" i="1" s="1"/>
  <c r="H37" i="1" s="1"/>
  <c r="L26" i="1"/>
  <c r="L31" i="1"/>
  <c r="L22" i="1"/>
  <c r="L17" i="1"/>
  <c r="L18" i="1" s="1"/>
  <c r="M41" i="1"/>
  <c r="I26" i="1"/>
  <c r="I22" i="1"/>
  <c r="I17" i="1"/>
  <c r="I18" i="1" s="1"/>
  <c r="I37" i="1" s="1"/>
  <c r="M31" i="1"/>
  <c r="M22" i="1"/>
  <c r="M17" i="1"/>
  <c r="M18" i="1" s="1"/>
  <c r="M37" i="1" s="1"/>
  <c r="Y31" i="1"/>
  <c r="X31" i="1"/>
  <c r="N31" i="1"/>
  <c r="J26" i="1"/>
  <c r="J22" i="1"/>
  <c r="J17" i="1"/>
  <c r="J18" i="1" s="1"/>
  <c r="J37" i="1" s="1"/>
  <c r="N41" i="1"/>
  <c r="N17" i="1"/>
  <c r="N18" i="1" s="1"/>
  <c r="Z14" i="1" l="1"/>
  <c r="Z18" i="1" s="1"/>
  <c r="Y26" i="1"/>
  <c r="AA22" i="1"/>
  <c r="AB19" i="1"/>
  <c r="Z32" i="1"/>
  <c r="AC7" i="1"/>
  <c r="AB33" i="1"/>
  <c r="AB6" i="1"/>
  <c r="AA32" i="1"/>
  <c r="AA14" i="1"/>
  <c r="AD20" i="1"/>
  <c r="Z31" i="1"/>
  <c r="Z33" i="1"/>
  <c r="N37" i="1"/>
  <c r="N23" i="1"/>
  <c r="N25" i="1" s="1"/>
  <c r="N27" i="1" s="1"/>
  <c r="M23" i="1"/>
  <c r="M25" i="1" s="1"/>
  <c r="M27" i="1" s="1"/>
  <c r="G23" i="1"/>
  <c r="G25" i="1" s="1"/>
  <c r="G27" i="1" s="1"/>
  <c r="G28" i="1" s="1"/>
  <c r="K23" i="1"/>
  <c r="K25" i="1" s="1"/>
  <c r="K27" i="1" s="1"/>
  <c r="K28" i="1" s="1"/>
  <c r="H23" i="1"/>
  <c r="H25" i="1" s="1"/>
  <c r="H27" i="1" s="1"/>
  <c r="H28" i="1" s="1"/>
  <c r="L37" i="1"/>
  <c r="L23" i="1"/>
  <c r="L25" i="1" s="1"/>
  <c r="L27" i="1" s="1"/>
  <c r="L28" i="1" s="1"/>
  <c r="I23" i="1"/>
  <c r="I25" i="1" s="1"/>
  <c r="I27" i="1" s="1"/>
  <c r="I28" i="1" s="1"/>
  <c r="J23" i="1"/>
  <c r="J25" i="1" s="1"/>
  <c r="J27" i="1" s="1"/>
  <c r="J28" i="1" s="1"/>
  <c r="Y22" i="1"/>
  <c r="Y17" i="1"/>
  <c r="Y18" i="1" s="1"/>
  <c r="Y37" i="1" s="1"/>
  <c r="X22" i="1"/>
  <c r="X17" i="1"/>
  <c r="X18" i="1" s="1"/>
  <c r="X37" i="1" s="1"/>
  <c r="W22" i="1"/>
  <c r="W17" i="1"/>
  <c r="W18" i="1" s="1"/>
  <c r="W37" i="1" s="1"/>
  <c r="X2" i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L6" i="2"/>
  <c r="L4" i="2"/>
  <c r="AB22" i="1" l="1"/>
  <c r="AC19" i="1"/>
  <c r="Y23" i="1"/>
  <c r="Z37" i="1"/>
  <c r="Z23" i="1"/>
  <c r="Z25" i="1" s="1"/>
  <c r="Z27" i="1" s="1"/>
  <c r="Z28" i="1" s="1"/>
  <c r="AB32" i="1"/>
  <c r="AB14" i="1"/>
  <c r="AC6" i="1"/>
  <c r="AA31" i="1"/>
  <c r="AA18" i="1"/>
  <c r="AD7" i="1"/>
  <c r="AC33" i="1"/>
  <c r="AE20" i="1"/>
  <c r="M28" i="1"/>
  <c r="M65" i="1"/>
  <c r="N28" i="1"/>
  <c r="N65" i="1"/>
  <c r="W23" i="1"/>
  <c r="W25" i="1" s="1"/>
  <c r="W27" i="1" s="1"/>
  <c r="W28" i="1" s="1"/>
  <c r="Y25" i="1"/>
  <c r="Y27" i="1" s="1"/>
  <c r="Y28" i="1" s="1"/>
  <c r="X23" i="1"/>
  <c r="X25" i="1" s="1"/>
  <c r="X27" i="1" s="1"/>
  <c r="X28" i="1" s="1"/>
  <c r="L7" i="2"/>
  <c r="AD19" i="1" l="1"/>
  <c r="AC22" i="1"/>
  <c r="AA37" i="1"/>
  <c r="AA23" i="1"/>
  <c r="AA25" i="1" s="1"/>
  <c r="AE7" i="1"/>
  <c r="AD33" i="1"/>
  <c r="AC32" i="1"/>
  <c r="AC14" i="1"/>
  <c r="AD6" i="1"/>
  <c r="AB18" i="1"/>
  <c r="AB31" i="1"/>
  <c r="AF20" i="1"/>
  <c r="AA26" i="1" l="1"/>
  <c r="AA27" i="1" s="1"/>
  <c r="AA28" i="1" s="1"/>
  <c r="AE19" i="1"/>
  <c r="AD22" i="1"/>
  <c r="AB37" i="1"/>
  <c r="AB23" i="1"/>
  <c r="AB25" i="1" s="1"/>
  <c r="AE6" i="1"/>
  <c r="AD14" i="1"/>
  <c r="AD32" i="1"/>
  <c r="AC18" i="1"/>
  <c r="AC23" i="1" s="1"/>
  <c r="AC25" i="1" s="1"/>
  <c r="AC31" i="1"/>
  <c r="AF7" i="1"/>
  <c r="AE33" i="1"/>
  <c r="AG20" i="1"/>
  <c r="AC26" i="1" l="1"/>
  <c r="AC27" i="1" s="1"/>
  <c r="AC28" i="1" s="1"/>
  <c r="AB26" i="1"/>
  <c r="AB27" i="1" s="1"/>
  <c r="AB28" i="1" s="1"/>
  <c r="AF19" i="1"/>
  <c r="AE22" i="1"/>
  <c r="AG7" i="1"/>
  <c r="AF33" i="1"/>
  <c r="AD18" i="1"/>
  <c r="AD23" i="1" s="1"/>
  <c r="AD25" i="1" s="1"/>
  <c r="AD31" i="1"/>
  <c r="AF6" i="1"/>
  <c r="AE14" i="1"/>
  <c r="AE32" i="1"/>
  <c r="AH20" i="1"/>
  <c r="AD26" i="1" l="1"/>
  <c r="AD27" i="1" s="1"/>
  <c r="AD28" i="1" s="1"/>
  <c r="AG19" i="1"/>
  <c r="AF22" i="1"/>
  <c r="AG6" i="1"/>
  <c r="AF32" i="1"/>
  <c r="AF14" i="1"/>
  <c r="AE18" i="1"/>
  <c r="AE23" i="1" s="1"/>
  <c r="AE25" i="1" s="1"/>
  <c r="AE31" i="1"/>
  <c r="AG33" i="1"/>
  <c r="AH7" i="1"/>
  <c r="AI20" i="1"/>
  <c r="AE26" i="1" l="1"/>
  <c r="AE27" i="1" s="1"/>
  <c r="AE28" i="1" s="1"/>
  <c r="AH19" i="1"/>
  <c r="AG22" i="1"/>
  <c r="AI7" i="1"/>
  <c r="AH33" i="1"/>
  <c r="AF18" i="1"/>
  <c r="AF23" i="1" s="1"/>
  <c r="AF25" i="1" s="1"/>
  <c r="AF31" i="1"/>
  <c r="AH6" i="1"/>
  <c r="AG14" i="1"/>
  <c r="AG32" i="1"/>
  <c r="AJ20" i="1"/>
  <c r="AF26" i="1" l="1"/>
  <c r="AF27" i="1" s="1"/>
  <c r="AF28" i="1" s="1"/>
  <c r="AI19" i="1"/>
  <c r="AH22" i="1"/>
  <c r="AG18" i="1"/>
  <c r="AG23" i="1" s="1"/>
  <c r="AG25" i="1" s="1"/>
  <c r="AG31" i="1"/>
  <c r="AI6" i="1"/>
  <c r="AH32" i="1"/>
  <c r="AH14" i="1"/>
  <c r="AJ7" i="1"/>
  <c r="AI33" i="1"/>
  <c r="AK20" i="1"/>
  <c r="AG26" i="1" l="1"/>
  <c r="AG27" i="1" s="1"/>
  <c r="AG28" i="1" s="1"/>
  <c r="AJ19" i="1"/>
  <c r="AI22" i="1"/>
  <c r="AK7" i="1"/>
  <c r="AJ33" i="1"/>
  <c r="AH31" i="1"/>
  <c r="AH18" i="1"/>
  <c r="AH23" i="1" s="1"/>
  <c r="AH25" i="1" s="1"/>
  <c r="AJ6" i="1"/>
  <c r="AI32" i="1"/>
  <c r="AI14" i="1"/>
  <c r="AL20" i="1"/>
  <c r="AH26" i="1" l="1"/>
  <c r="AH27" i="1" s="1"/>
  <c r="AH28" i="1" s="1"/>
  <c r="AK19" i="1"/>
  <c r="AJ22" i="1"/>
  <c r="AI31" i="1"/>
  <c r="AI18" i="1"/>
  <c r="AI23" i="1" s="1"/>
  <c r="AI25" i="1" s="1"/>
  <c r="AK6" i="1"/>
  <c r="AJ14" i="1"/>
  <c r="AJ32" i="1"/>
  <c r="AL7" i="1"/>
  <c r="AK33" i="1"/>
  <c r="AM20" i="1"/>
  <c r="AI26" i="1" l="1"/>
  <c r="AI27" i="1" s="1"/>
  <c r="AI28" i="1" s="1"/>
  <c r="AL19" i="1"/>
  <c r="AK22" i="1"/>
  <c r="AJ31" i="1"/>
  <c r="AJ18" i="1"/>
  <c r="AJ23" i="1" s="1"/>
  <c r="AJ25" i="1" s="1"/>
  <c r="AM7" i="1"/>
  <c r="AL33" i="1"/>
  <c r="AL6" i="1"/>
  <c r="AK32" i="1"/>
  <c r="AK14" i="1"/>
  <c r="AN20" i="1"/>
  <c r="AJ26" i="1" l="1"/>
  <c r="AJ27" i="1" s="1"/>
  <c r="AJ28" i="1" s="1"/>
  <c r="AM19" i="1"/>
  <c r="AL22" i="1"/>
  <c r="AK31" i="1"/>
  <c r="AK18" i="1"/>
  <c r="AK23" i="1" s="1"/>
  <c r="AK25" i="1" s="1"/>
  <c r="AM6" i="1"/>
  <c r="AL14" i="1"/>
  <c r="AL32" i="1"/>
  <c r="AN7" i="1"/>
  <c r="AN33" i="1" s="1"/>
  <c r="AM33" i="1"/>
  <c r="AK27" i="1" l="1"/>
  <c r="AK28" i="1" s="1"/>
  <c r="AK26" i="1"/>
  <c r="AN19" i="1"/>
  <c r="AN22" i="1" s="1"/>
  <c r="AM22" i="1"/>
  <c r="AL18" i="1"/>
  <c r="AL23" i="1" s="1"/>
  <c r="AL25" i="1" s="1"/>
  <c r="AL31" i="1"/>
  <c r="AN6" i="1"/>
  <c r="AM32" i="1"/>
  <c r="AM14" i="1"/>
  <c r="AL26" i="1" l="1"/>
  <c r="AL27" i="1" s="1"/>
  <c r="AL28" i="1" s="1"/>
  <c r="AM18" i="1"/>
  <c r="AM23" i="1" s="1"/>
  <c r="AM25" i="1" s="1"/>
  <c r="AM31" i="1"/>
  <c r="AN14" i="1"/>
  <c r="AN32" i="1"/>
  <c r="AM26" i="1" l="1"/>
  <c r="AM27" i="1" s="1"/>
  <c r="AM28" i="1" s="1"/>
  <c r="AN18" i="1"/>
  <c r="AN23" i="1" s="1"/>
  <c r="AN25" i="1" s="1"/>
  <c r="AN31" i="1"/>
  <c r="AN26" i="1" l="1"/>
  <c r="AN27" i="1" s="1"/>
  <c r="AN28" i="1" l="1"/>
  <c r="AO27" i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AQ33" i="1" s="1"/>
</calcChain>
</file>

<file path=xl/comments1.xml><?xml version="1.0" encoding="utf-8"?>
<comments xmlns="http://schemas.openxmlformats.org/spreadsheetml/2006/main">
  <authors>
    <author>Martin Shkreli</author>
  </authors>
  <commentList>
    <comment ref="Y6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Tumblr &lt;100m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At least 1.8bn Q415 call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467.321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521.869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1050-1090 Q415 call</t>
        </r>
      </text>
    </comment>
    <comment ref="Z14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4.4-4.6bn
2016 is a transition year with revenue and earnings expected to decline - Mayer on Q415 call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700-800m EBITDA for 2016 - Q415 call</t>
        </r>
      </text>
    </comment>
    <comment ref="N4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excludes SBC</t>
        </r>
      </text>
    </comment>
  </commentList>
</comments>
</file>

<file path=xl/sharedStrings.xml><?xml version="1.0" encoding="utf-8"?>
<sst xmlns="http://schemas.openxmlformats.org/spreadsheetml/2006/main" count="140" uniqueCount="122">
  <si>
    <t>Revenue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</si>
  <si>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</si>
  <si>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</si>
  <si>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</si>
  <si>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</si>
  <si>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</si>
  <si>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</si>
  <si>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</si>
  <si>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</si>
  <si>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</si>
  <si>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</si>
  <si>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</si>
  <si>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</si>
  <si>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Price</t>
  </si>
  <si>
    <t>Shares</t>
  </si>
  <si>
    <t>MC</t>
  </si>
  <si>
    <t>Cash</t>
  </si>
  <si>
    <t>Debt</t>
  </si>
  <si>
    <t>EV</t>
  </si>
  <si>
    <t>Operating Income</t>
  </si>
  <si>
    <t>Operating Expenses</t>
  </si>
  <si>
    <t>TAC</t>
  </si>
  <si>
    <t>COGS</t>
  </si>
  <si>
    <t>Total COGS</t>
  </si>
  <si>
    <t>Gross Profit</t>
  </si>
  <si>
    <t>S&amp;M</t>
  </si>
  <si>
    <t>R&amp;D</t>
  </si>
  <si>
    <t>G&amp;A</t>
  </si>
  <si>
    <t>CFFO</t>
  </si>
  <si>
    <t>CapEx</t>
  </si>
  <si>
    <t>Other Expense</t>
  </si>
  <si>
    <t>Pretax Income</t>
  </si>
  <si>
    <t>Taxes+MI</t>
  </si>
  <si>
    <t>Net Income</t>
  </si>
  <si>
    <t>FCF</t>
  </si>
  <si>
    <t>EPS</t>
  </si>
  <si>
    <t>Revenue Growth</t>
  </si>
  <si>
    <t>Gross Margin</t>
  </si>
  <si>
    <t>Mavens</t>
  </si>
  <si>
    <t>10400 headcount at YE15, planning on 9000 by YE16.</t>
  </si>
  <si>
    <t>News, Sports, Finance and Lifestyle - 4 major verticals</t>
  </si>
  <si>
    <t>Tumblr</t>
  </si>
  <si>
    <t>Mozilla, Brightroll</t>
  </si>
  <si>
    <t>Gemini?</t>
  </si>
  <si>
    <t>Adjusted EBITDA</t>
  </si>
  <si>
    <t>Adjusted FCF</t>
  </si>
  <si>
    <t>Flickr</t>
  </si>
  <si>
    <t>Xobni</t>
  </si>
  <si>
    <t>Finance</t>
  </si>
  <si>
    <t>Sports</t>
  </si>
  <si>
    <t>Mavens Growth</t>
  </si>
  <si>
    <t>Non-Mavens</t>
  </si>
  <si>
    <t>Non-Traffic</t>
  </si>
  <si>
    <t>Mobile</t>
  </si>
  <si>
    <t>PC</t>
  </si>
  <si>
    <t>Mobile Growth</t>
  </si>
  <si>
    <t>PC Growth</t>
  </si>
  <si>
    <t>Search</t>
  </si>
  <si>
    <t>Display</t>
  </si>
  <si>
    <t>Cash+Investments</t>
  </si>
  <si>
    <t>A/R</t>
  </si>
  <si>
    <t>Prepaids</t>
  </si>
  <si>
    <t>PP&amp;E</t>
  </si>
  <si>
    <t>Goodwill</t>
  </si>
  <si>
    <t>Assets</t>
  </si>
  <si>
    <t>L+S/E</t>
  </si>
  <si>
    <t>S/E</t>
  </si>
  <si>
    <t>DT</t>
  </si>
  <si>
    <t>Alibaba Tax</t>
  </si>
  <si>
    <t>OLTL</t>
  </si>
  <si>
    <t>D/R</t>
  </si>
  <si>
    <t>A/E</t>
  </si>
  <si>
    <t>A/P</t>
  </si>
  <si>
    <t>Net Cash</t>
  </si>
  <si>
    <t>Model NI</t>
  </si>
  <si>
    <t>Reported NI</t>
  </si>
  <si>
    <t>SBC</t>
  </si>
  <si>
    <t>D</t>
  </si>
  <si>
    <t>A</t>
  </si>
  <si>
    <t>Convertible Accretion</t>
  </si>
  <si>
    <t>Impairments</t>
  </si>
  <si>
    <t>D/T</t>
  </si>
  <si>
    <t>SBC Tax</t>
  </si>
  <si>
    <t>SBC Tax Excess</t>
  </si>
  <si>
    <t>Equity Interests</t>
  </si>
  <si>
    <t>Hortonworks</t>
  </si>
  <si>
    <t>Sale of Assets</t>
  </si>
  <si>
    <t>FX</t>
  </si>
  <si>
    <t>Marketable Securities Accretion</t>
  </si>
  <si>
    <t>Acquisitions</t>
  </si>
  <si>
    <t>Other</t>
  </si>
  <si>
    <t>Dividends</t>
  </si>
  <si>
    <t>Q113</t>
  </si>
  <si>
    <t>Q213</t>
  </si>
  <si>
    <t>Q313</t>
  </si>
  <si>
    <t>Q413</t>
  </si>
  <si>
    <t>Mavens (Mobile, Video, Native, Social)</t>
  </si>
  <si>
    <t>Name</t>
  </si>
  <si>
    <t>Mail</t>
  </si>
  <si>
    <t>BABA holding (15%)</t>
  </si>
  <si>
    <t>Messenger?</t>
  </si>
  <si>
    <t>Polyvore</t>
  </si>
  <si>
    <t>9/2/2015: Acquired Polyvore.</t>
  </si>
  <si>
    <t>Q415: Closed Yahoo Screen.</t>
  </si>
  <si>
    <t>2016: Exiting Yahoo Games and Smart TV.</t>
  </si>
  <si>
    <t>The Final Round</t>
  </si>
  <si>
    <t>The Vertical</t>
  </si>
  <si>
    <t>Yahoo Japan</t>
  </si>
  <si>
    <t>Carrying</t>
  </si>
  <si>
    <t>Maturity</t>
  </si>
  <si>
    <t>Discount</t>
  </si>
  <si>
    <t>NPV</t>
  </si>
  <si>
    <t>Sellable Assets</t>
  </si>
  <si>
    <t>ST MS</t>
  </si>
  <si>
    <t>LT MS</t>
  </si>
  <si>
    <t>Sum</t>
  </si>
  <si>
    <t>Alibaba</t>
  </si>
  <si>
    <t>Yahoo! Japan</t>
  </si>
  <si>
    <t>Yahoo Business</t>
  </si>
  <si>
    <t>Total Value</t>
  </si>
  <si>
    <t>NET VALUE</t>
  </si>
  <si>
    <t>BEST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</si>
</sst>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0" fontId="4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/>
    <xf numFmtId="3" fontId="0" fillId="0" borderId="0" xfId="0" applyNumberForma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</xdr:colOff>
      <xdr:row>0</xdr:row>
      <xdr:rowOff>28575</xdr:rowOff>
    </xdr:from>
    <xdr:to>
      <xdr:col>25</xdr:col>
      <xdr:colOff>28575</xdr:colOff>
      <xdr:row>70</xdr:row>
      <xdr:rowOff>19050</xdr:rowOff>
    </xdr:to>
    <xdr:cxnSp macro="">
      <xdr:nvCxnSpPr>
        <xdr:cNvPr id="3" name="Straight Connector 2"/>
        <xdr:cNvCxnSpPr/>
      </xdr:nvCxnSpPr>
      <xdr:spPr>
        <a:xfrm>
          <a:off x="12211050" y="28575"/>
          <a:ext cx="0" cy="7439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</xdr:colOff>
      <xdr:row>0</xdr:row>
      <xdr:rowOff>0</xdr:rowOff>
    </xdr:from>
    <xdr:to>
      <xdr:col>14</xdr:col>
      <xdr:colOff>47625</xdr:colOff>
      <xdr:row>91</xdr:row>
      <xdr:rowOff>38100</xdr:rowOff>
    </xdr:to>
    <xdr:cxnSp macro="">
      <xdr:nvCxnSpPr>
        <xdr:cNvPr id="4" name="Straight Connector 3"/>
        <xdr:cNvCxnSpPr/>
      </xdr:nvCxnSpPr>
      <xdr:spPr>
        <a:xfrm>
          <a:off x="6743700" y="0"/>
          <a:ext cx="0" cy="14773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tabSelected="1" zoomScaleNormal="100" workbookViewId="0"/>
  </sheetViews>
  <sheetFormatPr defaultRowHeight="12.75" x14ac:dyDescent="0.2"/>
  <cols>
    <col min="1" max="1" width="4" customWidth="1"/>
    <col min="2" max="2" width="19.28515625" customWidth="1"/>
    <col min="10" max="10" width="14.85546875" bestFit="1" customWidth="1"/>
    <col min="11" max="12" width="10.140625" bestFit="1" customWidth="1"/>
  </cols>
  <sheetData>
    <row r="2" spans="2:16" x14ac:dyDescent="0.2">
      <c r="B2" s="21" t="s">
        <v>97</v>
      </c>
      <c r="C2" s="22"/>
      <c r="D2" s="22"/>
      <c r="E2" s="22"/>
      <c r="F2" s="22"/>
      <c r="G2" s="22"/>
      <c r="H2" s="23"/>
      <c r="K2" t="s">
        <v>13</v>
      </c>
      <c r="L2" s="2">
        <v>36</v>
      </c>
    </row>
    <row r="3" spans="2:16" x14ac:dyDescent="0.2">
      <c r="B3" s="15" t="s">
        <v>57</v>
      </c>
      <c r="C3" s="16"/>
      <c r="D3" s="16"/>
      <c r="E3" s="16"/>
      <c r="F3" s="16"/>
      <c r="G3" s="16"/>
      <c r="H3" s="17"/>
      <c r="K3" t="s">
        <v>14</v>
      </c>
      <c r="L3" s="3">
        <v>946.81154700000002</v>
      </c>
      <c r="M3" s="1" t="s">
        <v>8</v>
      </c>
    </row>
    <row r="4" spans="2:16" x14ac:dyDescent="0.2">
      <c r="B4" s="15" t="s">
        <v>98</v>
      </c>
      <c r="C4" s="16"/>
      <c r="D4" s="16"/>
      <c r="E4" s="16"/>
      <c r="F4" s="16"/>
      <c r="G4" s="16"/>
      <c r="H4" s="17"/>
      <c r="K4" t="s">
        <v>15</v>
      </c>
      <c r="L4" s="3">
        <f>+L2*L3</f>
        <v>34085.215691999998</v>
      </c>
      <c r="M4" s="1"/>
    </row>
    <row r="5" spans="2:16" x14ac:dyDescent="0.2">
      <c r="B5" s="15" t="s">
        <v>41</v>
      </c>
      <c r="C5" s="16"/>
      <c r="D5" s="16"/>
      <c r="E5" s="25">
        <v>1100</v>
      </c>
      <c r="F5" s="16"/>
      <c r="G5" s="16"/>
      <c r="H5" s="17"/>
      <c r="K5" t="s">
        <v>16</v>
      </c>
      <c r="L5" s="3">
        <f>1631.911+4225.112+31172.361+2503.229+975.961+G13</f>
        <v>46231.211000000003</v>
      </c>
      <c r="M5" s="1" t="s">
        <v>8</v>
      </c>
    </row>
    <row r="6" spans="2:16" x14ac:dyDescent="0.2">
      <c r="B6" s="15" t="s">
        <v>99</v>
      </c>
      <c r="C6" s="16">
        <f>0.15*193</f>
        <v>28.95</v>
      </c>
      <c r="D6" s="16"/>
      <c r="E6" s="16"/>
      <c r="F6" s="16"/>
      <c r="G6" s="16"/>
      <c r="H6" s="17"/>
      <c r="K6" t="s">
        <v>17</v>
      </c>
      <c r="L6" s="3">
        <f>12611.867+1233.485</f>
        <v>13845.352000000001</v>
      </c>
      <c r="M6" s="1" t="s">
        <v>8</v>
      </c>
    </row>
    <row r="7" spans="2:16" x14ac:dyDescent="0.2">
      <c r="B7" s="15" t="s">
        <v>96</v>
      </c>
      <c r="C7" s="16"/>
      <c r="D7" s="16"/>
      <c r="E7" s="16"/>
      <c r="F7" s="16"/>
      <c r="G7" s="16"/>
      <c r="H7" s="17"/>
      <c r="K7" t="s">
        <v>18</v>
      </c>
      <c r="L7" s="3">
        <f>+L4-L5+L6</f>
        <v>1699.3566919999957</v>
      </c>
    </row>
    <row r="8" spans="2:16" x14ac:dyDescent="0.2">
      <c r="B8" s="15" t="s">
        <v>40</v>
      </c>
      <c r="C8" s="16"/>
      <c r="D8" s="16"/>
      <c r="E8" s="16"/>
      <c r="F8" s="16"/>
      <c r="G8" s="16"/>
      <c r="H8" s="17"/>
      <c r="L8" s="3"/>
    </row>
    <row r="9" spans="2:16" x14ac:dyDescent="0.2">
      <c r="B9" s="15" t="s">
        <v>48</v>
      </c>
      <c r="C9" s="16" t="s">
        <v>105</v>
      </c>
      <c r="D9" s="16"/>
      <c r="E9" s="16"/>
      <c r="F9" s="16"/>
      <c r="G9" s="16"/>
      <c r="H9" s="17"/>
      <c r="O9" s="12"/>
      <c r="P9" s="12"/>
    </row>
    <row r="10" spans="2:16" x14ac:dyDescent="0.2">
      <c r="B10" s="15" t="s">
        <v>49</v>
      </c>
      <c r="C10" s="16" t="s">
        <v>106</v>
      </c>
      <c r="D10" s="16"/>
      <c r="E10" s="16"/>
      <c r="F10" s="16"/>
      <c r="G10" s="16"/>
      <c r="H10" s="17"/>
      <c r="J10" s="26" t="s">
        <v>112</v>
      </c>
    </row>
    <row r="11" spans="2:16" x14ac:dyDescent="0.2">
      <c r="B11" s="15" t="s">
        <v>100</v>
      </c>
      <c r="C11" s="16"/>
      <c r="D11" s="16"/>
      <c r="E11" s="16"/>
      <c r="F11" s="16"/>
      <c r="G11" s="16"/>
      <c r="H11" s="17"/>
      <c r="J11" t="s">
        <v>16</v>
      </c>
      <c r="K11" s="3">
        <v>1631911</v>
      </c>
      <c r="L11" s="3">
        <f t="shared" ref="L11:L13" si="0">+K11</f>
        <v>1631911</v>
      </c>
    </row>
    <row r="12" spans="2:16" x14ac:dyDescent="0.2">
      <c r="B12" s="15" t="s">
        <v>101</v>
      </c>
      <c r="C12" s="16"/>
      <c r="D12" s="16"/>
      <c r="E12" s="16"/>
      <c r="F12" s="16"/>
      <c r="G12" s="16"/>
      <c r="H12" s="17"/>
      <c r="J12" t="s">
        <v>113</v>
      </c>
      <c r="K12" s="3">
        <v>4225112</v>
      </c>
      <c r="L12" s="3">
        <f t="shared" si="0"/>
        <v>4225112</v>
      </c>
    </row>
    <row r="13" spans="2:16" x14ac:dyDescent="0.2">
      <c r="B13" s="15" t="s">
        <v>107</v>
      </c>
      <c r="C13" s="16"/>
      <c r="D13" s="16" t="s">
        <v>108</v>
      </c>
      <c r="E13" s="25">
        <v>2489.578</v>
      </c>
      <c r="F13" s="25">
        <f>23133*0.355</f>
        <v>8212.2150000000001</v>
      </c>
      <c r="G13" s="25">
        <f>+F13-E13</f>
        <v>5722.6370000000006</v>
      </c>
      <c r="H13" s="17"/>
      <c r="J13" t="s">
        <v>114</v>
      </c>
      <c r="K13" s="3">
        <v>975961</v>
      </c>
      <c r="L13" s="3">
        <f t="shared" si="0"/>
        <v>975961</v>
      </c>
    </row>
    <row r="14" spans="2:16" x14ac:dyDescent="0.2">
      <c r="B14" s="15" t="s">
        <v>47</v>
      </c>
      <c r="C14" s="16"/>
      <c r="D14" s="16"/>
      <c r="E14" s="16"/>
      <c r="F14" s="16"/>
      <c r="G14" s="16"/>
      <c r="H14" s="17"/>
      <c r="J14" t="s">
        <v>90</v>
      </c>
      <c r="K14" s="3">
        <v>342390</v>
      </c>
      <c r="L14" s="3">
        <f>+K14</f>
        <v>342390</v>
      </c>
    </row>
    <row r="15" spans="2:16" x14ac:dyDescent="0.2">
      <c r="B15" s="18" t="s">
        <v>46</v>
      </c>
      <c r="C15" s="19"/>
      <c r="D15" s="19"/>
      <c r="E15" s="19"/>
      <c r="F15" s="19"/>
      <c r="G15" s="19"/>
      <c r="H15" s="20"/>
      <c r="J15" s="12" t="s">
        <v>116</v>
      </c>
      <c r="K15" s="5">
        <v>31172361</v>
      </c>
      <c r="L15">
        <f t="shared" ref="L15" si="1">+K15*0.9</f>
        <v>28055124.900000002</v>
      </c>
    </row>
    <row r="16" spans="2:16" x14ac:dyDescent="0.2">
      <c r="J16" t="s">
        <v>117</v>
      </c>
      <c r="K16" s="5">
        <v>8212000</v>
      </c>
      <c r="L16">
        <f>+K16*0.9</f>
        <v>7390800</v>
      </c>
    </row>
    <row r="17" spans="2:12" x14ac:dyDescent="0.2">
      <c r="B17" s="14" t="s">
        <v>102</v>
      </c>
      <c r="J17" s="12" t="s">
        <v>115</v>
      </c>
      <c r="K17" s="5">
        <f>SUM(K11:K16)</f>
        <v>46559735</v>
      </c>
      <c r="L17" s="5">
        <f>SUM(L11:L16)</f>
        <v>42621298.900000006</v>
      </c>
    </row>
    <row r="18" spans="2:12" x14ac:dyDescent="0.2">
      <c r="B18" s="14" t="s">
        <v>103</v>
      </c>
      <c r="K18" s="3"/>
    </row>
    <row r="19" spans="2:12" x14ac:dyDescent="0.2">
      <c r="B19" s="24" t="s">
        <v>104</v>
      </c>
      <c r="J19" s="26" t="s">
        <v>118</v>
      </c>
      <c r="K19" s="3">
        <v>6000000</v>
      </c>
      <c r="L19" s="3">
        <v>2000000</v>
      </c>
    </row>
    <row r="20" spans="2:12" x14ac:dyDescent="0.2">
      <c r="J20" t="s">
        <v>119</v>
      </c>
      <c r="K20" s="3">
        <f>+K19+K17</f>
        <v>52559735</v>
      </c>
      <c r="L20" s="3">
        <f>+L19+L17</f>
        <v>44621298.900000006</v>
      </c>
    </row>
    <row r="21" spans="2:12" x14ac:dyDescent="0.2">
      <c r="B21" t="s">
        <v>39</v>
      </c>
      <c r="J21" t="s">
        <v>17</v>
      </c>
      <c r="K21" s="3">
        <f>13845000</f>
        <v>13845000</v>
      </c>
      <c r="L21" s="3">
        <f>13845000</f>
        <v>13845000</v>
      </c>
    </row>
    <row r="22" spans="2:12" x14ac:dyDescent="0.2">
      <c r="J22" t="s">
        <v>120</v>
      </c>
      <c r="K22" s="3">
        <f>+K20-K21</f>
        <v>38714735</v>
      </c>
      <c r="L22" s="3">
        <f>+L20-L21</f>
        <v>30776298.900000006</v>
      </c>
    </row>
    <row r="23" spans="2:12" x14ac:dyDescent="0.2">
      <c r="J23" t="s">
        <v>121</v>
      </c>
      <c r="K23" s="2">
        <f>K22/(L3*1000)</f>
        <v>40.889588981744851</v>
      </c>
      <c r="L23" s="2">
        <f>L22/(L3*1000)</f>
        <v>32.505200213828829</v>
      </c>
    </row>
    <row r="24" spans="2:12" x14ac:dyDescent="0.2">
      <c r="B24" t="s">
        <v>42</v>
      </c>
      <c r="K24" s="9">
        <f>+K23/L2-1</f>
        <v>0.13582191615957928</v>
      </c>
    </row>
    <row r="25" spans="2:12" x14ac:dyDescent="0.2">
      <c r="B25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A89"/>
  <sheetViews>
    <sheetView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AF3" sqref="AF3"/>
    </sheetView>
  </sheetViews>
  <sheetFormatPr defaultRowHeight="12.75" x14ac:dyDescent="0.2"/>
  <cols>
    <col min="2" max="2" width="27.7109375" customWidth="1"/>
    <col min="3" max="18" width="9.140625" style="1"/>
    <col min="43" max="43" width="9.7109375" bestFit="1" customWidth="1"/>
  </cols>
  <sheetData>
    <row r="2" spans="2:44" x14ac:dyDescent="0.2">
      <c r="C2" s="1" t="s">
        <v>92</v>
      </c>
      <c r="D2" s="1" t="s">
        <v>93</v>
      </c>
      <c r="E2" s="1" t="s">
        <v>94</v>
      </c>
      <c r="F2" s="1" t="s">
        <v>95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U2">
        <v>2011</v>
      </c>
      <c r="V2">
        <v>2012</v>
      </c>
      <c r="W2">
        <v>2013</v>
      </c>
      <c r="X2">
        <f>+W2+1</f>
        <v>2014</v>
      </c>
      <c r="Y2">
        <f t="shared" ref="Y2:AD2" si="0">+X2+1</f>
        <v>2015</v>
      </c>
      <c r="Z2">
        <f t="shared" si="0"/>
        <v>2016</v>
      </c>
      <c r="AA2">
        <f t="shared" si="0"/>
        <v>2017</v>
      </c>
      <c r="AB2">
        <f t="shared" si="0"/>
        <v>2018</v>
      </c>
      <c r="AC2">
        <f t="shared" si="0"/>
        <v>2019</v>
      </c>
      <c r="AD2">
        <f t="shared" si="0"/>
        <v>2020</v>
      </c>
      <c r="AE2">
        <f t="shared" ref="AE2" si="1">+AD2+1</f>
        <v>2021</v>
      </c>
      <c r="AF2">
        <f t="shared" ref="AF2" si="2">+AE2+1</f>
        <v>2022</v>
      </c>
      <c r="AG2">
        <f t="shared" ref="AG2" si="3">+AF2+1</f>
        <v>2023</v>
      </c>
      <c r="AH2">
        <f t="shared" ref="AH2" si="4">+AG2+1</f>
        <v>2024</v>
      </c>
      <c r="AI2">
        <f t="shared" ref="AI2" si="5">+AH2+1</f>
        <v>2025</v>
      </c>
      <c r="AJ2">
        <f t="shared" ref="AJ2" si="6">+AI2+1</f>
        <v>2026</v>
      </c>
      <c r="AK2">
        <f t="shared" ref="AK2" si="7">+AJ2+1</f>
        <v>2027</v>
      </c>
      <c r="AL2">
        <f t="shared" ref="AL2" si="8">+AK2+1</f>
        <v>2028</v>
      </c>
      <c r="AM2">
        <f t="shared" ref="AM2" si="9">+AL2+1</f>
        <v>2029</v>
      </c>
      <c r="AN2">
        <f t="shared" ref="AN2" si="10">+AM2+1</f>
        <v>2030</v>
      </c>
      <c r="AO2">
        <f t="shared" ref="AO2" si="11">+AN2+1</f>
        <v>2031</v>
      </c>
      <c r="AP2">
        <f t="shared" ref="AP2" si="12">+AO2+1</f>
        <v>2032</v>
      </c>
      <c r="AQ2">
        <f t="shared" ref="AQ2" si="13">+AP2+1</f>
        <v>2033</v>
      </c>
      <c r="AR2">
        <f t="shared" ref="AR2" si="14">+AQ2+1</f>
        <v>2034</v>
      </c>
    </row>
    <row r="3" spans="2:44" x14ac:dyDescent="0.2">
      <c r="B3" t="s">
        <v>53</v>
      </c>
      <c r="I3" s="1">
        <v>207</v>
      </c>
      <c r="J3" s="1">
        <v>254</v>
      </c>
      <c r="M3" s="1">
        <v>271</v>
      </c>
      <c r="N3" s="1">
        <v>291</v>
      </c>
    </row>
    <row r="4" spans="2:44" x14ac:dyDescent="0.2">
      <c r="B4" t="s">
        <v>54</v>
      </c>
      <c r="I4" s="1">
        <v>815</v>
      </c>
      <c r="J4" s="1">
        <v>872</v>
      </c>
      <c r="M4" s="1">
        <v>844</v>
      </c>
      <c r="N4" s="1">
        <v>931</v>
      </c>
    </row>
    <row r="6" spans="2:44" s="3" customFormat="1" x14ac:dyDescent="0.2">
      <c r="B6" s="3" t="s">
        <v>38</v>
      </c>
      <c r="C6" s="4"/>
      <c r="D6" s="4"/>
      <c r="E6" s="4"/>
      <c r="F6" s="4"/>
      <c r="G6" s="4">
        <v>230</v>
      </c>
      <c r="H6" s="4">
        <v>249</v>
      </c>
      <c r="I6" s="4">
        <v>295</v>
      </c>
      <c r="J6" s="4">
        <v>375</v>
      </c>
      <c r="K6" s="4">
        <v>363</v>
      </c>
      <c r="L6" s="4">
        <v>399</v>
      </c>
      <c r="M6" s="4">
        <v>422</v>
      </c>
      <c r="N6" s="4">
        <v>472</v>
      </c>
      <c r="O6" s="4">
        <f>+K6*1.15</f>
        <v>417.45</v>
      </c>
      <c r="P6" s="4">
        <f t="shared" ref="P6:R6" si="15">+L6*1.15</f>
        <v>458.84999999999997</v>
      </c>
      <c r="Q6" s="4">
        <f t="shared" si="15"/>
        <v>485.29999999999995</v>
      </c>
      <c r="R6" s="4">
        <f t="shared" si="15"/>
        <v>542.79999999999995</v>
      </c>
      <c r="X6" s="3">
        <f>SUM(G6:J6)</f>
        <v>1149</v>
      </c>
      <c r="Y6" s="3">
        <f>SUM(K6:N6)</f>
        <v>1656</v>
      </c>
      <c r="Z6" s="3">
        <f>SUM(O6:R6)</f>
        <v>1904.3999999999999</v>
      </c>
      <c r="AA6" s="3">
        <f>+Z6*1.1</f>
        <v>2094.84</v>
      </c>
      <c r="AB6" s="3">
        <f t="shared" ref="AB6" si="16">+AA6*1.1</f>
        <v>2304.3240000000005</v>
      </c>
      <c r="AC6" s="3">
        <f>+AB6*1.05</f>
        <v>2419.5402000000008</v>
      </c>
      <c r="AD6" s="3">
        <f t="shared" ref="AD6:AN6" si="17">+AC6*1.05</f>
        <v>2540.5172100000009</v>
      </c>
      <c r="AE6" s="3">
        <f t="shared" si="17"/>
        <v>2667.5430705000012</v>
      </c>
      <c r="AF6" s="3">
        <f t="shared" si="17"/>
        <v>2800.9202240250015</v>
      </c>
      <c r="AG6" s="3">
        <f t="shared" si="17"/>
        <v>2940.9662352262517</v>
      </c>
      <c r="AH6" s="3">
        <f t="shared" si="17"/>
        <v>3088.0145469875642</v>
      </c>
      <c r="AI6" s="3">
        <f t="shared" si="17"/>
        <v>3242.4152743369427</v>
      </c>
      <c r="AJ6" s="3">
        <f t="shared" si="17"/>
        <v>3404.53603805379</v>
      </c>
      <c r="AK6" s="3">
        <f t="shared" si="17"/>
        <v>3574.7628399564796</v>
      </c>
      <c r="AL6" s="3">
        <f t="shared" si="17"/>
        <v>3753.5009819543038</v>
      </c>
      <c r="AM6" s="3">
        <f t="shared" si="17"/>
        <v>3941.176031052019</v>
      </c>
      <c r="AN6" s="3">
        <f t="shared" si="17"/>
        <v>4138.2348326046204</v>
      </c>
    </row>
    <row r="7" spans="2:44" s="3" customFormat="1" x14ac:dyDescent="0.2">
      <c r="B7" s="3" t="s">
        <v>51</v>
      </c>
      <c r="C7" s="4"/>
      <c r="D7" s="4"/>
      <c r="E7" s="4"/>
      <c r="F7" s="4"/>
      <c r="G7" s="4">
        <v>802</v>
      </c>
      <c r="H7" s="4">
        <v>742</v>
      </c>
      <c r="I7" s="4">
        <v>727</v>
      </c>
      <c r="J7" s="4">
        <v>751</v>
      </c>
      <c r="K7" s="4">
        <v>744</v>
      </c>
      <c r="L7" s="4">
        <v>725</v>
      </c>
      <c r="M7" s="4">
        <v>693</v>
      </c>
      <c r="N7" s="4">
        <v>750</v>
      </c>
      <c r="O7" s="4">
        <f>+K7*0.9</f>
        <v>669.6</v>
      </c>
      <c r="P7" s="4">
        <f t="shared" ref="P7:R7" si="18">+L7*0.9</f>
        <v>652.5</v>
      </c>
      <c r="Q7" s="4">
        <f t="shared" si="18"/>
        <v>623.70000000000005</v>
      </c>
      <c r="R7" s="4">
        <f t="shared" si="18"/>
        <v>675</v>
      </c>
      <c r="X7" s="3">
        <f>SUM(G7:J7)</f>
        <v>3022</v>
      </c>
      <c r="Y7" s="3">
        <f>SUM(K7:N7)</f>
        <v>2912</v>
      </c>
      <c r="Z7" s="3">
        <f>SUM(O7:R7)</f>
        <v>2620.8000000000002</v>
      </c>
      <c r="AA7" s="3">
        <f>+Z7*0.9</f>
        <v>2358.7200000000003</v>
      </c>
      <c r="AB7" s="3">
        <f t="shared" ref="AB7:AG7" si="19">+AA7*0.9</f>
        <v>2122.8480000000004</v>
      </c>
      <c r="AC7" s="3">
        <f t="shared" si="19"/>
        <v>1910.5632000000005</v>
      </c>
      <c r="AD7" s="3">
        <f t="shared" si="19"/>
        <v>1719.5068800000006</v>
      </c>
      <c r="AE7" s="3">
        <f t="shared" si="19"/>
        <v>1547.5561920000005</v>
      </c>
      <c r="AF7" s="3">
        <f t="shared" si="19"/>
        <v>1392.8005728000005</v>
      </c>
      <c r="AG7" s="3">
        <f t="shared" si="19"/>
        <v>1253.5205155200006</v>
      </c>
      <c r="AH7" s="3">
        <f t="shared" ref="AH7:AN7" si="20">+AG7*0.9</f>
        <v>1128.1684639680007</v>
      </c>
      <c r="AI7" s="3">
        <f t="shared" si="20"/>
        <v>1015.3516175712006</v>
      </c>
      <c r="AJ7" s="3">
        <f t="shared" si="20"/>
        <v>913.81645581408054</v>
      </c>
      <c r="AK7" s="3">
        <f t="shared" si="20"/>
        <v>822.43481023267248</v>
      </c>
      <c r="AL7" s="3">
        <f t="shared" si="20"/>
        <v>740.19132920940524</v>
      </c>
      <c r="AM7" s="3">
        <f t="shared" si="20"/>
        <v>666.17219628846476</v>
      </c>
      <c r="AN7" s="3">
        <f t="shared" si="20"/>
        <v>599.55497665961832</v>
      </c>
    </row>
    <row r="8" spans="2:44" s="3" customFormat="1" x14ac:dyDescent="0.2">
      <c r="B8" s="3" t="s">
        <v>52</v>
      </c>
      <c r="C8" s="4"/>
      <c r="D8" s="4"/>
      <c r="E8" s="4"/>
      <c r="F8" s="4"/>
      <c r="G8" s="4">
        <v>101</v>
      </c>
      <c r="H8" s="4">
        <v>93</v>
      </c>
      <c r="I8" s="4">
        <v>126</v>
      </c>
      <c r="J8" s="4">
        <v>127</v>
      </c>
      <c r="K8" s="4">
        <v>119</v>
      </c>
      <c r="L8" s="4">
        <v>119</v>
      </c>
      <c r="M8" s="4">
        <v>111</v>
      </c>
      <c r="N8" s="4">
        <v>51</v>
      </c>
      <c r="O8" s="4">
        <f>+K8*0.5</f>
        <v>59.5</v>
      </c>
      <c r="P8" s="4">
        <f t="shared" ref="P8:R8" si="21">+L8*0.5</f>
        <v>59.5</v>
      </c>
      <c r="Q8" s="4">
        <f t="shared" si="21"/>
        <v>55.5</v>
      </c>
      <c r="R8" s="4">
        <f t="shared" si="21"/>
        <v>25.5</v>
      </c>
      <c r="X8" s="3">
        <f>SUM(G8:J8)</f>
        <v>447</v>
      </c>
      <c r="Y8" s="3">
        <f>SUM(K8:N8)</f>
        <v>400</v>
      </c>
      <c r="Z8" s="3">
        <f>SUM(O8:R8)</f>
        <v>200</v>
      </c>
      <c r="AA8" s="3">
        <f>+Z8*0.5</f>
        <v>100</v>
      </c>
      <c r="AB8" s="3">
        <f t="shared" ref="AB8:AG8" si="22">+AA8*0.5</f>
        <v>50</v>
      </c>
      <c r="AC8" s="3">
        <f t="shared" si="22"/>
        <v>25</v>
      </c>
      <c r="AD8" s="3">
        <f t="shared" si="22"/>
        <v>12.5</v>
      </c>
      <c r="AE8" s="3">
        <f t="shared" si="22"/>
        <v>6.25</v>
      </c>
      <c r="AF8" s="3">
        <f t="shared" si="22"/>
        <v>3.125</v>
      </c>
      <c r="AG8" s="3">
        <f t="shared" si="22"/>
        <v>1.5625</v>
      </c>
      <c r="AH8" s="3">
        <f t="shared" ref="AH8:AN8" si="23">+AG8*0.5</f>
        <v>0.78125</v>
      </c>
      <c r="AI8" s="3">
        <f t="shared" si="23"/>
        <v>0.390625</v>
      </c>
      <c r="AJ8" s="3">
        <f t="shared" si="23"/>
        <v>0.1953125</v>
      </c>
      <c r="AK8" s="3">
        <f t="shared" si="23"/>
        <v>9.765625E-2</v>
      </c>
      <c r="AL8" s="3">
        <f t="shared" si="23"/>
        <v>4.8828125E-2</v>
      </c>
      <c r="AM8" s="3">
        <f t="shared" si="23"/>
        <v>2.44140625E-2</v>
      </c>
      <c r="AN8" s="3">
        <f t="shared" si="23"/>
        <v>1.220703125E-2</v>
      </c>
    </row>
    <row r="10" spans="2:44" s="3" customFormat="1" x14ac:dyDescent="0.2">
      <c r="B10" s="3" t="s">
        <v>57</v>
      </c>
      <c r="C10" s="4"/>
      <c r="D10" s="4"/>
      <c r="E10" s="4"/>
      <c r="F10" s="4"/>
      <c r="G10" s="4"/>
      <c r="H10" s="4"/>
      <c r="I10" s="4"/>
      <c r="J10" s="4">
        <f>+N10/0.93</f>
        <v>561.14946236559138</v>
      </c>
      <c r="K10" s="4"/>
      <c r="L10" s="4"/>
      <c r="M10" s="4">
        <v>509</v>
      </c>
      <c r="N10" s="4">
        <v>521.86900000000003</v>
      </c>
      <c r="O10" s="4"/>
      <c r="P10" s="4"/>
      <c r="Q10" s="4"/>
      <c r="R10" s="4"/>
    </row>
    <row r="11" spans="2:44" s="3" customFormat="1" x14ac:dyDescent="0.2">
      <c r="B11" s="3" t="s">
        <v>58</v>
      </c>
      <c r="C11" s="4"/>
      <c r="D11" s="4"/>
      <c r="E11" s="4"/>
      <c r="F11" s="4"/>
      <c r="G11" s="4"/>
      <c r="H11" s="4"/>
      <c r="I11" s="4"/>
      <c r="J11" s="4">
        <f>+N11/1.13</f>
        <v>531.8584070796461</v>
      </c>
      <c r="K11" s="4"/>
      <c r="L11" s="4"/>
      <c r="M11" s="4">
        <v>509</v>
      </c>
      <c r="N11" s="4">
        <v>601</v>
      </c>
      <c r="O11" s="4"/>
      <c r="P11" s="4"/>
      <c r="Q11" s="4"/>
      <c r="R11" s="4"/>
    </row>
    <row r="12" spans="2:44" s="3" customFormat="1" x14ac:dyDescent="0.2">
      <c r="B12" s="3" t="s">
        <v>90</v>
      </c>
      <c r="C12" s="4"/>
      <c r="D12" s="4"/>
      <c r="E12" s="4"/>
      <c r="F12" s="4"/>
      <c r="G12" s="4"/>
      <c r="H12" s="4"/>
      <c r="I12" s="4"/>
      <c r="J12" s="4">
        <v>253.97300000000001</v>
      </c>
      <c r="K12" s="4"/>
      <c r="L12" s="4"/>
      <c r="M12" s="4"/>
      <c r="N12" s="4">
        <v>150.089</v>
      </c>
      <c r="O12" s="4"/>
      <c r="P12" s="4"/>
      <c r="Q12" s="4"/>
      <c r="R12" s="4"/>
    </row>
    <row r="14" spans="2:44" s="5" customFormat="1" x14ac:dyDescent="0.2">
      <c r="B14" s="5" t="s">
        <v>0</v>
      </c>
      <c r="C14" s="6"/>
      <c r="D14" s="6"/>
      <c r="E14" s="6"/>
      <c r="F14" s="6"/>
      <c r="G14" s="6">
        <f t="shared" ref="G14:P14" si="24">SUM(G6:G8)</f>
        <v>1133</v>
      </c>
      <c r="H14" s="6">
        <f t="shared" si="24"/>
        <v>1084</v>
      </c>
      <c r="I14" s="6">
        <f t="shared" si="24"/>
        <v>1148</v>
      </c>
      <c r="J14" s="6">
        <f t="shared" si="24"/>
        <v>1253</v>
      </c>
      <c r="K14" s="6">
        <f t="shared" si="24"/>
        <v>1226</v>
      </c>
      <c r="L14" s="6">
        <f t="shared" si="24"/>
        <v>1243</v>
      </c>
      <c r="M14" s="6">
        <f t="shared" si="24"/>
        <v>1226</v>
      </c>
      <c r="N14" s="6">
        <f t="shared" si="24"/>
        <v>1273</v>
      </c>
      <c r="O14" s="6">
        <f t="shared" si="24"/>
        <v>1146.55</v>
      </c>
      <c r="P14" s="6">
        <f t="shared" si="24"/>
        <v>1170.8499999999999</v>
      </c>
      <c r="Q14" s="6">
        <f t="shared" ref="Q14:R14" si="25">SUM(Q6:Q8)</f>
        <v>1164.5</v>
      </c>
      <c r="R14" s="6">
        <f t="shared" si="25"/>
        <v>1243.3</v>
      </c>
      <c r="U14" s="5">
        <v>4984.1989999999996</v>
      </c>
      <c r="V14" s="5">
        <v>4986.5659999999998</v>
      </c>
      <c r="W14" s="5">
        <v>4680.38</v>
      </c>
      <c r="X14" s="5">
        <v>4618.1329999999998</v>
      </c>
      <c r="Y14" s="5">
        <v>4968.3010000000004</v>
      </c>
      <c r="Z14" s="5">
        <f>SUM(O14:R14)</f>
        <v>4725.2</v>
      </c>
      <c r="AA14" s="5">
        <f>SUM(AA6:AA8)</f>
        <v>4553.5600000000004</v>
      </c>
      <c r="AB14" s="5">
        <f t="shared" ref="AB14:AN14" si="26">SUM(AB6:AB8)</f>
        <v>4477.1720000000005</v>
      </c>
      <c r="AC14" s="5">
        <f t="shared" si="26"/>
        <v>4355.1034000000018</v>
      </c>
      <c r="AD14" s="5">
        <f t="shared" si="26"/>
        <v>4272.5240900000017</v>
      </c>
      <c r="AE14" s="5">
        <f t="shared" si="26"/>
        <v>4221.3492625000017</v>
      </c>
      <c r="AF14" s="5">
        <f t="shared" si="26"/>
        <v>4196.8457968250023</v>
      </c>
      <c r="AG14" s="5">
        <f t="shared" si="26"/>
        <v>4196.0492507462523</v>
      </c>
      <c r="AH14" s="5">
        <f t="shared" si="26"/>
        <v>4216.9642609555649</v>
      </c>
      <c r="AI14" s="5">
        <f t="shared" si="26"/>
        <v>4258.1575169081434</v>
      </c>
      <c r="AJ14" s="5">
        <f t="shared" si="26"/>
        <v>4318.5478063678702</v>
      </c>
      <c r="AK14" s="5">
        <f t="shared" si="26"/>
        <v>4397.2953064391522</v>
      </c>
      <c r="AL14" s="5">
        <f t="shared" si="26"/>
        <v>4493.7411392887088</v>
      </c>
      <c r="AM14" s="5">
        <f t="shared" si="26"/>
        <v>4607.3726414029834</v>
      </c>
      <c r="AN14" s="5">
        <f t="shared" si="26"/>
        <v>4737.802016295489</v>
      </c>
    </row>
    <row r="15" spans="2:44" s="3" customFormat="1" x14ac:dyDescent="0.2">
      <c r="B15" s="3" t="s">
        <v>21</v>
      </c>
      <c r="C15" s="4"/>
      <c r="D15" s="4"/>
      <c r="E15" s="4"/>
      <c r="F15" s="4"/>
      <c r="G15" s="4">
        <v>45.908999999999999</v>
      </c>
      <c r="H15" s="4">
        <v>43.826000000000001</v>
      </c>
      <c r="I15" s="4">
        <v>54.18</v>
      </c>
      <c r="J15" s="4">
        <v>73.616</v>
      </c>
      <c r="K15" s="4">
        <v>183.13900000000001</v>
      </c>
      <c r="L15" s="4">
        <v>200.23</v>
      </c>
      <c r="M15" s="4">
        <v>223.22900000000001</v>
      </c>
      <c r="N15" s="4">
        <v>270.916</v>
      </c>
      <c r="O15" s="4">
        <f>+O14*0.215</f>
        <v>246.50824999999998</v>
      </c>
      <c r="P15" s="4"/>
      <c r="Q15" s="4"/>
      <c r="R15" s="4"/>
      <c r="V15" s="3">
        <v>518.90599999999995</v>
      </c>
      <c r="W15" s="3">
        <v>254.44200000000001</v>
      </c>
      <c r="X15" s="3">
        <v>217.53100000000001</v>
      </c>
      <c r="Y15" s="3">
        <v>877.51400000000001</v>
      </c>
    </row>
    <row r="16" spans="2:44" s="3" customFormat="1" x14ac:dyDescent="0.2">
      <c r="B16" s="3" t="s">
        <v>22</v>
      </c>
      <c r="C16" s="4"/>
      <c r="D16" s="4"/>
      <c r="E16" s="4"/>
      <c r="F16" s="4"/>
      <c r="G16" s="4">
        <v>293.60300000000001</v>
      </c>
      <c r="H16" s="4">
        <v>295.786</v>
      </c>
      <c r="I16" s="4">
        <v>292.64699999999999</v>
      </c>
      <c r="J16" s="4">
        <v>287.80799999999999</v>
      </c>
      <c r="K16" s="4">
        <v>285.26299999999998</v>
      </c>
      <c r="L16" s="4">
        <v>295.93200000000002</v>
      </c>
      <c r="M16" s="4">
        <v>302.846</v>
      </c>
      <c r="N16" s="4">
        <v>316.19299999999998</v>
      </c>
      <c r="O16" s="4">
        <f>+O17-O15</f>
        <v>280.90474999999992</v>
      </c>
      <c r="P16" s="4"/>
      <c r="Q16" s="4"/>
      <c r="R16" s="4"/>
      <c r="V16" s="3">
        <v>1101.6600000000001</v>
      </c>
      <c r="W16" s="3">
        <v>1094.9380000000001</v>
      </c>
      <c r="X16" s="3">
        <v>1169.8440000000001</v>
      </c>
      <c r="Y16" s="3">
        <v>1200.2339999999999</v>
      </c>
    </row>
    <row r="17" spans="2:105" s="3" customFormat="1" x14ac:dyDescent="0.2">
      <c r="B17" s="3" t="s">
        <v>23</v>
      </c>
      <c r="C17" s="4"/>
      <c r="D17" s="4"/>
      <c r="E17" s="4"/>
      <c r="F17" s="4"/>
      <c r="G17" s="4">
        <f t="shared" ref="G17:N17" si="27">+G16+G15</f>
        <v>339.512</v>
      </c>
      <c r="H17" s="4">
        <f t="shared" si="27"/>
        <v>339.61200000000002</v>
      </c>
      <c r="I17" s="4">
        <f t="shared" si="27"/>
        <v>346.827</v>
      </c>
      <c r="J17" s="4">
        <f t="shared" si="27"/>
        <v>361.42399999999998</v>
      </c>
      <c r="K17" s="4">
        <f t="shared" si="27"/>
        <v>468.40199999999999</v>
      </c>
      <c r="L17" s="4">
        <f t="shared" si="27"/>
        <v>496.16200000000003</v>
      </c>
      <c r="M17" s="4">
        <f t="shared" si="27"/>
        <v>526.07500000000005</v>
      </c>
      <c r="N17" s="4">
        <f t="shared" si="27"/>
        <v>587.10899999999992</v>
      </c>
      <c r="O17" s="4">
        <f>+O14-O18</f>
        <v>527.4129999999999</v>
      </c>
      <c r="P17" s="4"/>
      <c r="Q17" s="4"/>
      <c r="R17" s="4"/>
      <c r="V17" s="3">
        <f>+V16+V15</f>
        <v>1620.566</v>
      </c>
      <c r="W17" s="3">
        <f>+W16+W15</f>
        <v>1349.38</v>
      </c>
      <c r="X17" s="3">
        <f>+X16+X15</f>
        <v>1387.375</v>
      </c>
      <c r="Y17" s="3">
        <f>+Y16+Y15</f>
        <v>2077.748</v>
      </c>
      <c r="Z17" s="3">
        <f t="shared" ref="Z17:AN17" si="28">+Z16+Z15</f>
        <v>0</v>
      </c>
      <c r="AA17" s="3">
        <f t="shared" si="28"/>
        <v>0</v>
      </c>
      <c r="AB17" s="3">
        <f t="shared" si="28"/>
        <v>0</v>
      </c>
      <c r="AC17" s="3">
        <f t="shared" si="28"/>
        <v>0</v>
      </c>
      <c r="AD17" s="3">
        <f t="shared" si="28"/>
        <v>0</v>
      </c>
      <c r="AE17" s="3">
        <f t="shared" si="28"/>
        <v>0</v>
      </c>
      <c r="AF17" s="3">
        <f t="shared" si="28"/>
        <v>0</v>
      </c>
      <c r="AG17" s="3">
        <f t="shared" si="28"/>
        <v>0</v>
      </c>
      <c r="AH17" s="3">
        <f t="shared" si="28"/>
        <v>0</v>
      </c>
      <c r="AI17" s="3">
        <f t="shared" si="28"/>
        <v>0</v>
      </c>
      <c r="AJ17" s="3">
        <f t="shared" si="28"/>
        <v>0</v>
      </c>
      <c r="AK17" s="3">
        <f t="shared" si="28"/>
        <v>0</v>
      </c>
      <c r="AL17" s="3">
        <f t="shared" si="28"/>
        <v>0</v>
      </c>
      <c r="AM17" s="3">
        <f t="shared" si="28"/>
        <v>0</v>
      </c>
      <c r="AN17" s="3">
        <f t="shared" si="28"/>
        <v>0</v>
      </c>
    </row>
    <row r="18" spans="2:105" s="3" customFormat="1" x14ac:dyDescent="0.2">
      <c r="B18" s="3" t="s">
        <v>24</v>
      </c>
      <c r="C18" s="4"/>
      <c r="D18" s="4"/>
      <c r="E18" s="4"/>
      <c r="F18" s="4"/>
      <c r="G18" s="4">
        <f t="shared" ref="G18:N18" si="29">+G14-G17</f>
        <v>793.48800000000006</v>
      </c>
      <c r="H18" s="4">
        <f t="shared" si="29"/>
        <v>744.38799999999992</v>
      </c>
      <c r="I18" s="4">
        <f t="shared" si="29"/>
        <v>801.173</v>
      </c>
      <c r="J18" s="4">
        <f t="shared" si="29"/>
        <v>891.57600000000002</v>
      </c>
      <c r="K18" s="4">
        <f t="shared" si="29"/>
        <v>757.59799999999996</v>
      </c>
      <c r="L18" s="4">
        <f t="shared" si="29"/>
        <v>746.83799999999997</v>
      </c>
      <c r="M18" s="4">
        <f t="shared" si="29"/>
        <v>699.92499999999995</v>
      </c>
      <c r="N18" s="4">
        <f t="shared" si="29"/>
        <v>685.89100000000008</v>
      </c>
      <c r="O18" s="4">
        <f>+O14*0.54</f>
        <v>619.13700000000006</v>
      </c>
      <c r="P18" s="4"/>
      <c r="Q18" s="4"/>
      <c r="R18" s="4"/>
      <c r="V18" s="3">
        <f>+V14-V17</f>
        <v>3366</v>
      </c>
      <c r="W18" s="3">
        <f>+W14-W17</f>
        <v>3331</v>
      </c>
      <c r="X18" s="3">
        <f>+X14-X17</f>
        <v>3230.7579999999998</v>
      </c>
      <c r="Y18" s="3">
        <f>+Y14-Y17</f>
        <v>2890.5530000000003</v>
      </c>
      <c r="Z18" s="3">
        <f>+Z14*0.54</f>
        <v>2551.6080000000002</v>
      </c>
      <c r="AA18" s="3">
        <f>+AA14*0.55</f>
        <v>2504.4580000000005</v>
      </c>
      <c r="AB18" s="3">
        <f>+AB14*0.56</f>
        <v>2507.2163200000005</v>
      </c>
      <c r="AC18" s="3">
        <f>+AC14*0.58</f>
        <v>2525.959972000001</v>
      </c>
      <c r="AD18" s="3">
        <f t="shared" ref="AD18:AN18" si="30">+AD14*0.58</f>
        <v>2478.063972200001</v>
      </c>
      <c r="AE18" s="3">
        <f t="shared" si="30"/>
        <v>2448.382572250001</v>
      </c>
      <c r="AF18" s="3">
        <f t="shared" si="30"/>
        <v>2434.1705621585011</v>
      </c>
      <c r="AG18" s="3">
        <f t="shared" si="30"/>
        <v>2433.7085654328262</v>
      </c>
      <c r="AH18" s="3">
        <f t="shared" si="30"/>
        <v>2445.8392713542275</v>
      </c>
      <c r="AI18" s="3">
        <f t="shared" si="30"/>
        <v>2469.731359806723</v>
      </c>
      <c r="AJ18" s="3">
        <f t="shared" si="30"/>
        <v>2504.7577276933644</v>
      </c>
      <c r="AK18" s="3">
        <f t="shared" si="30"/>
        <v>2550.4312777347081</v>
      </c>
      <c r="AL18" s="3">
        <f t="shared" si="30"/>
        <v>2606.3698607874508</v>
      </c>
      <c r="AM18" s="3">
        <f t="shared" si="30"/>
        <v>2672.2761320137301</v>
      </c>
      <c r="AN18" s="3">
        <f t="shared" si="30"/>
        <v>2747.9251694513832</v>
      </c>
    </row>
    <row r="19" spans="2:105" s="3" customFormat="1" x14ac:dyDescent="0.2">
      <c r="B19" s="3" t="s">
        <v>25</v>
      </c>
      <c r="C19" s="4"/>
      <c r="D19" s="4"/>
      <c r="E19" s="4"/>
      <c r="F19" s="4"/>
      <c r="G19" s="4">
        <v>302.32499999999999</v>
      </c>
      <c r="H19" s="4">
        <v>253.19800000000001</v>
      </c>
      <c r="I19" s="4">
        <v>267.875</v>
      </c>
      <c r="J19" s="4">
        <v>261.04000000000002</v>
      </c>
      <c r="K19" s="4">
        <v>275.35700000000003</v>
      </c>
      <c r="L19" s="4">
        <v>274.30399999999997</v>
      </c>
      <c r="M19" s="4">
        <v>274.32900000000001</v>
      </c>
      <c r="N19" s="4">
        <v>256.72800000000001</v>
      </c>
      <c r="O19" s="4">
        <f>+N19-10</f>
        <v>246.72800000000001</v>
      </c>
      <c r="P19" s="4"/>
      <c r="Q19" s="4"/>
      <c r="R19" s="4"/>
      <c r="V19" s="3">
        <v>1101.5719999999999</v>
      </c>
      <c r="W19" s="3">
        <v>1083.8720000000001</v>
      </c>
      <c r="X19" s="3">
        <f>SUM(G19:J19)</f>
        <v>1084.4380000000001</v>
      </c>
      <c r="Y19" s="3">
        <f>SUM(K19:N19)</f>
        <v>1080.7180000000001</v>
      </c>
      <c r="Z19" s="3">
        <f>+Y19*0.9</f>
        <v>972.64620000000014</v>
      </c>
      <c r="AA19" s="3">
        <f t="shared" ref="AA19:AA21" si="31">+Z19*0.9</f>
        <v>875.3815800000001</v>
      </c>
      <c r="AB19" s="3">
        <f>+AA19</f>
        <v>875.3815800000001</v>
      </c>
      <c r="AC19" s="3">
        <f t="shared" ref="AC19:AN19" si="32">+AB19</f>
        <v>875.3815800000001</v>
      </c>
      <c r="AD19" s="3">
        <f t="shared" si="32"/>
        <v>875.3815800000001</v>
      </c>
      <c r="AE19" s="3">
        <f t="shared" si="32"/>
        <v>875.3815800000001</v>
      </c>
      <c r="AF19" s="3">
        <f t="shared" si="32"/>
        <v>875.3815800000001</v>
      </c>
      <c r="AG19" s="3">
        <f t="shared" si="32"/>
        <v>875.3815800000001</v>
      </c>
      <c r="AH19" s="3">
        <f t="shared" si="32"/>
        <v>875.3815800000001</v>
      </c>
      <c r="AI19" s="3">
        <f t="shared" si="32"/>
        <v>875.3815800000001</v>
      </c>
      <c r="AJ19" s="3">
        <f t="shared" si="32"/>
        <v>875.3815800000001</v>
      </c>
      <c r="AK19" s="3">
        <f t="shared" si="32"/>
        <v>875.3815800000001</v>
      </c>
      <c r="AL19" s="3">
        <f t="shared" si="32"/>
        <v>875.3815800000001</v>
      </c>
      <c r="AM19" s="3">
        <f t="shared" si="32"/>
        <v>875.3815800000001</v>
      </c>
      <c r="AN19" s="3">
        <f t="shared" si="32"/>
        <v>875.3815800000001</v>
      </c>
    </row>
    <row r="20" spans="2:105" s="3" customFormat="1" x14ac:dyDescent="0.2">
      <c r="B20" s="3" t="s">
        <v>26</v>
      </c>
      <c r="C20" s="4"/>
      <c r="D20" s="4"/>
      <c r="E20" s="4"/>
      <c r="F20" s="4"/>
      <c r="G20" s="4">
        <v>268.26400000000001</v>
      </c>
      <c r="H20" s="4">
        <v>291.77800000000002</v>
      </c>
      <c r="I20" s="4">
        <v>292.05700000000002</v>
      </c>
      <c r="J20" s="4">
        <v>304.28699999999998</v>
      </c>
      <c r="K20" s="4">
        <v>326.74700000000001</v>
      </c>
      <c r="L20" s="4">
        <v>306.428</v>
      </c>
      <c r="M20" s="4">
        <v>272.28500000000003</v>
      </c>
      <c r="N20" s="4">
        <v>272.46300000000002</v>
      </c>
      <c r="O20" s="4">
        <f>+N20-10</f>
        <v>262.46300000000002</v>
      </c>
      <c r="P20" s="4"/>
      <c r="Q20" s="4"/>
      <c r="R20" s="4"/>
      <c r="V20" s="3">
        <v>885.82399999999996</v>
      </c>
      <c r="W20" s="3">
        <v>957.58699999999999</v>
      </c>
      <c r="X20" s="3">
        <f>SUM(G20:J20)</f>
        <v>1156.386</v>
      </c>
      <c r="Y20" s="3">
        <f>SUM(K20:N20)</f>
        <v>1177.923</v>
      </c>
      <c r="Z20" s="3">
        <f t="shared" ref="Z20" si="33">+Y20*0.9</f>
        <v>1060.1306999999999</v>
      </c>
      <c r="AA20" s="3">
        <f t="shared" si="31"/>
        <v>954.11762999999996</v>
      </c>
      <c r="AB20" s="3">
        <f t="shared" ref="AB20:AB21" si="34">+AA20*0.9</f>
        <v>858.70586700000001</v>
      </c>
      <c r="AC20" s="3">
        <f t="shared" ref="AC20:AN20" si="35">+AB20</f>
        <v>858.70586700000001</v>
      </c>
      <c r="AD20" s="3">
        <f t="shared" si="35"/>
        <v>858.70586700000001</v>
      </c>
      <c r="AE20" s="3">
        <f t="shared" si="35"/>
        <v>858.70586700000001</v>
      </c>
      <c r="AF20" s="3">
        <f t="shared" si="35"/>
        <v>858.70586700000001</v>
      </c>
      <c r="AG20" s="3">
        <f t="shared" si="35"/>
        <v>858.70586700000001</v>
      </c>
      <c r="AH20" s="3">
        <f t="shared" si="35"/>
        <v>858.70586700000001</v>
      </c>
      <c r="AI20" s="3">
        <f t="shared" si="35"/>
        <v>858.70586700000001</v>
      </c>
      <c r="AJ20" s="3">
        <f t="shared" si="35"/>
        <v>858.70586700000001</v>
      </c>
      <c r="AK20" s="3">
        <f t="shared" si="35"/>
        <v>858.70586700000001</v>
      </c>
      <c r="AL20" s="3">
        <f t="shared" si="35"/>
        <v>858.70586700000001</v>
      </c>
      <c r="AM20" s="3">
        <f t="shared" si="35"/>
        <v>858.70586700000001</v>
      </c>
      <c r="AN20" s="3">
        <f t="shared" si="35"/>
        <v>858.70586700000001</v>
      </c>
    </row>
    <row r="21" spans="2:105" s="3" customFormat="1" x14ac:dyDescent="0.2">
      <c r="B21" s="3" t="s">
        <v>27</v>
      </c>
      <c r="C21" s="4"/>
      <c r="D21" s="4"/>
      <c r="E21" s="4"/>
      <c r="F21" s="4"/>
      <c r="G21" s="4">
        <v>164.62299999999999</v>
      </c>
      <c r="H21" s="4">
        <v>154.881</v>
      </c>
      <c r="I21" s="4">
        <v>176.71700000000001</v>
      </c>
      <c r="J21" s="4">
        <v>190.05099999999999</v>
      </c>
      <c r="K21" s="4">
        <v>173.51300000000001</v>
      </c>
      <c r="L21" s="4">
        <v>180.595</v>
      </c>
      <c r="M21" s="4">
        <v>151.96299999999999</v>
      </c>
      <c r="N21" s="4">
        <v>181.733</v>
      </c>
      <c r="O21" s="4">
        <f>+K21-10</f>
        <v>163.51300000000001</v>
      </c>
      <c r="P21" s="4"/>
      <c r="Q21" s="4"/>
      <c r="R21" s="4"/>
      <c r="V21" s="3">
        <v>540.24699999999996</v>
      </c>
      <c r="W21" s="3">
        <v>667.40300000000002</v>
      </c>
      <c r="X21" s="3">
        <f>SUM(G21:J21)</f>
        <v>686.27199999999993</v>
      </c>
      <c r="Y21" s="3">
        <f>SUM(K21:N21)</f>
        <v>687.80400000000009</v>
      </c>
      <c r="Z21" s="3">
        <f t="shared" ref="Z21" si="36">+Y21*0.9</f>
        <v>619.0236000000001</v>
      </c>
      <c r="AA21" s="3">
        <f t="shared" si="31"/>
        <v>557.12124000000006</v>
      </c>
      <c r="AB21" s="3">
        <f t="shared" si="34"/>
        <v>501.40911600000004</v>
      </c>
      <c r="AC21" s="3">
        <f t="shared" ref="AC21:AN21" si="37">+AB21</f>
        <v>501.40911600000004</v>
      </c>
      <c r="AD21" s="3">
        <f t="shared" si="37"/>
        <v>501.40911600000004</v>
      </c>
      <c r="AE21" s="3">
        <f t="shared" si="37"/>
        <v>501.40911600000004</v>
      </c>
      <c r="AF21" s="3">
        <f t="shared" si="37"/>
        <v>501.40911600000004</v>
      </c>
      <c r="AG21" s="3">
        <f t="shared" si="37"/>
        <v>501.40911600000004</v>
      </c>
      <c r="AH21" s="3">
        <f t="shared" si="37"/>
        <v>501.40911600000004</v>
      </c>
      <c r="AI21" s="3">
        <f t="shared" si="37"/>
        <v>501.40911600000004</v>
      </c>
      <c r="AJ21" s="3">
        <f t="shared" si="37"/>
        <v>501.40911600000004</v>
      </c>
      <c r="AK21" s="3">
        <f t="shared" si="37"/>
        <v>501.40911600000004</v>
      </c>
      <c r="AL21" s="3">
        <f t="shared" si="37"/>
        <v>501.40911600000004</v>
      </c>
      <c r="AM21" s="3">
        <f t="shared" si="37"/>
        <v>501.40911600000004</v>
      </c>
      <c r="AN21" s="3">
        <f t="shared" si="37"/>
        <v>501.40911600000004</v>
      </c>
    </row>
    <row r="22" spans="2:105" s="3" customFormat="1" x14ac:dyDescent="0.2">
      <c r="B22" s="3" t="s">
        <v>20</v>
      </c>
      <c r="C22" s="4"/>
      <c r="D22" s="4"/>
      <c r="E22" s="4"/>
      <c r="F22" s="4"/>
      <c r="G22" s="4">
        <f t="shared" ref="G22:M22" si="38">SUM(G19:G21)</f>
        <v>735.21199999999999</v>
      </c>
      <c r="H22" s="4">
        <f t="shared" si="38"/>
        <v>699.85699999999997</v>
      </c>
      <c r="I22" s="4">
        <f t="shared" si="38"/>
        <v>736.649</v>
      </c>
      <c r="J22" s="4">
        <f t="shared" si="38"/>
        <v>755.37799999999993</v>
      </c>
      <c r="K22" s="4">
        <f t="shared" si="38"/>
        <v>775.61700000000008</v>
      </c>
      <c r="L22" s="4">
        <f t="shared" si="38"/>
        <v>761.327</v>
      </c>
      <c r="M22" s="4">
        <f t="shared" si="38"/>
        <v>698.577</v>
      </c>
      <c r="N22" s="4">
        <f>SUM(N19:N21)</f>
        <v>710.92399999999998</v>
      </c>
      <c r="O22" s="4">
        <f>SUM(O19:O21)</f>
        <v>672.70400000000006</v>
      </c>
      <c r="P22" s="4">
        <f t="shared" ref="P22:R22" si="39">SUM(P19:P21)</f>
        <v>0</v>
      </c>
      <c r="Q22" s="4">
        <f t="shared" si="39"/>
        <v>0</v>
      </c>
      <c r="R22" s="4">
        <f t="shared" si="39"/>
        <v>0</v>
      </c>
      <c r="V22" s="3">
        <f>SUM(V19:V21)</f>
        <v>2527.6429999999996</v>
      </c>
      <c r="W22" s="3">
        <f>SUM(W19:W21)</f>
        <v>2708.8620000000001</v>
      </c>
      <c r="X22" s="3">
        <f>SUM(X19:X21)</f>
        <v>2927.096</v>
      </c>
      <c r="Y22" s="3">
        <f>SUM(Y19:Y21)</f>
        <v>2946.4450000000002</v>
      </c>
      <c r="Z22" s="3">
        <f t="shared" ref="Z22:AN22" si="40">SUM(Z19:Z21)</f>
        <v>2651.8005000000003</v>
      </c>
      <c r="AA22" s="3">
        <f t="shared" si="40"/>
        <v>2386.6204499999999</v>
      </c>
      <c r="AB22" s="3">
        <f t="shared" si="40"/>
        <v>2235.4965630000002</v>
      </c>
      <c r="AC22" s="3">
        <f t="shared" si="40"/>
        <v>2235.4965630000002</v>
      </c>
      <c r="AD22" s="3">
        <f t="shared" si="40"/>
        <v>2235.4965630000002</v>
      </c>
      <c r="AE22" s="3">
        <f t="shared" si="40"/>
        <v>2235.4965630000002</v>
      </c>
      <c r="AF22" s="3">
        <f t="shared" si="40"/>
        <v>2235.4965630000002</v>
      </c>
      <c r="AG22" s="3">
        <f t="shared" si="40"/>
        <v>2235.4965630000002</v>
      </c>
      <c r="AH22" s="3">
        <f t="shared" si="40"/>
        <v>2235.4965630000002</v>
      </c>
      <c r="AI22" s="3">
        <f t="shared" si="40"/>
        <v>2235.4965630000002</v>
      </c>
      <c r="AJ22" s="3">
        <f t="shared" si="40"/>
        <v>2235.4965630000002</v>
      </c>
      <c r="AK22" s="3">
        <f t="shared" si="40"/>
        <v>2235.4965630000002</v>
      </c>
      <c r="AL22" s="3">
        <f t="shared" si="40"/>
        <v>2235.4965630000002</v>
      </c>
      <c r="AM22" s="3">
        <f t="shared" si="40"/>
        <v>2235.4965630000002</v>
      </c>
      <c r="AN22" s="3">
        <f t="shared" si="40"/>
        <v>2235.4965630000002</v>
      </c>
    </row>
    <row r="23" spans="2:105" s="3" customFormat="1" x14ac:dyDescent="0.2">
      <c r="B23" s="3" t="s">
        <v>19</v>
      </c>
      <c r="C23" s="4"/>
      <c r="D23" s="4"/>
      <c r="E23" s="4"/>
      <c r="F23" s="4"/>
      <c r="G23" s="4">
        <f t="shared" ref="G23:M23" si="41">G18-G22</f>
        <v>58.276000000000067</v>
      </c>
      <c r="H23" s="4">
        <f t="shared" si="41"/>
        <v>44.530999999999949</v>
      </c>
      <c r="I23" s="4">
        <f t="shared" si="41"/>
        <v>64.524000000000001</v>
      </c>
      <c r="J23" s="4">
        <f t="shared" si="41"/>
        <v>136.19800000000009</v>
      </c>
      <c r="K23" s="4">
        <f t="shared" si="41"/>
        <v>-18.019000000000119</v>
      </c>
      <c r="L23" s="4">
        <f t="shared" si="41"/>
        <v>-14.489000000000033</v>
      </c>
      <c r="M23" s="4">
        <f t="shared" si="41"/>
        <v>1.3479999999999563</v>
      </c>
      <c r="N23" s="4">
        <f>N18-N22</f>
        <v>-25.032999999999902</v>
      </c>
      <c r="O23" s="4">
        <f>O18-O22</f>
        <v>-53.567000000000007</v>
      </c>
      <c r="P23" s="4">
        <f t="shared" ref="P23:R23" si="42">P18-P22</f>
        <v>0</v>
      </c>
      <c r="Q23" s="4">
        <f t="shared" si="42"/>
        <v>0</v>
      </c>
      <c r="R23" s="4">
        <f t="shared" si="42"/>
        <v>0</v>
      </c>
      <c r="V23" s="3">
        <f>V18-V22</f>
        <v>838.35700000000043</v>
      </c>
      <c r="W23" s="3">
        <f>W18-W22</f>
        <v>622.13799999999992</v>
      </c>
      <c r="X23" s="3">
        <f>X18-X22</f>
        <v>303.66199999999981</v>
      </c>
      <c r="Y23" s="3">
        <f>Y18-Y22</f>
        <v>-55.891999999999825</v>
      </c>
      <c r="Z23" s="3">
        <f>+Z18-Z22</f>
        <v>-100.19250000000011</v>
      </c>
      <c r="AA23" s="3">
        <f>AA18-AA22</f>
        <v>117.83755000000065</v>
      </c>
      <c r="AB23" s="3">
        <f t="shared" ref="AB23:AN23" si="43">AB18-AB22</f>
        <v>271.7197570000003</v>
      </c>
      <c r="AC23" s="3">
        <f t="shared" si="43"/>
        <v>290.46340900000087</v>
      </c>
      <c r="AD23" s="3">
        <f t="shared" si="43"/>
        <v>242.56740920000084</v>
      </c>
      <c r="AE23" s="3">
        <f t="shared" si="43"/>
        <v>212.88600925000082</v>
      </c>
      <c r="AF23" s="3">
        <f t="shared" si="43"/>
        <v>198.67399915850092</v>
      </c>
      <c r="AG23" s="3">
        <f t="shared" si="43"/>
        <v>198.21200243282601</v>
      </c>
      <c r="AH23" s="3">
        <f t="shared" si="43"/>
        <v>210.3427083542274</v>
      </c>
      <c r="AI23" s="3">
        <f t="shared" si="43"/>
        <v>234.2347968067229</v>
      </c>
      <c r="AJ23" s="3">
        <f t="shared" si="43"/>
        <v>269.26116469336421</v>
      </c>
      <c r="AK23" s="3">
        <f t="shared" si="43"/>
        <v>314.934714734708</v>
      </c>
      <c r="AL23" s="3">
        <f t="shared" si="43"/>
        <v>370.87329778745061</v>
      </c>
      <c r="AM23" s="3">
        <f t="shared" si="43"/>
        <v>436.77956901373</v>
      </c>
      <c r="AN23" s="3">
        <f t="shared" si="43"/>
        <v>512.42860645138308</v>
      </c>
    </row>
    <row r="24" spans="2:105" s="3" customFormat="1" x14ac:dyDescent="0.2">
      <c r="B24" s="3" t="s">
        <v>30</v>
      </c>
      <c r="C24" s="4"/>
      <c r="D24" s="4"/>
      <c r="E24" s="4"/>
      <c r="F24" s="4"/>
      <c r="G24" s="4">
        <v>-13.452999999999999</v>
      </c>
      <c r="H24" s="4">
        <v>-13.589</v>
      </c>
      <c r="I24" s="4"/>
      <c r="J24" s="4">
        <v>87.55</v>
      </c>
      <c r="K24" s="4">
        <v>-31.062999999999999</v>
      </c>
      <c r="L24" s="4">
        <v>-11.741</v>
      </c>
      <c r="M24" s="4">
        <v>-23.954999999999998</v>
      </c>
      <c r="N24" s="4">
        <v>-9.0229999999999997</v>
      </c>
      <c r="O24" s="4"/>
      <c r="P24" s="4"/>
      <c r="Q24" s="4"/>
      <c r="R24" s="4"/>
      <c r="Y24" s="3">
        <f>SUM(K24:N24)</f>
        <v>-75.781999999999996</v>
      </c>
    </row>
    <row r="25" spans="2:105" s="3" customFormat="1" x14ac:dyDescent="0.2">
      <c r="B25" s="3" t="s">
        <v>31</v>
      </c>
      <c r="C25" s="4"/>
      <c r="D25" s="4"/>
      <c r="E25" s="4"/>
      <c r="F25" s="4"/>
      <c r="G25" s="4">
        <f t="shared" ref="G25:M25" si="44">+G23+G24</f>
        <v>44.823000000000064</v>
      </c>
      <c r="H25" s="4">
        <f t="shared" si="44"/>
        <v>30.94199999999995</v>
      </c>
      <c r="I25" s="4">
        <f t="shared" si="44"/>
        <v>64.524000000000001</v>
      </c>
      <c r="J25" s="4">
        <f t="shared" si="44"/>
        <v>223.7480000000001</v>
      </c>
      <c r="K25" s="4">
        <f t="shared" si="44"/>
        <v>-49.082000000000122</v>
      </c>
      <c r="L25" s="4">
        <f t="shared" si="44"/>
        <v>-26.230000000000032</v>
      </c>
      <c r="M25" s="4">
        <f t="shared" si="44"/>
        <v>-22.607000000000042</v>
      </c>
      <c r="N25" s="4">
        <f>+N23+N24</f>
        <v>-34.055999999999898</v>
      </c>
      <c r="O25" s="4">
        <f t="shared" ref="O25" si="45">+O23+O24</f>
        <v>-53.567000000000007</v>
      </c>
      <c r="P25" s="4">
        <f t="shared" ref="P25" si="46">+P23+P24</f>
        <v>0</v>
      </c>
      <c r="Q25" s="4">
        <f t="shared" ref="Q25" si="47">+Q23+Q24</f>
        <v>0</v>
      </c>
      <c r="R25" s="4">
        <f t="shared" ref="R25" si="48">+R23+R24</f>
        <v>0</v>
      </c>
      <c r="V25" s="4">
        <f t="shared" ref="V25:W25" si="49">+V23+V24</f>
        <v>838.35700000000043</v>
      </c>
      <c r="W25" s="4">
        <f t="shared" si="49"/>
        <v>622.13799999999992</v>
      </c>
      <c r="X25" s="4">
        <f t="shared" ref="X25" si="50">+X23+X24</f>
        <v>303.66199999999981</v>
      </c>
      <c r="Y25" s="4">
        <f t="shared" ref="Y25" si="51">+Y23+Y24</f>
        <v>-131.67399999999981</v>
      </c>
      <c r="Z25" s="4">
        <f t="shared" ref="Z25" si="52">+Z23+Z24</f>
        <v>-100.19250000000011</v>
      </c>
      <c r="AA25" s="4">
        <f t="shared" ref="AA25" si="53">+AA23+AA24</f>
        <v>117.83755000000065</v>
      </c>
      <c r="AB25" s="4">
        <f t="shared" ref="AB25" si="54">+AB23+AB24</f>
        <v>271.7197570000003</v>
      </c>
      <c r="AC25" s="4">
        <f t="shared" ref="AC25" si="55">+AC23+AC24</f>
        <v>290.46340900000087</v>
      </c>
      <c r="AD25" s="4">
        <f t="shared" ref="AD25" si="56">+AD23+AD24</f>
        <v>242.56740920000084</v>
      </c>
      <c r="AE25" s="4">
        <f t="shared" ref="AE25" si="57">+AE23+AE24</f>
        <v>212.88600925000082</v>
      </c>
      <c r="AF25" s="4">
        <f t="shared" ref="AF25" si="58">+AF23+AF24</f>
        <v>198.67399915850092</v>
      </c>
      <c r="AG25" s="4">
        <f t="shared" ref="AG25" si="59">+AG23+AG24</f>
        <v>198.21200243282601</v>
      </c>
      <c r="AH25" s="4">
        <f t="shared" ref="AH25" si="60">+AH23+AH24</f>
        <v>210.3427083542274</v>
      </c>
      <c r="AI25" s="4">
        <f t="shared" ref="AI25" si="61">+AI23+AI24</f>
        <v>234.2347968067229</v>
      </c>
      <c r="AJ25" s="4">
        <f t="shared" ref="AJ25" si="62">+AJ23+AJ24</f>
        <v>269.26116469336421</v>
      </c>
      <c r="AK25" s="4">
        <f t="shared" ref="AK25" si="63">+AK23+AK24</f>
        <v>314.934714734708</v>
      </c>
      <c r="AL25" s="4">
        <f t="shared" ref="AL25" si="64">+AL23+AL24</f>
        <v>370.87329778745061</v>
      </c>
      <c r="AM25" s="4">
        <f t="shared" ref="AM25" si="65">+AM23+AM24</f>
        <v>436.77956901373</v>
      </c>
      <c r="AN25" s="4">
        <f t="shared" ref="AN25" si="66">+AN23+AN24</f>
        <v>512.42860645138308</v>
      </c>
    </row>
    <row r="26" spans="2:105" s="3" customFormat="1" x14ac:dyDescent="0.2">
      <c r="B26" s="3" t="s">
        <v>32</v>
      </c>
      <c r="C26" s="4"/>
      <c r="D26" s="4"/>
      <c r="E26" s="4"/>
      <c r="F26" s="4"/>
      <c r="G26" s="4">
        <f>4.217-301.402</f>
        <v>-297.185</v>
      </c>
      <c r="H26" s="4">
        <f>-8.143+255.852</f>
        <v>247.709</v>
      </c>
      <c r="I26" s="4">
        <f>52.34-101.917</f>
        <v>-49.576999999999998</v>
      </c>
      <c r="J26" s="4">
        <f>52.34-101.917</f>
        <v>-49.576999999999998</v>
      </c>
      <c r="K26" s="4">
        <f>40.9-99.69</f>
        <v>-58.79</v>
      </c>
      <c r="L26" s="4">
        <f>58.495-95.841</f>
        <v>-37.345999999999997</v>
      </c>
      <c r="M26" s="4">
        <f>-95.195-93.208+1.875</f>
        <v>-186.52799999999999</v>
      </c>
      <c r="N26" s="4">
        <f>-92.845-13.985-2.76</f>
        <v>-109.59</v>
      </c>
      <c r="O26" s="4"/>
      <c r="P26" s="4"/>
      <c r="Q26" s="4"/>
      <c r="R26" s="4"/>
      <c r="Y26" s="3">
        <f>SUM(K26:N26)</f>
        <v>-392.25400000000002</v>
      </c>
      <c r="AA26" s="3">
        <f>+AA25*0.3</f>
        <v>35.35126500000019</v>
      </c>
      <c r="AB26" s="3">
        <f t="shared" ref="AB26:AN26" si="67">+AB25*0.3</f>
        <v>81.515927100000084</v>
      </c>
      <c r="AC26" s="3">
        <f t="shared" si="67"/>
        <v>87.139022700000254</v>
      </c>
      <c r="AD26" s="3">
        <f t="shared" si="67"/>
        <v>72.770222760000252</v>
      </c>
      <c r="AE26" s="3">
        <f t="shared" si="67"/>
        <v>63.865802775000247</v>
      </c>
      <c r="AF26" s="3">
        <f t="shared" si="67"/>
        <v>59.602199747550273</v>
      </c>
      <c r="AG26" s="3">
        <f t="shared" si="67"/>
        <v>59.463600729847798</v>
      </c>
      <c r="AH26" s="3">
        <f t="shared" si="67"/>
        <v>63.102812506268215</v>
      </c>
      <c r="AI26" s="3">
        <f t="shared" si="67"/>
        <v>70.270439042016861</v>
      </c>
      <c r="AJ26" s="3">
        <f t="shared" si="67"/>
        <v>80.778349408009262</v>
      </c>
      <c r="AK26" s="3">
        <f t="shared" si="67"/>
        <v>94.480414420412401</v>
      </c>
      <c r="AL26" s="3">
        <f t="shared" si="67"/>
        <v>111.26198933623517</v>
      </c>
      <c r="AM26" s="3">
        <f t="shared" si="67"/>
        <v>131.03387070411898</v>
      </c>
      <c r="AN26" s="3">
        <f t="shared" si="67"/>
        <v>153.72858193541492</v>
      </c>
    </row>
    <row r="27" spans="2:105" s="3" customFormat="1" x14ac:dyDescent="0.2">
      <c r="B27" s="3" t="s">
        <v>33</v>
      </c>
      <c r="C27" s="4"/>
      <c r="D27" s="4"/>
      <c r="E27" s="4"/>
      <c r="F27" s="4"/>
      <c r="G27" s="4">
        <f t="shared" ref="G27:N27" si="68">+G25-G26</f>
        <v>342.00800000000004</v>
      </c>
      <c r="H27" s="4">
        <f t="shared" si="68"/>
        <v>-216.76700000000005</v>
      </c>
      <c r="I27" s="4">
        <f t="shared" si="68"/>
        <v>114.101</v>
      </c>
      <c r="J27" s="4">
        <f t="shared" si="68"/>
        <v>273.3250000000001</v>
      </c>
      <c r="K27" s="4">
        <f t="shared" si="68"/>
        <v>9.7079999999998776</v>
      </c>
      <c r="L27" s="4">
        <f t="shared" si="68"/>
        <v>11.115999999999964</v>
      </c>
      <c r="M27" s="4">
        <f t="shared" si="68"/>
        <v>163.92099999999994</v>
      </c>
      <c r="N27" s="4">
        <f t="shared" si="68"/>
        <v>75.534000000000106</v>
      </c>
      <c r="O27" s="4">
        <f t="shared" ref="O27" si="69">+O25-O26</f>
        <v>-53.567000000000007</v>
      </c>
      <c r="P27" s="4">
        <f t="shared" ref="P27" si="70">+P25-P26</f>
        <v>0</v>
      </c>
      <c r="Q27" s="4">
        <f t="shared" ref="Q27" si="71">+Q25-Q26</f>
        <v>0</v>
      </c>
      <c r="R27" s="4">
        <f t="shared" ref="R27" si="72">+R25-R26</f>
        <v>0</v>
      </c>
      <c r="V27" s="4">
        <f t="shared" ref="V27:X27" si="73">+V25-V26</f>
        <v>838.35700000000043</v>
      </c>
      <c r="W27" s="4">
        <f t="shared" si="73"/>
        <v>622.13799999999992</v>
      </c>
      <c r="X27" s="4">
        <f t="shared" si="73"/>
        <v>303.66199999999981</v>
      </c>
      <c r="Y27" s="4">
        <f t="shared" ref="Y27" si="74">+Y25-Y26</f>
        <v>260.58000000000021</v>
      </c>
      <c r="Z27" s="4">
        <f t="shared" ref="Z27" si="75">+Z25-Z26</f>
        <v>-100.19250000000011</v>
      </c>
      <c r="AA27" s="4">
        <f t="shared" ref="AA27" si="76">+AA25-AA26</f>
        <v>82.486285000000464</v>
      </c>
      <c r="AB27" s="4">
        <f t="shared" ref="AB27" si="77">+AB25-AB26</f>
        <v>190.20382990000022</v>
      </c>
      <c r="AC27" s="4">
        <f t="shared" ref="AC27" si="78">+AC25-AC26</f>
        <v>203.32438630000061</v>
      </c>
      <c r="AD27" s="4">
        <f t="shared" ref="AD27" si="79">+AD25-AD26</f>
        <v>169.79718644000059</v>
      </c>
      <c r="AE27" s="4">
        <f t="shared" ref="AE27" si="80">+AE25-AE26</f>
        <v>149.02020647500058</v>
      </c>
      <c r="AF27" s="4">
        <f t="shared" ref="AF27" si="81">+AF25-AF26</f>
        <v>139.07179941095063</v>
      </c>
      <c r="AG27" s="4">
        <f t="shared" ref="AG27" si="82">+AG25-AG26</f>
        <v>138.74840170297821</v>
      </c>
      <c r="AH27" s="4">
        <f t="shared" ref="AH27" si="83">+AH25-AH26</f>
        <v>147.23989584795919</v>
      </c>
      <c r="AI27" s="4">
        <f t="shared" ref="AI27" si="84">+AI25-AI26</f>
        <v>163.96435776470605</v>
      </c>
      <c r="AJ27" s="4">
        <f t="shared" ref="AJ27" si="85">+AJ25-AJ26</f>
        <v>188.48281528535495</v>
      </c>
      <c r="AK27" s="4">
        <f t="shared" ref="AK27" si="86">+AK25-AK26</f>
        <v>220.45430031429561</v>
      </c>
      <c r="AL27" s="4">
        <f t="shared" ref="AL27" si="87">+AL25-AL26</f>
        <v>259.61130845121545</v>
      </c>
      <c r="AM27" s="4">
        <f t="shared" ref="AM27" si="88">+AM25-AM26</f>
        <v>305.74569830961104</v>
      </c>
      <c r="AN27" s="4">
        <f t="shared" ref="AN27" si="89">+AN25-AN26</f>
        <v>358.70002451596815</v>
      </c>
      <c r="AO27" s="3">
        <f>+AN27*(1+$AQ$31)</f>
        <v>347.93902378048909</v>
      </c>
      <c r="AP27" s="3">
        <f t="shared" ref="AP27:DA27" si="90">+AO27*(1+$AQ$31)</f>
        <v>337.50085306707439</v>
      </c>
      <c r="AQ27" s="3">
        <f t="shared" si="90"/>
        <v>327.37582747506212</v>
      </c>
      <c r="AR27" s="3">
        <f t="shared" si="90"/>
        <v>317.55455265081025</v>
      </c>
      <c r="AS27" s="3">
        <f t="shared" si="90"/>
        <v>308.02791607128592</v>
      </c>
      <c r="AT27" s="3">
        <f t="shared" si="90"/>
        <v>298.78707858914731</v>
      </c>
      <c r="AU27" s="3">
        <f t="shared" si="90"/>
        <v>289.82346623147288</v>
      </c>
      <c r="AV27" s="3">
        <f t="shared" si="90"/>
        <v>281.12876224452867</v>
      </c>
      <c r="AW27" s="3">
        <f t="shared" si="90"/>
        <v>272.69489937719283</v>
      </c>
      <c r="AX27" s="3">
        <f t="shared" si="90"/>
        <v>264.51405239587706</v>
      </c>
      <c r="AY27" s="3">
        <f t="shared" si="90"/>
        <v>256.57863082400075</v>
      </c>
      <c r="AZ27" s="3">
        <f t="shared" si="90"/>
        <v>248.88127189928073</v>
      </c>
      <c r="BA27" s="3">
        <f t="shared" si="90"/>
        <v>241.41483374230231</v>
      </c>
      <c r="BB27" s="3">
        <f t="shared" si="90"/>
        <v>234.17238873003322</v>
      </c>
      <c r="BC27" s="3">
        <f t="shared" si="90"/>
        <v>227.14721706813222</v>
      </c>
      <c r="BD27" s="3">
        <f t="shared" si="90"/>
        <v>220.33280055608824</v>
      </c>
      <c r="BE27" s="3">
        <f t="shared" si="90"/>
        <v>213.72281653940558</v>
      </c>
      <c r="BF27" s="3">
        <f t="shared" si="90"/>
        <v>207.31113204322341</v>
      </c>
      <c r="BG27" s="3">
        <f t="shared" si="90"/>
        <v>201.0917980819267</v>
      </c>
      <c r="BH27" s="3">
        <f t="shared" si="90"/>
        <v>195.05904413946888</v>
      </c>
      <c r="BI27" s="3">
        <f t="shared" si="90"/>
        <v>189.2072728152848</v>
      </c>
      <c r="BJ27" s="3">
        <f t="shared" si="90"/>
        <v>183.53105463082625</v>
      </c>
      <c r="BK27" s="3">
        <f t="shared" si="90"/>
        <v>178.02512299190147</v>
      </c>
      <c r="BL27" s="3">
        <f t="shared" si="90"/>
        <v>172.68436930214443</v>
      </c>
      <c r="BM27" s="3">
        <f t="shared" si="90"/>
        <v>167.50383822308009</v>
      </c>
      <c r="BN27" s="3">
        <f t="shared" si="90"/>
        <v>162.47872307638769</v>
      </c>
      <c r="BO27" s="3">
        <f t="shared" si="90"/>
        <v>157.60436138409605</v>
      </c>
      <c r="BP27" s="3">
        <f t="shared" si="90"/>
        <v>152.87623054257315</v>
      </c>
      <c r="BQ27" s="3">
        <f t="shared" si="90"/>
        <v>148.28994362629595</v>
      </c>
      <c r="BR27" s="3">
        <f t="shared" si="90"/>
        <v>143.84124531750706</v>
      </c>
      <c r="BS27" s="3">
        <f t="shared" si="90"/>
        <v>139.52600795798185</v>
      </c>
      <c r="BT27" s="3">
        <f t="shared" si="90"/>
        <v>135.34022771924239</v>
      </c>
      <c r="BU27" s="3">
        <f t="shared" si="90"/>
        <v>131.28002088766513</v>
      </c>
      <c r="BV27" s="3">
        <f t="shared" si="90"/>
        <v>127.34162026103517</v>
      </c>
      <c r="BW27" s="3">
        <f t="shared" si="90"/>
        <v>123.52137165320411</v>
      </c>
      <c r="BX27" s="3">
        <f t="shared" si="90"/>
        <v>119.81573050360798</v>
      </c>
      <c r="BY27" s="3">
        <f t="shared" si="90"/>
        <v>116.22125858849974</v>
      </c>
      <c r="BZ27" s="3">
        <f t="shared" si="90"/>
        <v>112.73462083084475</v>
      </c>
      <c r="CA27" s="3">
        <f t="shared" si="90"/>
        <v>109.3525822059194</v>
      </c>
      <c r="CB27" s="3">
        <f t="shared" si="90"/>
        <v>106.07200473974181</v>
      </c>
      <c r="CC27" s="3">
        <f t="shared" si="90"/>
        <v>102.88984459754955</v>
      </c>
      <c r="CD27" s="3">
        <f t="shared" si="90"/>
        <v>99.803149259623069</v>
      </c>
      <c r="CE27" s="3">
        <f t="shared" si="90"/>
        <v>96.809054781834377</v>
      </c>
      <c r="CF27" s="3">
        <f t="shared" si="90"/>
        <v>93.904783138379344</v>
      </c>
      <c r="CG27" s="3">
        <f t="shared" si="90"/>
        <v>91.087639644227963</v>
      </c>
      <c r="CH27" s="3">
        <f t="shared" si="90"/>
        <v>88.355010454901119</v>
      </c>
      <c r="CI27" s="3">
        <f t="shared" si="90"/>
        <v>85.704360141254085</v>
      </c>
      <c r="CJ27" s="3">
        <f t="shared" si="90"/>
        <v>83.133229337016459</v>
      </c>
      <c r="CK27" s="3">
        <f t="shared" si="90"/>
        <v>80.639232456905958</v>
      </c>
      <c r="CL27" s="3">
        <f t="shared" si="90"/>
        <v>78.220055483198777</v>
      </c>
      <c r="CM27" s="3">
        <f t="shared" si="90"/>
        <v>75.873453818702814</v>
      </c>
      <c r="CN27" s="3">
        <f t="shared" si="90"/>
        <v>73.59725020414173</v>
      </c>
      <c r="CO27" s="3">
        <f t="shared" si="90"/>
        <v>71.389332698017469</v>
      </c>
      <c r="CP27" s="3">
        <f t="shared" si="90"/>
        <v>69.247652717076946</v>
      </c>
      <c r="CQ27" s="3">
        <f t="shared" si="90"/>
        <v>67.17022313556464</v>
      </c>
      <c r="CR27" s="3">
        <f t="shared" si="90"/>
        <v>65.155116441497697</v>
      </c>
      <c r="CS27" s="3">
        <f t="shared" si="90"/>
        <v>63.200462948252763</v>
      </c>
      <c r="CT27" s="3">
        <f t="shared" si="90"/>
        <v>61.304449059805179</v>
      </c>
      <c r="CU27" s="3">
        <f t="shared" si="90"/>
        <v>59.465315588011023</v>
      </c>
      <c r="CV27" s="3">
        <f t="shared" si="90"/>
        <v>57.681356120370694</v>
      </c>
      <c r="CW27" s="3">
        <f t="shared" si="90"/>
        <v>55.950915436759573</v>
      </c>
      <c r="CX27" s="3">
        <f t="shared" si="90"/>
        <v>54.272387973656784</v>
      </c>
      <c r="CY27" s="3">
        <f t="shared" si="90"/>
        <v>52.64421633444708</v>
      </c>
      <c r="CZ27" s="3">
        <f t="shared" si="90"/>
        <v>51.064889844413663</v>
      </c>
      <c r="DA27" s="3">
        <f t="shared" si="90"/>
        <v>49.532943149081255</v>
      </c>
    </row>
    <row r="28" spans="2:105" x14ac:dyDescent="0.2">
      <c r="B28" s="3" t="s">
        <v>35</v>
      </c>
      <c r="C28" s="7"/>
      <c r="D28" s="7"/>
      <c r="E28" s="7"/>
      <c r="F28" s="7"/>
      <c r="G28" s="7">
        <f t="shared" ref="G28:N28" si="91">G27/G29</f>
        <v>0.33158945919218169</v>
      </c>
      <c r="H28" s="7">
        <f t="shared" si="91"/>
        <v>-0.21362837195917583</v>
      </c>
      <c r="I28" s="7">
        <f t="shared" si="91"/>
        <v>0.11322992220845039</v>
      </c>
      <c r="J28" s="7">
        <f t="shared" si="91"/>
        <v>0.28393685605832392</v>
      </c>
      <c r="K28" s="7">
        <f t="shared" si="91"/>
        <v>1.0240765589002124E-2</v>
      </c>
      <c r="L28" s="7">
        <f t="shared" si="91"/>
        <v>1.1856194050784492E-2</v>
      </c>
      <c r="M28" s="7">
        <f t="shared" si="91"/>
        <v>0.17310710144529601</v>
      </c>
      <c r="N28" s="7">
        <f t="shared" si="91"/>
        <v>8.0063598060259283E-2</v>
      </c>
      <c r="O28" s="7">
        <f t="shared" ref="O28" si="92">O27/O29</f>
        <v>-5.6779288231708941E-2</v>
      </c>
      <c r="P28" s="7">
        <f t="shared" ref="P28" si="93">P27/P29</f>
        <v>0</v>
      </c>
      <c r="Q28" s="7">
        <f t="shared" ref="Q28" si="94">Q27/Q29</f>
        <v>0</v>
      </c>
      <c r="R28" s="7">
        <f t="shared" ref="R28" si="95">R27/R29</f>
        <v>0</v>
      </c>
      <c r="V28" s="7">
        <f t="shared" ref="V28:X28" si="96">V27/V29</f>
        <v>0.69694306953328067</v>
      </c>
      <c r="W28" s="7">
        <f t="shared" si="96"/>
        <v>0.58099702001567033</v>
      </c>
      <c r="X28" s="7">
        <f t="shared" si="96"/>
        <v>0.30241966003656962</v>
      </c>
      <c r="Y28" s="7">
        <f t="shared" ref="Y28" si="97">Y27/Y29</f>
        <v>0.27604515369034827</v>
      </c>
      <c r="Z28" s="7">
        <f t="shared" ref="Z28" si="98">Z27/Z29</f>
        <v>-0.10613882132596601</v>
      </c>
      <c r="AA28" s="7">
        <f t="shared" ref="AA28" si="99">AA27/AA29</f>
        <v>8.7381760765104677E-2</v>
      </c>
      <c r="AB28" s="7">
        <f t="shared" ref="AB28" si="100">AB27/AB29</f>
        <v>0.20149223062874499</v>
      </c>
      <c r="AC28" s="7">
        <f t="shared" ref="AC28" si="101">AC27/AC29</f>
        <v>0.2153914784909792</v>
      </c>
      <c r="AD28" s="7">
        <f t="shared" ref="AD28" si="102">AD27/AD29</f>
        <v>0.17987447396967779</v>
      </c>
      <c r="AE28" s="7">
        <f t="shared" ref="AE28" si="103">AE27/AE29</f>
        <v>0.15786440171678154</v>
      </c>
      <c r="AF28" s="7">
        <f t="shared" ref="AF28" si="104">AF27/AF29</f>
        <v>0.14732556697516738</v>
      </c>
      <c r="AG28" s="7">
        <f t="shared" ref="AG28" si="105">AG27/AG29</f>
        <v>0.14698297594745863</v>
      </c>
      <c r="AH28" s="7">
        <f t="shared" ref="AH28" si="106">AH27/AH29</f>
        <v>0.15597843149397778</v>
      </c>
      <c r="AI28" s="7">
        <f t="shared" ref="AI28" si="107">AI27/AI29</f>
        <v>0.17369547294073792</v>
      </c>
      <c r="AJ28" s="7">
        <f t="shared" ref="AJ28" si="108">AJ27/AJ29</f>
        <v>0.1996690755753906</v>
      </c>
      <c r="AK28" s="7">
        <f t="shared" ref="AK28" si="109">AK27/AK29</f>
        <v>0.23353803519824187</v>
      </c>
      <c r="AL28" s="7">
        <f t="shared" ref="AL28" si="110">AL27/AL29</f>
        <v>0.27501897129928665</v>
      </c>
      <c r="AM28" s="7">
        <f t="shared" ref="AM28" si="111">AM27/AM29</f>
        <v>0.32389138951584678</v>
      </c>
      <c r="AN28" s="7">
        <f t="shared" ref="AN28" si="112">AN27/AN29</f>
        <v>0.37998850025420999</v>
      </c>
    </row>
    <row r="29" spans="2:105" s="3" customFormat="1" x14ac:dyDescent="0.2">
      <c r="B29" s="3" t="s">
        <v>14</v>
      </c>
      <c r="C29" s="4"/>
      <c r="D29" s="4"/>
      <c r="E29" s="4"/>
      <c r="F29" s="4"/>
      <c r="G29" s="4">
        <v>1031.42</v>
      </c>
      <c r="H29" s="4">
        <v>1014.692</v>
      </c>
      <c r="I29" s="4">
        <v>1007.693</v>
      </c>
      <c r="J29" s="4">
        <v>962.62599999999998</v>
      </c>
      <c r="K29" s="4">
        <v>947.976</v>
      </c>
      <c r="L29" s="4">
        <v>937.56899999999996</v>
      </c>
      <c r="M29" s="4">
        <v>946.93399999999997</v>
      </c>
      <c r="N29" s="4">
        <v>943.42499999999995</v>
      </c>
      <c r="O29" s="4">
        <f>+N29</f>
        <v>943.42499999999995</v>
      </c>
      <c r="P29" s="4">
        <f t="shared" ref="P29:R29" si="113">+O29</f>
        <v>943.42499999999995</v>
      </c>
      <c r="Q29" s="4">
        <f t="shared" si="113"/>
        <v>943.42499999999995</v>
      </c>
      <c r="R29" s="4">
        <f t="shared" si="113"/>
        <v>943.42499999999995</v>
      </c>
      <c r="V29" s="3">
        <v>1202.9059999999999</v>
      </c>
      <c r="W29" s="3">
        <v>1070.8109999999999</v>
      </c>
      <c r="X29" s="3">
        <v>1004.1079999999999</v>
      </c>
      <c r="Y29" s="3">
        <f>AVERAGE(K29:N29)</f>
        <v>943.97600000000011</v>
      </c>
      <c r="Z29" s="3">
        <f>Y29</f>
        <v>943.97600000000011</v>
      </c>
      <c r="AA29" s="3">
        <f t="shared" ref="AA29:AN29" si="114">Z29</f>
        <v>943.97600000000011</v>
      </c>
      <c r="AB29" s="3">
        <f t="shared" si="114"/>
        <v>943.97600000000011</v>
      </c>
      <c r="AC29" s="3">
        <f t="shared" si="114"/>
        <v>943.97600000000011</v>
      </c>
      <c r="AD29" s="3">
        <f t="shared" si="114"/>
        <v>943.97600000000011</v>
      </c>
      <c r="AE29" s="3">
        <f t="shared" si="114"/>
        <v>943.97600000000011</v>
      </c>
      <c r="AF29" s="3">
        <f t="shared" si="114"/>
        <v>943.97600000000011</v>
      </c>
      <c r="AG29" s="3">
        <f t="shared" si="114"/>
        <v>943.97600000000011</v>
      </c>
      <c r="AH29" s="3">
        <f t="shared" si="114"/>
        <v>943.97600000000011</v>
      </c>
      <c r="AI29" s="3">
        <f t="shared" si="114"/>
        <v>943.97600000000011</v>
      </c>
      <c r="AJ29" s="3">
        <f t="shared" si="114"/>
        <v>943.97600000000011</v>
      </c>
      <c r="AK29" s="3">
        <f t="shared" si="114"/>
        <v>943.97600000000011</v>
      </c>
      <c r="AL29" s="3">
        <f t="shared" si="114"/>
        <v>943.97600000000011</v>
      </c>
      <c r="AM29" s="3">
        <f t="shared" si="114"/>
        <v>943.97600000000011</v>
      </c>
      <c r="AN29" s="3">
        <f t="shared" si="114"/>
        <v>943.97600000000011</v>
      </c>
    </row>
    <row r="30" spans="2:105" x14ac:dyDescent="0.2">
      <c r="N30" s="4"/>
    </row>
    <row r="31" spans="2:105" s="12" customFormat="1" x14ac:dyDescent="0.2">
      <c r="B31" s="5" t="s">
        <v>36</v>
      </c>
      <c r="C31" s="10"/>
      <c r="D31" s="10"/>
      <c r="E31" s="10"/>
      <c r="F31" s="10"/>
      <c r="G31" s="10"/>
      <c r="H31" s="10"/>
      <c r="I31" s="10"/>
      <c r="J31" s="10"/>
      <c r="K31" s="11">
        <f>K14/G14-1</f>
        <v>8.2082965578111233E-2</v>
      </c>
      <c r="L31" s="11">
        <f>L14/H14-1</f>
        <v>0.14667896678966796</v>
      </c>
      <c r="M31" s="11">
        <f>M14/I14-1</f>
        <v>6.7944250871080136E-2</v>
      </c>
      <c r="N31" s="11">
        <f>N14/J14-1</f>
        <v>1.596169193934549E-2</v>
      </c>
      <c r="O31" s="11">
        <f t="shared" ref="O31:R31" si="115">O14/K14-1</f>
        <v>-6.4804241435562848E-2</v>
      </c>
      <c r="P31" s="11">
        <f t="shared" si="115"/>
        <v>-5.804505229283996E-2</v>
      </c>
      <c r="Q31" s="11">
        <f t="shared" si="115"/>
        <v>-5.0163132137030941E-2</v>
      </c>
      <c r="R31" s="11">
        <f t="shared" si="115"/>
        <v>-2.333071484681859E-2</v>
      </c>
      <c r="V31" s="13">
        <f t="shared" ref="V31:W31" si="116">V14/U14-1</f>
        <v>4.7490078144951653E-4</v>
      </c>
      <c r="W31" s="13">
        <f t="shared" si="116"/>
        <v>-6.1402175364769995E-2</v>
      </c>
      <c r="X31" s="13">
        <f>X14/W14-1</f>
        <v>-1.3299561146744576E-2</v>
      </c>
      <c r="Y31" s="13">
        <f>Y14/X14-1</f>
        <v>7.5824581059055873E-2</v>
      </c>
      <c r="Z31" s="13">
        <f>Z14/Y14-1</f>
        <v>-4.8930409007022835E-2</v>
      </c>
      <c r="AA31" s="13">
        <f t="shared" ref="AA31:AN31" si="117">AA14/Z14-1</f>
        <v>-3.6324388385676643E-2</v>
      </c>
      <c r="AB31" s="13">
        <f t="shared" si="117"/>
        <v>-1.6775446024648866E-2</v>
      </c>
      <c r="AC31" s="13">
        <f t="shared" si="117"/>
        <v>-2.7264666177667207E-2</v>
      </c>
      <c r="AD31" s="13">
        <f t="shared" si="117"/>
        <v>-1.8961503876119279E-2</v>
      </c>
      <c r="AE31" s="13">
        <f t="shared" si="117"/>
        <v>-1.1977656865593045E-2</v>
      </c>
      <c r="AF31" s="13">
        <f t="shared" si="117"/>
        <v>-5.8046525296245877E-3</v>
      </c>
      <c r="AG31" s="13">
        <f t="shared" si="117"/>
        <v>-1.8979636548777101E-4</v>
      </c>
      <c r="AH31" s="13">
        <f t="shared" si="117"/>
        <v>4.9844529840998852E-3</v>
      </c>
      <c r="AI31" s="13">
        <f t="shared" si="117"/>
        <v>9.7684621930478333E-3</v>
      </c>
      <c r="AJ31" s="13">
        <f t="shared" si="117"/>
        <v>1.4182258223170763E-2</v>
      </c>
      <c r="AK31" s="13">
        <f t="shared" si="117"/>
        <v>1.8234717688007551E-2</v>
      </c>
      <c r="AL31" s="13">
        <f t="shared" si="117"/>
        <v>2.1932989742200482E-2</v>
      </c>
      <c r="AM31" s="13">
        <f t="shared" si="117"/>
        <v>2.5286615003431434E-2</v>
      </c>
      <c r="AN31" s="13">
        <f t="shared" si="117"/>
        <v>2.8308839992761792E-2</v>
      </c>
      <c r="AP31" s="12" t="s">
        <v>109</v>
      </c>
      <c r="AQ31" s="13">
        <v>-0.03</v>
      </c>
    </row>
    <row r="32" spans="2:105" x14ac:dyDescent="0.2">
      <c r="B32" s="3" t="s">
        <v>50</v>
      </c>
      <c r="K32" s="8">
        <f t="shared" ref="K32:L32" si="118">K6/G6-1</f>
        <v>0.57826086956521738</v>
      </c>
      <c r="L32" s="8">
        <f t="shared" si="118"/>
        <v>0.60240963855421681</v>
      </c>
      <c r="M32" s="8">
        <f>M6/I6-1</f>
        <v>0.43050847457627128</v>
      </c>
      <c r="N32" s="8">
        <f>N6/J6-1</f>
        <v>0.2586666666666666</v>
      </c>
      <c r="O32" s="8">
        <f t="shared" ref="O32:R32" si="119">O6/K6-1</f>
        <v>0.14999999999999991</v>
      </c>
      <c r="P32" s="8">
        <f t="shared" si="119"/>
        <v>0.14999999999999991</v>
      </c>
      <c r="Q32" s="8">
        <f t="shared" si="119"/>
        <v>0.14999999999999991</v>
      </c>
      <c r="R32" s="8">
        <f t="shared" si="119"/>
        <v>0.14999999999999991</v>
      </c>
      <c r="X32" s="9"/>
      <c r="Y32" s="9">
        <f t="shared" ref="Y32" si="120">Y6/X6-1</f>
        <v>0.4412532637075719</v>
      </c>
      <c r="Z32" s="9">
        <f>Z6/Y6-1</f>
        <v>0.14999999999999991</v>
      </c>
      <c r="AA32" s="9">
        <f t="shared" ref="AA32:AN32" si="121">AA6/Z6-1</f>
        <v>0.10000000000000009</v>
      </c>
      <c r="AB32" s="9">
        <f t="shared" si="121"/>
        <v>0.10000000000000009</v>
      </c>
      <c r="AC32" s="9">
        <f t="shared" si="121"/>
        <v>5.0000000000000044E-2</v>
      </c>
      <c r="AD32" s="9">
        <f t="shared" si="121"/>
        <v>5.0000000000000044E-2</v>
      </c>
      <c r="AE32" s="9">
        <f t="shared" si="121"/>
        <v>5.0000000000000044E-2</v>
      </c>
      <c r="AF32" s="9">
        <f t="shared" si="121"/>
        <v>5.0000000000000044E-2</v>
      </c>
      <c r="AG32" s="9">
        <f t="shared" si="121"/>
        <v>5.0000000000000044E-2</v>
      </c>
      <c r="AH32" s="9">
        <f t="shared" si="121"/>
        <v>5.0000000000000044E-2</v>
      </c>
      <c r="AI32" s="9">
        <f t="shared" si="121"/>
        <v>5.0000000000000044E-2</v>
      </c>
      <c r="AJ32" s="9">
        <f t="shared" si="121"/>
        <v>5.0000000000000044E-2</v>
      </c>
      <c r="AK32" s="9">
        <f t="shared" si="121"/>
        <v>5.0000000000000044E-2</v>
      </c>
      <c r="AL32" s="9">
        <f t="shared" si="121"/>
        <v>5.0000000000000044E-2</v>
      </c>
      <c r="AM32" s="9">
        <f t="shared" si="121"/>
        <v>5.0000000000000044E-2</v>
      </c>
      <c r="AN32" s="9">
        <f t="shared" si="121"/>
        <v>5.0000000000000044E-2</v>
      </c>
      <c r="AP32" t="s">
        <v>110</v>
      </c>
      <c r="AQ32" s="9">
        <v>0.06</v>
      </c>
    </row>
    <row r="33" spans="2:43" x14ac:dyDescent="0.2">
      <c r="B33" s="3" t="s">
        <v>51</v>
      </c>
      <c r="K33" s="8">
        <f t="shared" ref="K33:L33" si="122">+K7/G7-1</f>
        <v>-7.2319201995012516E-2</v>
      </c>
      <c r="L33" s="8">
        <f t="shared" si="122"/>
        <v>-2.2911051212938016E-2</v>
      </c>
      <c r="M33" s="8">
        <f>+M7/I7-1</f>
        <v>-4.6767537826684968E-2</v>
      </c>
      <c r="N33" s="8">
        <f>+N7/J7-1</f>
        <v>-1.3315579227696217E-3</v>
      </c>
      <c r="O33" s="8">
        <f t="shared" ref="O33:R33" si="123">+O7/K7-1</f>
        <v>-9.9999999999999978E-2</v>
      </c>
      <c r="P33" s="8">
        <f t="shared" si="123"/>
        <v>-9.9999999999999978E-2</v>
      </c>
      <c r="Q33" s="8">
        <f t="shared" si="123"/>
        <v>-9.9999999999999978E-2</v>
      </c>
      <c r="R33" s="8">
        <f t="shared" si="123"/>
        <v>-9.9999999999999978E-2</v>
      </c>
      <c r="X33" s="9"/>
      <c r="Y33" s="9">
        <f t="shared" ref="Y33:Z33" si="124">Y7/X7-1</f>
        <v>-3.6399735274652567E-2</v>
      </c>
      <c r="Z33" s="9">
        <f t="shared" si="124"/>
        <v>-9.9999999999999978E-2</v>
      </c>
      <c r="AA33" s="9">
        <f t="shared" ref="AA33:AN33" si="125">AA7/Z7-1</f>
        <v>-9.9999999999999978E-2</v>
      </c>
      <c r="AB33" s="9">
        <f t="shared" si="125"/>
        <v>-9.9999999999999978E-2</v>
      </c>
      <c r="AC33" s="9">
        <f t="shared" si="125"/>
        <v>-9.9999999999999978E-2</v>
      </c>
      <c r="AD33" s="9">
        <f t="shared" si="125"/>
        <v>-9.9999999999999978E-2</v>
      </c>
      <c r="AE33" s="9">
        <f t="shared" si="125"/>
        <v>-0.10000000000000009</v>
      </c>
      <c r="AF33" s="9">
        <f t="shared" si="125"/>
        <v>-9.9999999999999978E-2</v>
      </c>
      <c r="AG33" s="9">
        <f t="shared" si="125"/>
        <v>-9.9999999999999867E-2</v>
      </c>
      <c r="AH33" s="9">
        <f t="shared" si="125"/>
        <v>-9.9999999999999867E-2</v>
      </c>
      <c r="AI33" s="9">
        <f t="shared" si="125"/>
        <v>-9.9999999999999978E-2</v>
      </c>
      <c r="AJ33" s="9">
        <f t="shared" si="125"/>
        <v>-9.9999999999999978E-2</v>
      </c>
      <c r="AK33" s="9">
        <f t="shared" si="125"/>
        <v>-9.9999999999999978E-2</v>
      </c>
      <c r="AL33" s="9">
        <f t="shared" si="125"/>
        <v>-9.9999999999999978E-2</v>
      </c>
      <c r="AM33" s="9">
        <f t="shared" si="125"/>
        <v>-9.9999999999999978E-2</v>
      </c>
      <c r="AN33" s="9">
        <f t="shared" si="125"/>
        <v>-9.9999999999999978E-2</v>
      </c>
      <c r="AP33" t="s">
        <v>111</v>
      </c>
      <c r="AQ33" s="3">
        <f>NPV(AQ32,AA27:DA27)</f>
        <v>3400.3910541417345</v>
      </c>
    </row>
    <row r="34" spans="2:43" x14ac:dyDescent="0.2">
      <c r="B34" s="3" t="s">
        <v>55</v>
      </c>
      <c r="K34" s="8"/>
      <c r="L34" s="8"/>
      <c r="M34" s="8"/>
      <c r="N34" s="8">
        <f>N3/J3-1</f>
        <v>0.14566929133858264</v>
      </c>
      <c r="O34" s="8"/>
      <c r="P34" s="8"/>
      <c r="Q34" s="8"/>
      <c r="R34" s="8"/>
      <c r="X34" s="9"/>
      <c r="Y34" s="9"/>
    </row>
    <row r="35" spans="2:43" x14ac:dyDescent="0.2">
      <c r="B35" s="3" t="s">
        <v>56</v>
      </c>
      <c r="N35" s="8">
        <f>N4/J4-1</f>
        <v>6.7660550458715552E-2</v>
      </c>
    </row>
    <row r="36" spans="2:43" x14ac:dyDescent="0.2">
      <c r="N36" s="8"/>
    </row>
    <row r="37" spans="2:43" x14ac:dyDescent="0.2">
      <c r="B37" s="3" t="s">
        <v>37</v>
      </c>
      <c r="C37" s="8"/>
      <c r="D37" s="8"/>
      <c r="E37" s="8"/>
      <c r="F37" s="8"/>
      <c r="G37" s="8">
        <f t="shared" ref="G37:R37" si="126">G18/G14</f>
        <v>0.70034245366284209</v>
      </c>
      <c r="H37" s="8">
        <f t="shared" si="126"/>
        <v>0.68670479704797038</v>
      </c>
      <c r="I37" s="8">
        <f t="shared" si="126"/>
        <v>0.69788588850174216</v>
      </c>
      <c r="J37" s="8">
        <f t="shared" si="126"/>
        <v>0.71155307262569834</v>
      </c>
      <c r="K37" s="8">
        <f t="shared" si="126"/>
        <v>0.61794290375203909</v>
      </c>
      <c r="L37" s="8">
        <f t="shared" si="126"/>
        <v>0.60083507642799672</v>
      </c>
      <c r="M37" s="8">
        <f t="shared" si="126"/>
        <v>0.57090130505709624</v>
      </c>
      <c r="N37" s="8">
        <f t="shared" si="126"/>
        <v>0.53879890023566379</v>
      </c>
      <c r="O37" s="8">
        <f t="shared" si="126"/>
        <v>0.54</v>
      </c>
      <c r="P37" s="8">
        <f t="shared" si="126"/>
        <v>0</v>
      </c>
      <c r="Q37" s="8">
        <f t="shared" si="126"/>
        <v>0</v>
      </c>
      <c r="R37" s="8">
        <f t="shared" si="126"/>
        <v>0</v>
      </c>
      <c r="V37" s="8">
        <f>V18/V14</f>
        <v>0.67501362661198105</v>
      </c>
      <c r="W37" s="8">
        <f>W18/W14</f>
        <v>0.71169434960409195</v>
      </c>
      <c r="X37" s="8">
        <f>X18/X14</f>
        <v>0.6995809778540375</v>
      </c>
      <c r="Y37" s="8">
        <f>Y18/Y14</f>
        <v>0.58179908986995754</v>
      </c>
      <c r="Z37" s="8">
        <f>Z18/Z14</f>
        <v>0.54</v>
      </c>
      <c r="AA37" s="8">
        <f t="shared" ref="AA37:AB37" si="127">AA18/AA14</f>
        <v>0.55000000000000004</v>
      </c>
      <c r="AB37" s="8">
        <f t="shared" si="127"/>
        <v>0.56000000000000005</v>
      </c>
    </row>
    <row r="38" spans="2:43" x14ac:dyDescent="0.2">
      <c r="N38" s="4"/>
    </row>
    <row r="39" spans="2:43" s="3" customFormat="1" x14ac:dyDescent="0.2">
      <c r="B39" s="3" t="s">
        <v>28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>
        <v>137.27500000000001</v>
      </c>
      <c r="N39" s="4">
        <v>132.29</v>
      </c>
      <c r="O39" s="4"/>
      <c r="P39" s="4"/>
      <c r="Q39" s="4"/>
      <c r="R39" s="4"/>
      <c r="V39" s="3">
        <v>-281.55399999999997</v>
      </c>
      <c r="W39" s="3">
        <v>1195.2470000000001</v>
      </c>
      <c r="X39" s="3">
        <v>916.35</v>
      </c>
      <c r="Y39" s="3">
        <v>-2383.422</v>
      </c>
    </row>
    <row r="40" spans="2:43" x14ac:dyDescent="0.2">
      <c r="B40" t="s">
        <v>29</v>
      </c>
      <c r="M40" s="4">
        <v>160.95500000000001</v>
      </c>
      <c r="N40" s="4">
        <v>125.818</v>
      </c>
      <c r="W40" s="3">
        <v>342.971</v>
      </c>
      <c r="X40" s="3">
        <v>413.01900000000001</v>
      </c>
      <c r="Y40" s="3">
        <v>554.16300000000001</v>
      </c>
    </row>
    <row r="41" spans="2:43" x14ac:dyDescent="0.2">
      <c r="B41" t="s">
        <v>34</v>
      </c>
      <c r="M41" s="4">
        <f>+M39-M40</f>
        <v>-23.680000000000007</v>
      </c>
      <c r="N41" s="4">
        <f>+N39-N40</f>
        <v>6.4719999999999942</v>
      </c>
      <c r="W41" s="3">
        <f>+W39-W40</f>
        <v>852.27600000000007</v>
      </c>
      <c r="X41" s="3">
        <f t="shared" ref="X41:Y41" si="128">+X39-X40</f>
        <v>503.33100000000002</v>
      </c>
      <c r="Y41" s="3">
        <f t="shared" si="128"/>
        <v>-2937.585</v>
      </c>
    </row>
    <row r="42" spans="2:43" x14ac:dyDescent="0.2">
      <c r="M42" s="4"/>
      <c r="N42" s="4"/>
    </row>
    <row r="43" spans="2:43" s="3" customFormat="1" x14ac:dyDescent="0.2">
      <c r="B43" s="3" t="s">
        <v>44</v>
      </c>
      <c r="C43" s="4"/>
      <c r="D43" s="4"/>
      <c r="E43" s="4"/>
      <c r="F43" s="4"/>
      <c r="G43" s="4"/>
      <c r="H43" s="4"/>
      <c r="I43" s="4"/>
      <c r="J43" s="4">
        <v>409.22199999999998</v>
      </c>
      <c r="K43" s="4"/>
      <c r="L43" s="4"/>
      <c r="M43" s="4">
        <v>244.23699999999999</v>
      </c>
      <c r="N43" s="4">
        <v>214.68700000000001</v>
      </c>
      <c r="O43" s="4"/>
      <c r="P43" s="4"/>
      <c r="Q43" s="4"/>
      <c r="R43" s="4"/>
    </row>
    <row r="44" spans="2:43" s="3" customFormat="1" x14ac:dyDescent="0.2">
      <c r="B44" s="3" t="s">
        <v>45</v>
      </c>
      <c r="C44" s="4"/>
      <c r="D44" s="4"/>
      <c r="E44" s="4"/>
      <c r="F44" s="4"/>
      <c r="G44" s="4"/>
      <c r="H44" s="4"/>
      <c r="I44" s="4"/>
      <c r="J44" s="4">
        <f>+J43-J40</f>
        <v>409.22199999999998</v>
      </c>
      <c r="K44" s="4"/>
      <c r="L44" s="4"/>
      <c r="M44" s="4">
        <f>+M43-M40</f>
        <v>83.281999999999982</v>
      </c>
      <c r="N44" s="4">
        <f>+N43-N40</f>
        <v>88.869000000000014</v>
      </c>
      <c r="O44" s="4"/>
      <c r="P44" s="4"/>
      <c r="Q44" s="4"/>
      <c r="R44" s="4"/>
    </row>
    <row r="45" spans="2:43" s="3" customFormat="1" x14ac:dyDescent="0.2">
      <c r="B45" s="3" t="s">
        <v>34</v>
      </c>
      <c r="C45" s="4"/>
      <c r="D45" s="4"/>
      <c r="E45" s="4"/>
      <c r="F45" s="4"/>
      <c r="G45" s="4"/>
      <c r="H45" s="4"/>
      <c r="I45" s="4"/>
      <c r="J45" s="4">
        <v>74.525000000000006</v>
      </c>
      <c r="K45" s="4"/>
      <c r="L45" s="4"/>
      <c r="M45" s="4">
        <v>18.027999999999999</v>
      </c>
      <c r="N45" s="4">
        <v>31.501999999999999</v>
      </c>
      <c r="O45" s="4"/>
      <c r="P45" s="4"/>
      <c r="Q45" s="4"/>
      <c r="R45" s="4"/>
    </row>
    <row r="47" spans="2:43" x14ac:dyDescent="0.2">
      <c r="B47" t="s">
        <v>73</v>
      </c>
      <c r="M47" s="4">
        <f>+M48-M60-M58</f>
        <v>21822.698</v>
      </c>
      <c r="N47" s="4">
        <f>+N48-N60-N58</f>
        <v>27005.612000000001</v>
      </c>
    </row>
    <row r="48" spans="2:43" s="3" customFormat="1" x14ac:dyDescent="0.2">
      <c r="B48" s="3" t="s">
        <v>59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>
        <f>1281.16+4600.889+940.052+392.744+22618.853+2333.063</f>
        <v>32166.760999999999</v>
      </c>
      <c r="N48" s="4">
        <f>1631.911+4225.112+975.961+342.39+31172.361+2503.229</f>
        <v>40850.964</v>
      </c>
      <c r="O48" s="4"/>
      <c r="P48" s="4"/>
      <c r="Q48" s="4"/>
      <c r="R48" s="4"/>
    </row>
    <row r="49" spans="2:18" s="3" customFormat="1" x14ac:dyDescent="0.2">
      <c r="B49" s="3" t="s">
        <v>60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>
        <v>980.30100000000004</v>
      </c>
      <c r="N49" s="4">
        <v>1047.5039999999999</v>
      </c>
      <c r="O49" s="4"/>
      <c r="P49" s="4"/>
      <c r="Q49" s="4"/>
      <c r="R49" s="4"/>
    </row>
    <row r="50" spans="2:18" s="3" customFormat="1" x14ac:dyDescent="0.2">
      <c r="B50" s="3" t="s">
        <v>61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>
        <v>733.72299999999996</v>
      </c>
      <c r="N50" s="4">
        <v>602.79200000000003</v>
      </c>
      <c r="O50" s="4"/>
      <c r="P50" s="4"/>
      <c r="Q50" s="4"/>
      <c r="R50" s="4"/>
    </row>
    <row r="51" spans="2:18" s="3" customFormat="1" x14ac:dyDescent="0.2">
      <c r="B51" s="3" t="s">
        <v>62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>
        <v>1590.4390000000001</v>
      </c>
      <c r="N51" s="4">
        <v>1547.3230000000001</v>
      </c>
      <c r="O51" s="4"/>
      <c r="P51" s="4"/>
      <c r="Q51" s="4"/>
      <c r="R51" s="4"/>
    </row>
    <row r="52" spans="2:18" s="3" customFormat="1" x14ac:dyDescent="0.2">
      <c r="B52" s="3" t="s">
        <v>63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>
        <f>5266.594+397.181</f>
        <v>5663.7749999999996</v>
      </c>
      <c r="N52" s="4">
        <f>808.114+347.269</f>
        <v>1155.383</v>
      </c>
      <c r="O52" s="4"/>
      <c r="P52" s="4"/>
      <c r="Q52" s="4"/>
      <c r="R52" s="4"/>
    </row>
    <row r="53" spans="2:18" x14ac:dyDescent="0.2">
      <c r="B53" s="3" t="s">
        <v>64</v>
      </c>
      <c r="M53" s="4">
        <f>SUM(M48:M52)</f>
        <v>41134.998999999996</v>
      </c>
      <c r="N53" s="4">
        <f>SUM(N48:N52)</f>
        <v>45203.966</v>
      </c>
    </row>
    <row r="55" spans="2:18" s="3" customFormat="1" x14ac:dyDescent="0.2">
      <c r="B55" s="3" t="s">
        <v>72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>
        <v>262.58800000000002</v>
      </c>
      <c r="N55" s="4">
        <v>208.691</v>
      </c>
      <c r="O55" s="4"/>
      <c r="P55" s="4"/>
      <c r="Q55" s="4"/>
      <c r="R55" s="4"/>
    </row>
    <row r="56" spans="2:18" s="3" customFormat="1" x14ac:dyDescent="0.2">
      <c r="B56" s="3" t="s">
        <v>71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>
        <v>946.31100000000004</v>
      </c>
      <c r="N56" s="4">
        <v>934.65800000000002</v>
      </c>
      <c r="O56" s="4"/>
      <c r="P56" s="4"/>
      <c r="Q56" s="4"/>
      <c r="R56" s="4"/>
    </row>
    <row r="57" spans="2:18" s="3" customFormat="1" x14ac:dyDescent="0.2">
      <c r="B57" s="3" t="s">
        <v>70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>
        <f>139.934+25.24</f>
        <v>165.17400000000001</v>
      </c>
      <c r="N57" s="4">
        <f>134.031+27.801</f>
        <v>161.83199999999999</v>
      </c>
      <c r="O57" s="4"/>
      <c r="P57" s="4"/>
      <c r="Q57" s="4"/>
      <c r="R57" s="4"/>
    </row>
    <row r="58" spans="2:18" s="3" customFormat="1" x14ac:dyDescent="0.2">
      <c r="B58" s="3" t="s">
        <v>17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>
        <v>1217.4079999999999</v>
      </c>
      <c r="N58" s="4">
        <v>1233.4849999999999</v>
      </c>
      <c r="O58" s="4"/>
      <c r="P58" s="4"/>
      <c r="Q58" s="4"/>
      <c r="R58" s="4"/>
    </row>
    <row r="59" spans="2:18" s="3" customFormat="1" x14ac:dyDescent="0.2">
      <c r="B59" s="3" t="s">
        <v>69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>
        <v>125.86199999999999</v>
      </c>
      <c r="N59" s="4">
        <v>118.68899999999999</v>
      </c>
      <c r="O59" s="4"/>
      <c r="P59" s="4"/>
      <c r="Q59" s="4"/>
      <c r="R59" s="4"/>
    </row>
    <row r="60" spans="2:18" s="3" customFormat="1" x14ac:dyDescent="0.2">
      <c r="B60" s="3" t="s">
        <v>68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>
        <v>9126.6550000000007</v>
      </c>
      <c r="N60" s="4">
        <v>12611.867</v>
      </c>
      <c r="O60" s="4"/>
      <c r="P60" s="4"/>
      <c r="Q60" s="4"/>
      <c r="R60" s="4"/>
    </row>
    <row r="61" spans="2:18" s="3" customFormat="1" x14ac:dyDescent="0.2">
      <c r="B61" s="3" t="s">
        <v>67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>
        <v>1011.928</v>
      </c>
      <c r="N61" s="4">
        <v>855.32399999999996</v>
      </c>
      <c r="O61" s="4"/>
      <c r="P61" s="4"/>
      <c r="Q61" s="4"/>
      <c r="R61" s="4"/>
    </row>
    <row r="62" spans="2:18" s="3" customFormat="1" x14ac:dyDescent="0.2">
      <c r="B62" s="3" t="s">
        <v>66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>
        <v>28279.073</v>
      </c>
      <c r="N62" s="4">
        <v>29079.42</v>
      </c>
      <c r="O62" s="4"/>
      <c r="P62" s="4"/>
      <c r="Q62" s="4"/>
      <c r="R62" s="4"/>
    </row>
    <row r="63" spans="2:18" s="3" customFormat="1" x14ac:dyDescent="0.2">
      <c r="B63" s="3" t="s">
        <v>65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>
        <f>SUM(M55:M62)</f>
        <v>41134.998999999996</v>
      </c>
      <c r="N63" s="4">
        <f>SUM(N55:N62)</f>
        <v>45203.966</v>
      </c>
      <c r="O63" s="4"/>
      <c r="P63" s="4"/>
      <c r="Q63" s="4"/>
      <c r="R63" s="4"/>
    </row>
    <row r="65" spans="2:18" x14ac:dyDescent="0.2">
      <c r="B65" s="3" t="s">
        <v>74</v>
      </c>
      <c r="M65" s="4">
        <f>+M27</f>
        <v>163.92099999999994</v>
      </c>
      <c r="N65" s="4">
        <f>+N27</f>
        <v>75.534000000000106</v>
      </c>
    </row>
    <row r="66" spans="2:18" s="3" customFormat="1" x14ac:dyDescent="0.2">
      <c r="B66" s="3" t="s">
        <v>75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>
        <v>78.135999999999996</v>
      </c>
      <c r="N66" s="4">
        <v>-4432.2269999999999</v>
      </c>
      <c r="O66" s="4"/>
      <c r="P66" s="4"/>
      <c r="Q66" s="4"/>
      <c r="R66" s="4"/>
    </row>
    <row r="67" spans="2:18" s="3" customFormat="1" x14ac:dyDescent="0.2">
      <c r="B67" s="3" t="s">
        <v>77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>
        <v>118.846</v>
      </c>
      <c r="N67" s="4">
        <v>117.354</v>
      </c>
      <c r="O67" s="4"/>
      <c r="P67" s="4"/>
      <c r="Q67" s="4"/>
      <c r="R67" s="4"/>
    </row>
    <row r="68" spans="2:18" s="3" customFormat="1" x14ac:dyDescent="0.2">
      <c r="B68" s="3" t="s">
        <v>78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>
        <v>33.566000000000003</v>
      </c>
      <c r="N68" s="4">
        <v>34.628999999999998</v>
      </c>
      <c r="O68" s="4"/>
      <c r="P68" s="4"/>
      <c r="Q68" s="4"/>
      <c r="R68" s="4"/>
    </row>
    <row r="69" spans="2:18" s="3" customFormat="1" x14ac:dyDescent="0.2">
      <c r="B69" s="3" t="s">
        <v>79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>
        <v>15.867000000000001</v>
      </c>
      <c r="N69" s="4">
        <v>16.077000000000002</v>
      </c>
      <c r="O69" s="4"/>
      <c r="P69" s="4"/>
      <c r="Q69" s="4"/>
      <c r="R69" s="4"/>
    </row>
    <row r="70" spans="2:18" s="3" customFormat="1" x14ac:dyDescent="0.2">
      <c r="B70" s="3" t="s">
        <v>76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>
        <v>110.426</v>
      </c>
      <c r="N70" s="4">
        <v>105.901</v>
      </c>
      <c r="O70" s="4"/>
      <c r="P70" s="4"/>
      <c r="Q70" s="4"/>
      <c r="R70" s="4"/>
    </row>
    <row r="71" spans="2:18" s="3" customFormat="1" x14ac:dyDescent="0.2">
      <c r="B71" s="3" t="s">
        <v>80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>
        <f>41.699+0.902</f>
        <v>42.600999999999999</v>
      </c>
      <c r="N71" s="4">
        <f>4460.837+2.682+15.423+3.181</f>
        <v>4482.1229999999996</v>
      </c>
      <c r="O71" s="4"/>
      <c r="P71" s="4"/>
      <c r="Q71" s="4"/>
      <c r="R71" s="4"/>
    </row>
    <row r="72" spans="2:18" s="3" customFormat="1" x14ac:dyDescent="0.2">
      <c r="B72" s="3" t="s">
        <v>88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>
        <v>0</v>
      </c>
      <c r="N72" s="4">
        <v>8.89</v>
      </c>
      <c r="O72" s="4"/>
      <c r="P72" s="4"/>
      <c r="Q72" s="4"/>
      <c r="R72" s="4"/>
    </row>
    <row r="73" spans="2:18" s="3" customFormat="1" x14ac:dyDescent="0.2">
      <c r="B73" s="3" t="s">
        <v>87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>
        <v>0</v>
      </c>
      <c r="N73" s="4">
        <v>-5.9610000000000003</v>
      </c>
      <c r="O73" s="4"/>
      <c r="P73" s="4"/>
      <c r="Q73" s="4"/>
      <c r="R73" s="4"/>
    </row>
    <row r="74" spans="2:18" s="3" customFormat="1" x14ac:dyDescent="0.2">
      <c r="B74" s="3" t="s">
        <v>86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>
        <v>0.76</v>
      </c>
      <c r="N74" s="4">
        <v>0.18</v>
      </c>
      <c r="O74" s="4"/>
      <c r="P74" s="4"/>
      <c r="Q74" s="4"/>
      <c r="R74" s="4"/>
    </row>
    <row r="75" spans="2:18" s="3" customFormat="1" x14ac:dyDescent="0.2">
      <c r="B75" s="3" t="s">
        <v>85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>
        <v>12.781000000000001</v>
      </c>
      <c r="N75" s="4">
        <v>-4.2000000000000003E-2</v>
      </c>
      <c r="O75" s="4"/>
      <c r="P75" s="4"/>
      <c r="Q75" s="4"/>
      <c r="R75" s="4"/>
    </row>
    <row r="76" spans="2:18" s="3" customFormat="1" x14ac:dyDescent="0.2">
      <c r="B76" s="3" t="s">
        <v>84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>
        <v>-95.194999999999993</v>
      </c>
      <c r="N76" s="4">
        <v>-92.844999999999999</v>
      </c>
      <c r="O76" s="4"/>
      <c r="P76" s="4"/>
      <c r="Q76" s="4"/>
      <c r="R76" s="4"/>
    </row>
    <row r="77" spans="2:18" s="3" customFormat="1" x14ac:dyDescent="0.2">
      <c r="B77" s="3" t="s">
        <v>83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>
        <v>26.606999999999999</v>
      </c>
      <c r="N77" s="4">
        <v>18.739000000000001</v>
      </c>
      <c r="O77" s="4"/>
      <c r="P77" s="4"/>
      <c r="Q77" s="4"/>
      <c r="R77" s="4"/>
    </row>
    <row r="78" spans="2:18" s="3" customFormat="1" x14ac:dyDescent="0.2">
      <c r="B78" s="3" t="s">
        <v>82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>
        <v>-31.509</v>
      </c>
      <c r="N78" s="4">
        <v>-24.922999999999998</v>
      </c>
      <c r="O78" s="4"/>
      <c r="P78" s="4"/>
      <c r="Q78" s="4"/>
      <c r="R78" s="4"/>
    </row>
    <row r="79" spans="2:18" s="3" customFormat="1" x14ac:dyDescent="0.2">
      <c r="B79" s="3" t="s">
        <v>81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>
        <v>-39.387</v>
      </c>
      <c r="N79" s="4">
        <v>10.263999999999999</v>
      </c>
      <c r="O79" s="4"/>
      <c r="P79" s="4"/>
      <c r="Q79" s="4"/>
      <c r="R79" s="4"/>
    </row>
    <row r="80" spans="2:18" s="3" customFormat="1" x14ac:dyDescent="0.2">
      <c r="B80" s="3" t="s">
        <v>91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>
        <v>0.375</v>
      </c>
      <c r="N80" s="4">
        <v>0</v>
      </c>
      <c r="O80" s="4"/>
      <c r="P80" s="4"/>
      <c r="Q80" s="4"/>
      <c r="R80" s="4"/>
    </row>
    <row r="81" spans="2:18" s="3" customFormat="1" x14ac:dyDescent="0.2">
      <c r="B81" s="3" t="s">
        <v>60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>
        <v>1.4219999999999999</v>
      </c>
      <c r="N81" s="4">
        <v>-73.367999999999995</v>
      </c>
      <c r="O81" s="4"/>
      <c r="P81" s="4"/>
      <c r="Q81" s="4"/>
      <c r="R81" s="4"/>
    </row>
    <row r="82" spans="2:18" s="3" customFormat="1" x14ac:dyDescent="0.2">
      <c r="B82" s="3" t="s">
        <v>61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>
        <v>25.966000000000001</v>
      </c>
      <c r="N82" s="4">
        <v>85.953999999999994</v>
      </c>
      <c r="O82" s="4"/>
      <c r="P82" s="4"/>
      <c r="Q82" s="4"/>
      <c r="R82" s="4"/>
    </row>
    <row r="83" spans="2:18" s="3" customFormat="1" x14ac:dyDescent="0.2">
      <c r="B83" s="3" t="s">
        <v>72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>
        <v>-67.147000000000006</v>
      </c>
      <c r="N83" s="4">
        <v>-30.323</v>
      </c>
      <c r="O83" s="4"/>
      <c r="P83" s="4"/>
      <c r="Q83" s="4"/>
      <c r="R83" s="4"/>
    </row>
    <row r="84" spans="2:18" s="3" customFormat="1" x14ac:dyDescent="0.2">
      <c r="B84" s="3" t="s">
        <v>71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>
        <v>-37.640999999999998</v>
      </c>
      <c r="N84" s="4">
        <v>-84.793000000000006</v>
      </c>
      <c r="O84" s="4"/>
      <c r="P84" s="4"/>
      <c r="Q84" s="4"/>
      <c r="R84" s="4"/>
    </row>
    <row r="85" spans="2:18" s="3" customFormat="1" x14ac:dyDescent="0.2">
      <c r="B85" s="3" t="s">
        <v>70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>
        <v>-59.198999999999998</v>
      </c>
      <c r="N85" s="4">
        <v>-3.339</v>
      </c>
      <c r="O85" s="4"/>
      <c r="P85" s="4"/>
      <c r="Q85" s="4"/>
      <c r="R85" s="4"/>
    </row>
    <row r="86" spans="2:18" s="3" customFormat="1" x14ac:dyDescent="0.2">
      <c r="B86" s="3" t="s">
        <v>28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>
        <f>SUM(M66:M85)</f>
        <v>137.27500000000003</v>
      </c>
      <c r="N86" s="4">
        <f>SUM(N66:N85)</f>
        <v>132.29</v>
      </c>
      <c r="O86" s="4"/>
      <c r="P86" s="4"/>
      <c r="Q86" s="4"/>
      <c r="R86" s="4"/>
    </row>
    <row r="88" spans="2:18" s="3" customFormat="1" x14ac:dyDescent="0.2">
      <c r="B88" s="3" t="s">
        <v>29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>
        <f>-160.955+10.574</f>
        <v>-150.381</v>
      </c>
      <c r="N88" s="4">
        <f>-125.818+0.107</f>
        <v>-125.711</v>
      </c>
      <c r="O88" s="4"/>
      <c r="P88" s="4"/>
      <c r="Q88" s="4"/>
      <c r="R88" s="4"/>
    </row>
    <row r="89" spans="2:18" s="3" customFormat="1" x14ac:dyDescent="0.2">
      <c r="B89" s="3" t="s">
        <v>89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>
        <v>-153.339</v>
      </c>
      <c r="N89" s="4">
        <v>-1.0629999999999999</v>
      </c>
      <c r="O89" s="4"/>
      <c r="P89" s="4"/>
      <c r="Q89" s="4"/>
      <c r="R89" s="4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2016-03-30T03:03:38Z</dcterms:created>
  <dcterms:modified xsi:type="dcterms:W3CDTF">2016-04-10T01:54:08Z</dcterms:modified>
</cp:coreProperties>
</file>