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ew\Documents\GitHub\IITPMainProject\data\"/>
    </mc:Choice>
  </mc:AlternateContent>
  <xr:revisionPtr revIDLastSave="0" documentId="13_ncr:1_{7EE370BC-F64D-4B9C-BC33-3DF9301CE2D1}" xr6:coauthVersionLast="45" xr6:coauthVersionMax="45" xr10:uidLastSave="{00000000-0000-0000-0000-000000000000}"/>
  <bookViews>
    <workbookView xWindow="-120" yWindow="-120" windowWidth="38640" windowHeight="21240" xr2:uid="{D8F08230-C532-449B-9D74-5A2DB5EEBD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8" i="1"/>
  <c r="E21" i="1"/>
  <c r="E19" i="1"/>
  <c r="E15" i="1"/>
  <c r="E13" i="1"/>
  <c r="E11" i="1"/>
  <c r="E5" i="1"/>
  <c r="G49" i="1"/>
  <c r="F49" i="1"/>
  <c r="E49" i="1"/>
  <c r="BL62" i="1" l="1"/>
  <c r="BK62" i="1"/>
  <c r="J72" i="1" l="1"/>
  <c r="I72" i="1"/>
  <c r="F72" i="1"/>
  <c r="AO71" i="1"/>
  <c r="J71" i="1"/>
  <c r="I71" i="1"/>
  <c r="F71" i="1"/>
  <c r="AY70" i="1"/>
  <c r="AX70" i="1"/>
  <c r="AU70" i="1"/>
  <c r="AO70" i="1"/>
  <c r="J70" i="1"/>
  <c r="I70" i="1"/>
  <c r="F70" i="1"/>
  <c r="AY69" i="1"/>
  <c r="AX69" i="1"/>
  <c r="AU69" i="1"/>
  <c r="AO69" i="1"/>
  <c r="J69" i="1"/>
  <c r="I69" i="1"/>
  <c r="F69" i="1"/>
  <c r="AY68" i="1"/>
  <c r="AX68" i="1"/>
  <c r="AU68" i="1"/>
  <c r="AO68" i="1"/>
  <c r="AC68" i="1"/>
  <c r="S68" i="1" s="1"/>
  <c r="W68" i="1"/>
  <c r="Q68" i="1" s="1"/>
  <c r="J68" i="1"/>
  <c r="I68" i="1"/>
  <c r="F68" i="1"/>
  <c r="AY67" i="1"/>
  <c r="AX67" i="1"/>
  <c r="AU67" i="1"/>
  <c r="AO67" i="1"/>
  <c r="AC67" i="1"/>
  <c r="V67" i="1" s="1"/>
  <c r="W67" i="1"/>
  <c r="Q67" i="1" s="1"/>
  <c r="J67" i="1"/>
  <c r="I67" i="1"/>
  <c r="F67" i="1"/>
  <c r="AY66" i="1"/>
  <c r="AX66" i="1"/>
  <c r="AU66" i="1"/>
  <c r="AO66" i="1"/>
  <c r="AC66" i="1"/>
  <c r="V66" i="1" s="1"/>
  <c r="W66" i="1"/>
  <c r="N66" i="1" s="1"/>
  <c r="J66" i="1"/>
  <c r="I66" i="1"/>
  <c r="F66" i="1"/>
  <c r="AY65" i="1"/>
  <c r="AX65" i="1"/>
  <c r="AU65" i="1"/>
  <c r="AO65" i="1"/>
  <c r="AC65" i="1"/>
  <c r="V65" i="1" s="1"/>
  <c r="W65" i="1"/>
  <c r="M65" i="1" s="1"/>
  <c r="J65" i="1"/>
  <c r="I65" i="1"/>
  <c r="F65" i="1"/>
  <c r="AY64" i="1"/>
  <c r="AX64" i="1"/>
  <c r="AU64" i="1"/>
  <c r="AO64" i="1"/>
  <c r="AC64" i="1"/>
  <c r="S64" i="1" s="1"/>
  <c r="W64" i="1"/>
  <c r="Q64" i="1" s="1"/>
  <c r="J64" i="1"/>
  <c r="I64" i="1"/>
  <c r="F64" i="1"/>
  <c r="AY63" i="1"/>
  <c r="AX63" i="1"/>
  <c r="AU63" i="1"/>
  <c r="AO63" i="1"/>
  <c r="AC63" i="1"/>
  <c r="V63" i="1" s="1"/>
  <c r="W63" i="1"/>
  <c r="Q63" i="1" s="1"/>
  <c r="J63" i="1"/>
  <c r="I63" i="1"/>
  <c r="F63" i="1"/>
  <c r="AY62" i="1"/>
  <c r="AX62" i="1"/>
  <c r="AU62" i="1"/>
  <c r="AO62" i="1"/>
  <c r="J62" i="1"/>
  <c r="K62" i="1" s="1"/>
  <c r="I62" i="1"/>
  <c r="AY61" i="1"/>
  <c r="AX61" i="1"/>
  <c r="AU61" i="1"/>
  <c r="AO61" i="1"/>
  <c r="J61" i="1"/>
  <c r="K61" i="1" s="1"/>
  <c r="I61" i="1"/>
  <c r="AY60" i="1"/>
  <c r="AX60" i="1"/>
  <c r="AU60" i="1"/>
  <c r="AO60" i="1"/>
  <c r="J60" i="1"/>
  <c r="K60" i="1" s="1"/>
  <c r="I60" i="1"/>
  <c r="AY59" i="1"/>
  <c r="AX59" i="1"/>
  <c r="AU59" i="1"/>
  <c r="AO59" i="1"/>
  <c r="W59" i="1"/>
  <c r="Q59" i="1"/>
  <c r="P59" i="1"/>
  <c r="O59" i="1"/>
  <c r="N59" i="1"/>
  <c r="M59" i="1"/>
  <c r="J59" i="1"/>
  <c r="K59" i="1" s="1"/>
  <c r="I59" i="1"/>
  <c r="AY58" i="1"/>
  <c r="AX58" i="1"/>
  <c r="AU58" i="1"/>
  <c r="AO58" i="1"/>
  <c r="AL58" i="1"/>
  <c r="W58" i="1"/>
  <c r="J58" i="1"/>
  <c r="K58" i="1" s="1"/>
  <c r="I58" i="1"/>
  <c r="AY57" i="1"/>
  <c r="AX57" i="1"/>
  <c r="AU57" i="1"/>
  <c r="AO57" i="1"/>
  <c r="AL57" i="1"/>
  <c r="W57" i="1"/>
  <c r="J57" i="1"/>
  <c r="K57" i="1" s="1"/>
  <c r="I57" i="1"/>
  <c r="AY56" i="1"/>
  <c r="AX56" i="1"/>
  <c r="AU56" i="1"/>
  <c r="AO56" i="1"/>
  <c r="AL56" i="1"/>
  <c r="W56" i="1"/>
  <c r="K56" i="1"/>
  <c r="J56" i="1"/>
  <c r="I56" i="1"/>
  <c r="AX55" i="1"/>
  <c r="AU55" i="1"/>
  <c r="AO55" i="1"/>
  <c r="AL55" i="1"/>
  <c r="W55" i="1"/>
  <c r="J55" i="1"/>
  <c r="K55" i="1" s="1"/>
  <c r="I55" i="1"/>
  <c r="CM54" i="1"/>
  <c r="CL54" i="1"/>
  <c r="CK54" i="1"/>
  <c r="CJ54" i="1"/>
  <c r="CI54" i="1"/>
  <c r="CH54" i="1"/>
  <c r="CG54" i="1"/>
  <c r="CF54" i="1"/>
  <c r="BV54" i="1"/>
  <c r="BU54" i="1"/>
  <c r="BT54" i="1"/>
  <c r="BS54" i="1"/>
  <c r="AU54" i="1"/>
  <c r="AO54" i="1"/>
  <c r="AL54" i="1"/>
  <c r="W54" i="1"/>
  <c r="J54" i="1"/>
  <c r="K54" i="1" s="1"/>
  <c r="I54" i="1"/>
  <c r="C54" i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M53" i="1"/>
  <c r="CL53" i="1"/>
  <c r="CK53" i="1"/>
  <c r="CJ53" i="1"/>
  <c r="CI53" i="1"/>
  <c r="CH53" i="1"/>
  <c r="CG53" i="1"/>
  <c r="CF53" i="1"/>
  <c r="BV53" i="1"/>
  <c r="BU53" i="1"/>
  <c r="BT53" i="1"/>
  <c r="BS53" i="1"/>
  <c r="AU53" i="1"/>
  <c r="AO53" i="1"/>
  <c r="AL53" i="1"/>
  <c r="W53" i="1"/>
  <c r="J53" i="1"/>
  <c r="K53" i="1" s="1"/>
  <c r="I53" i="1"/>
  <c r="CM52" i="1"/>
  <c r="CL52" i="1"/>
  <c r="CK52" i="1"/>
  <c r="CJ52" i="1"/>
  <c r="CI52" i="1"/>
  <c r="CH52" i="1"/>
  <c r="BV52" i="1"/>
  <c r="BU52" i="1"/>
  <c r="AU52" i="1"/>
  <c r="AO52" i="1"/>
  <c r="AL52" i="1"/>
  <c r="CM51" i="1"/>
  <c r="CL51" i="1"/>
  <c r="CK51" i="1"/>
  <c r="CJ51" i="1"/>
  <c r="CI51" i="1"/>
  <c r="CH51" i="1"/>
  <c r="BV51" i="1"/>
  <c r="BU51" i="1"/>
  <c r="BT51" i="1"/>
  <c r="BS51" i="1"/>
  <c r="AU51" i="1"/>
  <c r="AL51" i="1"/>
  <c r="W51" i="1"/>
  <c r="J51" i="1"/>
  <c r="K51" i="1" s="1"/>
  <c r="I51" i="1"/>
  <c r="AU50" i="1"/>
  <c r="AL50" i="1"/>
  <c r="W50" i="1"/>
  <c r="J50" i="1"/>
  <c r="K50" i="1" s="1"/>
  <c r="I50" i="1"/>
  <c r="AU49" i="1"/>
  <c r="W49" i="1"/>
  <c r="AU48" i="1"/>
  <c r="W48" i="1"/>
  <c r="J48" i="1"/>
  <c r="K48" i="1" s="1"/>
  <c r="I48" i="1"/>
  <c r="AU47" i="1"/>
  <c r="W47" i="1"/>
  <c r="G47" i="1"/>
  <c r="I47" i="1" s="1"/>
  <c r="F47" i="1"/>
  <c r="E47" i="1"/>
  <c r="AU46" i="1"/>
  <c r="J46" i="1"/>
  <c r="K46" i="1" s="1"/>
  <c r="I46" i="1"/>
  <c r="AU45" i="1"/>
  <c r="J45" i="1"/>
  <c r="K45" i="1" s="1"/>
  <c r="I45" i="1"/>
  <c r="AU44" i="1"/>
  <c r="J44" i="1"/>
  <c r="K44" i="1" s="1"/>
  <c r="I44" i="1"/>
  <c r="AU43" i="1"/>
  <c r="J43" i="1"/>
  <c r="K43" i="1" s="1"/>
  <c r="I43" i="1"/>
  <c r="AU42" i="1"/>
  <c r="AB42" i="1"/>
  <c r="W42" i="1" s="1"/>
  <c r="Q42" i="1" s="1"/>
  <c r="J42" i="1"/>
  <c r="K42" i="1" s="1"/>
  <c r="I42" i="1"/>
  <c r="AU41" i="1"/>
  <c r="J41" i="1"/>
  <c r="K41" i="1" s="1"/>
  <c r="I41" i="1"/>
  <c r="AU40" i="1"/>
  <c r="J40" i="1"/>
  <c r="K40" i="1" s="1"/>
  <c r="I40" i="1"/>
  <c r="AU39" i="1"/>
  <c r="J39" i="1"/>
  <c r="K39" i="1" s="1"/>
  <c r="I39" i="1"/>
  <c r="AU38" i="1"/>
  <c r="J38" i="1"/>
  <c r="K38" i="1" s="1"/>
  <c r="I38" i="1"/>
  <c r="AU37" i="1"/>
  <c r="W37" i="1"/>
  <c r="J37" i="1"/>
  <c r="K37" i="1" s="1"/>
  <c r="I37" i="1"/>
  <c r="AU36" i="1"/>
  <c r="G36" i="1"/>
  <c r="I36" i="1" s="1"/>
  <c r="F36" i="1"/>
  <c r="E36" i="1"/>
  <c r="AU35" i="1"/>
  <c r="J35" i="1"/>
  <c r="K35" i="1" s="1"/>
  <c r="I35" i="1"/>
  <c r="AU34" i="1"/>
  <c r="H34" i="1"/>
  <c r="G34" i="1"/>
  <c r="F34" i="1"/>
  <c r="E34" i="1"/>
  <c r="AU33" i="1"/>
  <c r="G33" i="1"/>
  <c r="J33" i="1" s="1"/>
  <c r="F33" i="1"/>
  <c r="E33" i="1"/>
  <c r="AU32" i="1"/>
  <c r="W32" i="1"/>
  <c r="H32" i="1"/>
  <c r="G32" i="1"/>
  <c r="F32" i="1"/>
  <c r="E32" i="1"/>
  <c r="AU31" i="1"/>
  <c r="H31" i="1"/>
  <c r="G31" i="1"/>
  <c r="F31" i="1"/>
  <c r="E31" i="1"/>
  <c r="AU30" i="1"/>
  <c r="H30" i="1"/>
  <c r="G30" i="1"/>
  <c r="AU29" i="1"/>
  <c r="H29" i="1"/>
  <c r="G29" i="1"/>
  <c r="AU28" i="1"/>
  <c r="W28" i="1"/>
  <c r="H28" i="1"/>
  <c r="G28" i="1"/>
  <c r="AU27" i="1"/>
  <c r="J27" i="1"/>
  <c r="I27" i="1"/>
  <c r="AU26" i="1"/>
  <c r="J26" i="1"/>
  <c r="I26" i="1"/>
  <c r="AU25" i="1"/>
  <c r="J25" i="1"/>
  <c r="I25" i="1"/>
  <c r="AU24" i="1"/>
  <c r="J24" i="1"/>
  <c r="I24" i="1"/>
  <c r="AU23" i="1"/>
  <c r="J23" i="1"/>
  <c r="I23" i="1"/>
  <c r="AU22" i="1"/>
  <c r="J22" i="1"/>
  <c r="I22" i="1"/>
  <c r="AU21" i="1"/>
  <c r="W21" i="1"/>
  <c r="H21" i="1"/>
  <c r="G21" i="1"/>
  <c r="AU20" i="1"/>
  <c r="J20" i="1"/>
  <c r="I20" i="1"/>
  <c r="AU19" i="1"/>
  <c r="H19" i="1"/>
  <c r="G19" i="1"/>
  <c r="AU18" i="1"/>
  <c r="J18" i="1"/>
  <c r="I18" i="1"/>
  <c r="CL17" i="1"/>
  <c r="CJ17" i="1"/>
  <c r="CH17" i="1"/>
  <c r="CF17" i="1"/>
  <c r="BZ17" i="1"/>
  <c r="BX17" i="1"/>
  <c r="AU17" i="1"/>
  <c r="J17" i="1"/>
  <c r="I17" i="1"/>
  <c r="AU16" i="1"/>
  <c r="J16" i="1"/>
  <c r="I16" i="1"/>
  <c r="AU15" i="1"/>
  <c r="H15" i="1"/>
  <c r="G15" i="1"/>
  <c r="J15" i="1" s="1"/>
  <c r="AU14" i="1"/>
  <c r="W14" i="1"/>
  <c r="J14" i="1"/>
  <c r="I14" i="1"/>
  <c r="AU13" i="1"/>
  <c r="H13" i="1"/>
  <c r="G13" i="1"/>
  <c r="AU12" i="1"/>
  <c r="J12" i="1"/>
  <c r="I12" i="1"/>
  <c r="AU11" i="1"/>
  <c r="H11" i="1"/>
  <c r="G11" i="1"/>
  <c r="AU10" i="1"/>
  <c r="J10" i="1"/>
  <c r="I10" i="1"/>
  <c r="AU9" i="1"/>
  <c r="J9" i="1"/>
  <c r="I9" i="1"/>
  <c r="AU8" i="1"/>
  <c r="J8" i="1"/>
  <c r="I8" i="1"/>
  <c r="J7" i="1"/>
  <c r="I7" i="1"/>
  <c r="J6" i="1"/>
  <c r="I6" i="1"/>
  <c r="H5" i="1"/>
  <c r="G5" i="1"/>
  <c r="L4" i="1"/>
  <c r="J4" i="1"/>
  <c r="I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M68" i="1" l="1"/>
  <c r="I28" i="1"/>
  <c r="R68" i="1"/>
  <c r="K69" i="1"/>
  <c r="T68" i="1"/>
  <c r="J47" i="1"/>
  <c r="K47" i="1" s="1"/>
  <c r="O65" i="1"/>
  <c r="J19" i="1"/>
  <c r="I34" i="1"/>
  <c r="N65" i="1"/>
  <c r="K66" i="1"/>
  <c r="O68" i="1"/>
  <c r="K33" i="1"/>
  <c r="K72" i="1"/>
  <c r="M67" i="1"/>
  <c r="K68" i="1"/>
  <c r="J32" i="1"/>
  <c r="K32" i="1" s="1"/>
  <c r="P67" i="1"/>
  <c r="Q66" i="1"/>
  <c r="K67" i="1"/>
  <c r="K71" i="1"/>
  <c r="I15" i="1"/>
  <c r="J21" i="1"/>
  <c r="R66" i="1"/>
  <c r="K70" i="1"/>
  <c r="J5" i="1"/>
  <c r="I11" i="1"/>
  <c r="I19" i="1"/>
  <c r="I29" i="1"/>
  <c r="I31" i="1"/>
  <c r="J49" i="1"/>
  <c r="K49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M66" i="1"/>
  <c r="R67" i="1"/>
  <c r="O66" i="1"/>
  <c r="S67" i="1"/>
  <c r="K63" i="1"/>
  <c r="P66" i="1"/>
  <c r="O63" i="1"/>
  <c r="T67" i="1"/>
  <c r="U68" i="1"/>
  <c r="J29" i="1"/>
  <c r="J31" i="1"/>
  <c r="K31" i="1" s="1"/>
  <c r="J34" i="1"/>
  <c r="K34" i="1" s="1"/>
  <c r="P63" i="1"/>
  <c r="O64" i="1"/>
  <c r="P65" i="1"/>
  <c r="U67" i="1"/>
  <c r="V68" i="1"/>
  <c r="I32" i="1"/>
  <c r="M63" i="1"/>
  <c r="M64" i="1"/>
  <c r="J11" i="1"/>
  <c r="N64" i="1"/>
  <c r="R63" i="1"/>
  <c r="R64" i="1"/>
  <c r="I21" i="1"/>
  <c r="S63" i="1"/>
  <c r="T64" i="1"/>
  <c r="J36" i="1"/>
  <c r="K36" i="1" s="1"/>
  <c r="T63" i="1"/>
  <c r="K64" i="1"/>
  <c r="U64" i="1"/>
  <c r="K65" i="1"/>
  <c r="O67" i="1"/>
  <c r="N68" i="1"/>
  <c r="J13" i="1"/>
  <c r="J28" i="1"/>
  <c r="U63" i="1"/>
  <c r="V64" i="1"/>
  <c r="I5" i="1"/>
  <c r="I33" i="1"/>
  <c r="I49" i="1"/>
  <c r="Q65" i="1"/>
  <c r="S66" i="1"/>
  <c r="I13" i="1"/>
  <c r="N63" i="1"/>
  <c r="P64" i="1"/>
  <c r="R65" i="1"/>
  <c r="T66" i="1"/>
  <c r="N67" i="1"/>
  <c r="P68" i="1"/>
  <c r="M42" i="1"/>
  <c r="S65" i="1"/>
  <c r="U66" i="1"/>
  <c r="N42" i="1"/>
  <c r="I30" i="1"/>
  <c r="T65" i="1"/>
  <c r="J30" i="1"/>
  <c r="O42" i="1"/>
  <c r="U65" i="1"/>
  <c r="P42" i="1"/>
</calcChain>
</file>

<file path=xl/sharedStrings.xml><?xml version="1.0" encoding="utf-8"?>
<sst xmlns="http://schemas.openxmlformats.org/spreadsheetml/2006/main" count="118" uniqueCount="89">
  <si>
    <t>의사국가고시 신설 / 의대졸업자만 응시가능</t>
  </si>
  <si>
    <t>국시 2회</t>
  </si>
  <si>
    <t>의사 및 한의사 감소 현상 있음 / 한지의사 포함 / 국시 2회</t>
  </si>
  <si>
    <t>새롭게 의사면허 등록갱신</t>
  </si>
  <si>
    <t>97년98년졸업자시험</t>
  </si>
  <si>
    <t>1999년졸업자시험</t>
  </si>
  <si>
    <t>2000년졸업자시험</t>
  </si>
  <si>
    <t>통계 시점 변경</t>
  </si>
  <si>
    <t>대학통계통합</t>
  </si>
  <si>
    <t>면허갱신이슈
사망자 통계 제외</t>
  </si>
  <si>
    <t>의전원 시행</t>
  </si>
  <si>
    <t>면허갱신이슈</t>
  </si>
  <si>
    <t>이후 부터 복지부가 의사자료 관리</t>
  </si>
  <si>
    <t>의대 의무 학사편입 시행</t>
  </si>
  <si>
    <t>년도</t>
  </si>
  <si>
    <t>비고</t>
  </si>
  <si>
    <t>회차</t>
  </si>
  <si>
    <t>횟수</t>
  </si>
  <si>
    <t>의사고시
접수인원</t>
  </si>
  <si>
    <t>의사고시
결시인원</t>
  </si>
  <si>
    <t>의사고시
응시자수</t>
  </si>
  <si>
    <t>의사고시 합격자수</t>
  </si>
  <si>
    <t>의사고시
합격률</t>
  </si>
  <si>
    <t>의사고시
응시자
불합격자수</t>
  </si>
  <si>
    <t>의사고시
불합격자수</t>
  </si>
  <si>
    <t xml:space="preserve">의사고시
합격자누계
</t>
  </si>
  <si>
    <t>~29</t>
  </si>
  <si>
    <t>30~39</t>
  </si>
  <si>
    <t>40~49</t>
  </si>
  <si>
    <t>50~59</t>
  </si>
  <si>
    <t>60~</t>
  </si>
  <si>
    <t>총계</t>
  </si>
  <si>
    <t>군의관
입영통지</t>
  </si>
  <si>
    <t>군의관
입교</t>
  </si>
  <si>
    <t>군의관
임관</t>
  </si>
  <si>
    <t>일반의</t>
  </si>
  <si>
    <t>인턴수료</t>
  </si>
  <si>
    <t>전문의</t>
  </si>
  <si>
    <t>현황</t>
  </si>
  <si>
    <t>공중보건의</t>
  </si>
  <si>
    <t>신규면허
등록인력</t>
  </si>
  <si>
    <t>신규면허
말소인력</t>
  </si>
  <si>
    <t>면허등록인력</t>
  </si>
  <si>
    <t>가용인력</t>
  </si>
  <si>
    <t>복지부 면허 의사
증가율</t>
  </si>
  <si>
    <t>복지부 면허 의사 수/계</t>
  </si>
  <si>
    <t>복지부 면허 의사 수/여</t>
  </si>
  <si>
    <t>건강보험신고
대비 비율</t>
  </si>
  <si>
    <t>건강보험신고
증가율</t>
  </si>
  <si>
    <t>건강보험 요양기관
신고기준</t>
  </si>
  <si>
    <t>의전원
석사입학정원</t>
  </si>
  <si>
    <t>의전원
석사재적/계</t>
  </si>
  <si>
    <t>의전원
박사재적/계</t>
  </si>
  <si>
    <t>의전원
석사졸업/여</t>
  </si>
  <si>
    <t>의전원
박사졸업/계</t>
  </si>
  <si>
    <t>의전원
박사졸업/여</t>
  </si>
  <si>
    <t>의대입학정원</t>
  </si>
  <si>
    <t>입학수/계</t>
  </si>
  <si>
    <t>입학수/여</t>
  </si>
  <si>
    <t>편입학정원</t>
  </si>
  <si>
    <t>학사편입/계</t>
  </si>
  <si>
    <t>학사편입/여</t>
  </si>
  <si>
    <t>졸업수/계</t>
  </si>
  <si>
    <t>졸업수/여</t>
  </si>
  <si>
    <t>입대자</t>
  </si>
  <si>
    <t>예과/1학년/계</t>
  </si>
  <si>
    <t>예과/1학년/여</t>
  </si>
  <si>
    <t>예과/2학년/계</t>
  </si>
  <si>
    <t>예과/2학년/여</t>
  </si>
  <si>
    <t>예과/3학년/계</t>
  </si>
  <si>
    <t>예과/3학년/여</t>
  </si>
  <si>
    <t>예과/4학년/계</t>
  </si>
  <si>
    <t>예과/4학년/여</t>
  </si>
  <si>
    <t>1학년/계</t>
  </si>
  <si>
    <t>1학년/여</t>
  </si>
  <si>
    <t>2학년/계</t>
  </si>
  <si>
    <t>2학년/여</t>
  </si>
  <si>
    <t>3학년/계</t>
  </si>
  <si>
    <t>3학년/여</t>
  </si>
  <si>
    <t>4학년/계</t>
  </si>
  <si>
    <t>4학년/여</t>
  </si>
  <si>
    <t>의전원
박사입학정원</t>
    <phoneticPr fontId="2" type="noConversion"/>
  </si>
  <si>
    <r>
      <rPr>
        <sz val="9"/>
        <color theme="1"/>
        <rFont val="맑은 고딕"/>
        <family val="3"/>
        <charset val="129"/>
      </rPr>
      <t>의전원
석사입학</t>
    </r>
    <r>
      <rPr>
        <sz val="9"/>
        <color theme="1"/>
        <rFont val="Arial"/>
        <family val="2"/>
      </rPr>
      <t>/</t>
    </r>
    <r>
      <rPr>
        <sz val="9"/>
        <color theme="1"/>
        <rFont val="맑은 고딕"/>
        <family val="3"/>
        <charset val="129"/>
      </rPr>
      <t>계</t>
    </r>
    <phoneticPr fontId="2" type="noConversion"/>
  </si>
  <si>
    <r>
      <rPr>
        <sz val="9"/>
        <color theme="1"/>
        <rFont val="맑은 고딕"/>
        <family val="3"/>
        <charset val="129"/>
      </rPr>
      <t>의전원
석사입학</t>
    </r>
    <r>
      <rPr>
        <sz val="9"/>
        <color theme="1"/>
        <rFont val="Arial"/>
        <family val="2"/>
      </rPr>
      <t>/</t>
    </r>
    <r>
      <rPr>
        <sz val="9"/>
        <color theme="1"/>
        <rFont val="맑은 고딕"/>
        <family val="3"/>
        <charset val="129"/>
      </rPr>
      <t>여</t>
    </r>
    <phoneticPr fontId="2" type="noConversion"/>
  </si>
  <si>
    <r>
      <rPr>
        <sz val="9"/>
        <color theme="1"/>
        <rFont val="맑은 고딕"/>
        <family val="3"/>
        <charset val="129"/>
      </rPr>
      <t>의전원
박사입학</t>
    </r>
    <r>
      <rPr>
        <sz val="9"/>
        <color theme="1"/>
        <rFont val="Arial"/>
        <family val="2"/>
      </rPr>
      <t>/</t>
    </r>
    <r>
      <rPr>
        <sz val="9"/>
        <color theme="1"/>
        <rFont val="맑은 고딕"/>
        <family val="3"/>
        <charset val="129"/>
      </rPr>
      <t>계</t>
    </r>
    <phoneticPr fontId="2" type="noConversion"/>
  </si>
  <si>
    <r>
      <rPr>
        <sz val="9"/>
        <color theme="1"/>
        <rFont val="맑은 고딕"/>
        <family val="3"/>
        <charset val="129"/>
      </rPr>
      <t>의전원
박사입학</t>
    </r>
    <r>
      <rPr>
        <sz val="9"/>
        <color theme="1"/>
        <rFont val="Arial"/>
        <family val="2"/>
      </rPr>
      <t>/</t>
    </r>
    <r>
      <rPr>
        <sz val="9"/>
        <color theme="1"/>
        <rFont val="맑은 고딕"/>
        <family val="3"/>
        <charset val="129"/>
      </rPr>
      <t>여</t>
    </r>
    <phoneticPr fontId="2" type="noConversion"/>
  </si>
  <si>
    <r>
      <rPr>
        <sz val="9"/>
        <color theme="1"/>
        <rFont val="맑은 고딕"/>
        <family val="3"/>
        <charset val="129"/>
      </rPr>
      <t>의전원
석사재적</t>
    </r>
    <r>
      <rPr>
        <sz val="9"/>
        <color theme="1"/>
        <rFont val="Arial"/>
        <family val="2"/>
      </rPr>
      <t>/</t>
    </r>
    <r>
      <rPr>
        <sz val="9"/>
        <color theme="1"/>
        <rFont val="맑은 고딕"/>
        <family val="3"/>
        <charset val="129"/>
      </rPr>
      <t>여</t>
    </r>
    <phoneticPr fontId="2" type="noConversion"/>
  </si>
  <si>
    <r>
      <rPr>
        <sz val="9"/>
        <color theme="1"/>
        <rFont val="맑은 고딕"/>
        <family val="3"/>
        <charset val="129"/>
      </rPr>
      <t>의전원
석사졸업</t>
    </r>
    <r>
      <rPr>
        <sz val="9"/>
        <color theme="1"/>
        <rFont val="Arial"/>
        <family val="2"/>
      </rPr>
      <t>/</t>
    </r>
    <r>
      <rPr>
        <sz val="9"/>
        <color theme="1"/>
        <rFont val="맑은 고딕"/>
        <family val="3"/>
        <charset val="129"/>
      </rPr>
      <t>계</t>
    </r>
    <phoneticPr fontId="2" type="noConversion"/>
  </si>
  <si>
    <r>
      <rPr>
        <sz val="9"/>
        <color theme="1"/>
        <rFont val="맑은 고딕"/>
        <family val="3"/>
        <charset val="129"/>
      </rPr>
      <t>의전원
박사재적</t>
    </r>
    <r>
      <rPr>
        <sz val="9"/>
        <color theme="1"/>
        <rFont val="Arial"/>
        <family val="2"/>
      </rPr>
      <t>/</t>
    </r>
    <r>
      <rPr>
        <sz val="9"/>
        <color theme="1"/>
        <rFont val="맑은 고딕"/>
        <family val="3"/>
        <charset val="129"/>
      </rPr>
      <t>여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</si>
</sst>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0"/>
    <numFmt numFmtId="177" formatCode="#,##0.0000"/>
    <numFmt numFmtId="178" formatCode="#,##0.000000"/>
  </numFmts>
  <fonts count="10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sz val="9"/>
      <color rgb="FF000000"/>
      <name val="Arial"/>
      <family val="2"/>
    </font>
    <font>
      <sz val="9"/>
      <color rgb="FF1A1915"/>
      <name val="Arial"/>
      <family val="2"/>
    </font>
    <font>
      <sz val="11"/>
      <color rgb="FF000000"/>
      <name val="Arial"/>
      <family val="2"/>
    </font>
    <font>
      <sz val="9"/>
      <color theme="1"/>
      <name val="맑은 고딕"/>
      <family val="3"/>
      <charset val="129"/>
    </font>
    <font>
      <sz val="9"/>
      <color theme="1"/>
      <name val="Arial"/>
      <family val="3"/>
      <charset val="129"/>
    </font>
    <font>
      <sz val="10"/>
      <color theme="1"/>
      <name val="Arial"/>
      <family val="2"/>
    </font>
    <font>
      <sz val="9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indexed="64"/>
      </patternFill>
    </fill>
  </fills>
  <borders count="13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3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 wrapText="1"/>
    </xf>
    <xf numFmtId="3" fontId="3" fillId="2" borderId="2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/>
    <xf numFmtId="176" fontId="1" fillId="2" borderId="0" xfId="0" applyNumberFormat="1" applyFont="1" applyFill="1" applyAlignment="1"/>
    <xf numFmtId="176" fontId="1" fillId="2" borderId="2" xfId="0" applyNumberFormat="1" applyFont="1" applyFill="1" applyBorder="1" applyAlignment="1"/>
    <xf numFmtId="3" fontId="1" fillId="2" borderId="1" xfId="0" applyNumberFormat="1" applyFont="1" applyFill="1" applyBorder="1" applyAlignment="1"/>
    <xf numFmtId="3" fontId="1" fillId="2" borderId="0" xfId="0" applyNumberFormat="1" applyFont="1" applyFill="1" applyAlignment="1"/>
    <xf numFmtId="3" fontId="1" fillId="2" borderId="2" xfId="0" applyNumberFormat="1" applyFont="1" applyFill="1" applyBorder="1" applyAlignment="1"/>
    <xf numFmtId="176" fontId="3" fillId="2" borderId="0" xfId="0" applyNumberFormat="1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/>
    <xf numFmtId="176" fontId="1" fillId="3" borderId="0" xfId="0" applyNumberFormat="1" applyFont="1" applyFill="1" applyAlignment="1"/>
    <xf numFmtId="176" fontId="1" fillId="3" borderId="2" xfId="0" applyNumberFormat="1" applyFont="1" applyFill="1" applyBorder="1" applyAlignment="1"/>
    <xf numFmtId="3" fontId="1" fillId="3" borderId="1" xfId="0" applyNumberFormat="1" applyFont="1" applyFill="1" applyBorder="1" applyAlignment="1"/>
    <xf numFmtId="3" fontId="1" fillId="3" borderId="0" xfId="0" applyNumberFormat="1" applyFont="1" applyFill="1" applyAlignment="1"/>
    <xf numFmtId="3" fontId="1" fillId="3" borderId="2" xfId="0" applyNumberFormat="1" applyFont="1" applyFill="1" applyBorder="1" applyAlignment="1"/>
    <xf numFmtId="176" fontId="3" fillId="3" borderId="0" xfId="0" applyNumberFormat="1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2" fontId="1" fillId="3" borderId="0" xfId="0" applyNumberFormat="1" applyFont="1" applyFill="1" applyAlignment="1">
      <alignment horizontal="center" vertical="center"/>
    </xf>
    <xf numFmtId="3" fontId="1" fillId="3" borderId="0" xfId="0" applyNumberFormat="1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77" fontId="4" fillId="2" borderId="0" xfId="0" applyNumberFormat="1" applyFont="1" applyFill="1" applyAlignment="1">
      <alignment horizontal="center" vertical="center" wrapText="1"/>
    </xf>
    <xf numFmtId="3" fontId="3" fillId="2" borderId="0" xfId="0" applyNumberFormat="1" applyFont="1" applyFill="1" applyAlignment="1">
      <alignment horizontal="center"/>
    </xf>
    <xf numFmtId="3" fontId="5" fillId="3" borderId="0" xfId="0" applyNumberFormat="1" applyFont="1" applyFill="1" applyAlignment="1">
      <alignment horizontal="right"/>
    </xf>
    <xf numFmtId="3" fontId="5" fillId="3" borderId="0" xfId="0" applyNumberFormat="1" applyFont="1" applyFill="1" applyAlignment="1"/>
    <xf numFmtId="177" fontId="4" fillId="3" borderId="0" xfId="0" applyNumberFormat="1" applyFont="1" applyFill="1" applyAlignment="1">
      <alignment horizontal="center" vertical="center" wrapText="1"/>
    </xf>
    <xf numFmtId="3" fontId="3" fillId="3" borderId="0" xfId="0" applyNumberFormat="1" applyFont="1" applyFill="1" applyAlignment="1">
      <alignment horizontal="center"/>
    </xf>
    <xf numFmtId="3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/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76" fontId="1" fillId="4" borderId="1" xfId="0" applyNumberFormat="1" applyFont="1" applyFill="1" applyBorder="1" applyAlignment="1"/>
    <xf numFmtId="176" fontId="1" fillId="4" borderId="0" xfId="0" applyNumberFormat="1" applyFont="1" applyFill="1" applyAlignment="1"/>
    <xf numFmtId="176" fontId="1" fillId="4" borderId="2" xfId="0" applyNumberFormat="1" applyFont="1" applyFill="1" applyBorder="1" applyAlignment="1"/>
    <xf numFmtId="3" fontId="3" fillId="4" borderId="0" xfId="0" applyNumberFormat="1" applyFont="1" applyFill="1" applyAlignment="1">
      <alignment horizontal="center" vertical="center" wrapText="1"/>
    </xf>
    <xf numFmtId="3" fontId="1" fillId="4" borderId="1" xfId="0" applyNumberFormat="1" applyFont="1" applyFill="1" applyBorder="1" applyAlignment="1"/>
    <xf numFmtId="3" fontId="1" fillId="4" borderId="0" xfId="0" applyNumberFormat="1" applyFont="1" applyFill="1" applyAlignment="1"/>
    <xf numFmtId="3" fontId="1" fillId="4" borderId="2" xfId="0" applyNumberFormat="1" applyFont="1" applyFill="1" applyBorder="1" applyAlignment="1"/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right"/>
    </xf>
    <xf numFmtId="176" fontId="3" fillId="3" borderId="0" xfId="0" applyNumberFormat="1" applyFont="1" applyFill="1" applyAlignment="1">
      <alignment horizontal="right"/>
    </xf>
    <xf numFmtId="176" fontId="3" fillId="3" borderId="2" xfId="0" applyNumberFormat="1" applyFont="1" applyFill="1" applyBorder="1" applyAlignment="1">
      <alignment horizontal="right"/>
    </xf>
    <xf numFmtId="0" fontId="1" fillId="3" borderId="0" xfId="0" applyFont="1" applyFill="1" applyAlignment="1"/>
    <xf numFmtId="176" fontId="4" fillId="3" borderId="0" xfId="0" applyNumberFormat="1" applyFont="1" applyFill="1" applyAlignment="1">
      <alignment horizontal="center" vertical="center" wrapText="1"/>
    </xf>
    <xf numFmtId="3" fontId="4" fillId="3" borderId="0" xfId="0" applyNumberFormat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/>
    <xf numFmtId="176" fontId="4" fillId="2" borderId="0" xfId="0" applyNumberFormat="1" applyFont="1" applyFill="1" applyAlignment="1">
      <alignment horizontal="center" vertical="center" wrapText="1"/>
    </xf>
    <xf numFmtId="3" fontId="4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vertical="top"/>
    </xf>
    <xf numFmtId="3" fontId="3" fillId="3" borderId="2" xfId="0" applyNumberFormat="1" applyFont="1" applyFill="1" applyBorder="1" applyAlignment="1">
      <alignment horizontal="center"/>
    </xf>
    <xf numFmtId="0" fontId="1" fillId="2" borderId="0" xfId="0" applyFont="1" applyFill="1" applyAlignment="1">
      <alignment vertical="top"/>
    </xf>
    <xf numFmtId="3" fontId="3" fillId="2" borderId="2" xfId="0" applyNumberFormat="1" applyFont="1" applyFill="1" applyBorder="1" applyAlignment="1">
      <alignment horizontal="center"/>
    </xf>
    <xf numFmtId="3" fontId="3" fillId="2" borderId="0" xfId="0" applyNumberFormat="1" applyFont="1" applyFill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/>
    </xf>
    <xf numFmtId="3" fontId="3" fillId="3" borderId="0" xfId="0" applyNumberFormat="1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right"/>
    </xf>
    <xf numFmtId="3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2" borderId="0" xfId="0" applyFont="1" applyFill="1" applyAlignment="1">
      <alignment horizontal="center" vertical="center" wrapText="1"/>
    </xf>
    <xf numFmtId="178" fontId="1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right"/>
    </xf>
    <xf numFmtId="176" fontId="3" fillId="2" borderId="0" xfId="0" applyNumberFormat="1" applyFont="1" applyFill="1" applyAlignment="1">
      <alignment horizontal="right"/>
    </xf>
    <xf numFmtId="176" fontId="3" fillId="2" borderId="2" xfId="0" applyNumberFormat="1" applyFont="1" applyFill="1" applyBorder="1" applyAlignment="1">
      <alignment horizontal="right"/>
    </xf>
    <xf numFmtId="3" fontId="3" fillId="2" borderId="0" xfId="0" applyNumberFormat="1" applyFont="1" applyFill="1" applyAlignment="1"/>
    <xf numFmtId="3" fontId="1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3" fontId="1" fillId="3" borderId="0" xfId="0" applyNumberFormat="1" applyFont="1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3" fontId="3" fillId="3" borderId="1" xfId="0" applyNumberFormat="1" applyFont="1" applyFill="1" applyBorder="1" applyAlignment="1">
      <alignment horizontal="center" vertical="center"/>
    </xf>
    <xf numFmtId="3" fontId="1" fillId="3" borderId="0" xfId="0" applyNumberFormat="1" applyFont="1" applyFill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0" fontId="3" fillId="3" borderId="3" xfId="0" applyFont="1" applyFill="1" applyBorder="1" applyAlignment="1">
      <alignment horizontal="center" vertical="center"/>
    </xf>
    <xf numFmtId="3" fontId="3" fillId="3" borderId="4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5" borderId="0" xfId="0" applyFont="1" applyFill="1" applyAlignment="1"/>
    <xf numFmtId="3" fontId="3" fillId="2" borderId="1" xfId="0" applyNumberFormat="1" applyFont="1" applyFill="1" applyBorder="1" applyAlignment="1">
      <alignment horizontal="center" vertical="center"/>
    </xf>
    <xf numFmtId="3" fontId="1" fillId="2" borderId="0" xfId="0" applyNumberFormat="1" applyFont="1" applyFill="1" applyAlignment="1">
      <alignment horizontal="right"/>
    </xf>
    <xf numFmtId="3" fontId="1" fillId="2" borderId="2" xfId="0" applyNumberFormat="1" applyFont="1" applyFill="1" applyBorder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2" borderId="0" xfId="0" applyNumberFormat="1" applyFont="1" applyFill="1" applyAlignment="1">
      <alignment horizontal="right"/>
    </xf>
    <xf numFmtId="3" fontId="3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3" borderId="2" xfId="0" applyFont="1" applyFill="1" applyBorder="1" applyAlignment="1">
      <alignment horizontal="right"/>
    </xf>
    <xf numFmtId="3" fontId="1" fillId="3" borderId="4" xfId="0" applyNumberFormat="1" applyFont="1" applyFill="1" applyBorder="1" applyAlignment="1">
      <alignment horizontal="center" vertical="center"/>
    </xf>
    <xf numFmtId="4" fontId="3" fillId="2" borderId="0" xfId="0" applyNumberFormat="1" applyFont="1" applyFill="1" applyAlignment="1">
      <alignment horizontal="center"/>
    </xf>
    <xf numFmtId="3" fontId="3" fillId="2" borderId="3" xfId="0" applyNumberFormat="1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 wrapText="1"/>
    </xf>
    <xf numFmtId="176" fontId="4" fillId="6" borderId="8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3" fontId="3" fillId="0" borderId="11" xfId="0" applyNumberFormat="1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8" fillId="7" borderId="11" xfId="0" applyFont="1" applyFill="1" applyBorder="1" applyAlignment="1">
      <alignment vertical="center" wrapText="1"/>
    </xf>
    <xf numFmtId="0" fontId="8" fillId="7" borderId="12" xfId="0" applyFont="1" applyFill="1" applyBorder="1" applyAlignment="1">
      <alignment vertical="center" wrapText="1"/>
    </xf>
    <xf numFmtId="0" fontId="9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3A9E2-46A2-465D-8DA1-176C7213E6DB}">
  <dimension ref="A1:CM72"/>
  <sheetViews>
    <sheetView tabSelected="1" workbookViewId="0">
      <selection activeCell="P11" sqref="P11"/>
    </sheetView>
  </sheetViews>
  <sheetFormatPr defaultRowHeight="16.5" x14ac:dyDescent="0.3"/>
  <cols>
    <col min="8" max="8" width="15.375" customWidth="1"/>
  </cols>
  <sheetData>
    <row r="1" spans="1:91" s="77" customFormat="1" ht="38.25" customHeight="1" thickTop="1" thickBot="1" x14ac:dyDescent="0.35">
      <c r="A1" s="113" t="s">
        <v>14</v>
      </c>
      <c r="B1" s="114" t="s">
        <v>15</v>
      </c>
      <c r="C1" s="115" t="s">
        <v>16</v>
      </c>
      <c r="D1" s="116" t="s">
        <v>17</v>
      </c>
      <c r="E1" s="117" t="s">
        <v>18</v>
      </c>
      <c r="F1" s="117" t="s">
        <v>19</v>
      </c>
      <c r="G1" s="117" t="s">
        <v>20</v>
      </c>
      <c r="H1" s="117" t="s">
        <v>21</v>
      </c>
      <c r="I1" s="116" t="s">
        <v>22</v>
      </c>
      <c r="J1" s="116" t="s">
        <v>23</v>
      </c>
      <c r="K1" s="117" t="s">
        <v>24</v>
      </c>
      <c r="L1" s="118" t="s">
        <v>25</v>
      </c>
      <c r="M1" s="119" t="s">
        <v>26</v>
      </c>
      <c r="N1" s="120" t="s">
        <v>27</v>
      </c>
      <c r="O1" s="120" t="s">
        <v>28</v>
      </c>
      <c r="P1" s="120" t="s">
        <v>29</v>
      </c>
      <c r="Q1" s="121" t="s">
        <v>30</v>
      </c>
      <c r="R1" s="120" t="s">
        <v>26</v>
      </c>
      <c r="S1" s="120" t="s">
        <v>27</v>
      </c>
      <c r="T1" s="120" t="s">
        <v>28</v>
      </c>
      <c r="U1" s="120" t="s">
        <v>29</v>
      </c>
      <c r="V1" s="121" t="s">
        <v>30</v>
      </c>
      <c r="W1" s="120" t="s">
        <v>31</v>
      </c>
      <c r="X1" s="122" t="s">
        <v>26</v>
      </c>
      <c r="Y1" s="122" t="s">
        <v>27</v>
      </c>
      <c r="Z1" s="122" t="s">
        <v>28</v>
      </c>
      <c r="AA1" s="122" t="s">
        <v>29</v>
      </c>
      <c r="AB1" s="122" t="s">
        <v>30</v>
      </c>
      <c r="AC1" s="123" t="s">
        <v>31</v>
      </c>
      <c r="AD1" s="122" t="s">
        <v>26</v>
      </c>
      <c r="AE1" s="122" t="s">
        <v>27</v>
      </c>
      <c r="AF1" s="122" t="s">
        <v>28</v>
      </c>
      <c r="AG1" s="122" t="s">
        <v>29</v>
      </c>
      <c r="AH1" s="124" t="s">
        <v>30</v>
      </c>
      <c r="AI1" s="125" t="s">
        <v>32</v>
      </c>
      <c r="AJ1" s="117" t="s">
        <v>33</v>
      </c>
      <c r="AK1" s="117" t="s">
        <v>34</v>
      </c>
      <c r="AL1" s="117" t="s">
        <v>35</v>
      </c>
      <c r="AM1" s="117" t="s">
        <v>36</v>
      </c>
      <c r="AN1" s="117" t="s">
        <v>37</v>
      </c>
      <c r="AO1" s="118" t="s">
        <v>38</v>
      </c>
      <c r="AP1" s="118" t="s">
        <v>39</v>
      </c>
      <c r="AQ1" s="117" t="s">
        <v>40</v>
      </c>
      <c r="AR1" s="117" t="s">
        <v>41</v>
      </c>
      <c r="AS1" s="117" t="s">
        <v>42</v>
      </c>
      <c r="AT1" s="117" t="s">
        <v>43</v>
      </c>
      <c r="AU1" s="117" t="s">
        <v>44</v>
      </c>
      <c r="AV1" s="117" t="s">
        <v>45</v>
      </c>
      <c r="AW1" s="117" t="s">
        <v>46</v>
      </c>
      <c r="AX1" s="117" t="s">
        <v>47</v>
      </c>
      <c r="AY1" s="126" t="s">
        <v>48</v>
      </c>
      <c r="AZ1" s="117" t="s">
        <v>49</v>
      </c>
      <c r="BA1" s="115" t="s">
        <v>50</v>
      </c>
      <c r="BB1" s="128" t="s">
        <v>81</v>
      </c>
      <c r="BC1" s="129" t="s">
        <v>82</v>
      </c>
      <c r="BD1" s="129" t="s">
        <v>83</v>
      </c>
      <c r="BE1" s="129" t="s">
        <v>84</v>
      </c>
      <c r="BF1" s="129" t="s">
        <v>85</v>
      </c>
      <c r="BG1" s="116" t="s">
        <v>51</v>
      </c>
      <c r="BH1" s="129" t="s">
        <v>86</v>
      </c>
      <c r="BI1" s="116" t="s">
        <v>52</v>
      </c>
      <c r="BJ1" s="129" t="s">
        <v>88</v>
      </c>
      <c r="BK1" s="129" t="s">
        <v>87</v>
      </c>
      <c r="BL1" s="116" t="s">
        <v>53</v>
      </c>
      <c r="BM1" s="116" t="s">
        <v>54</v>
      </c>
      <c r="BN1" s="127" t="s">
        <v>55</v>
      </c>
      <c r="BO1" s="116" t="s">
        <v>56</v>
      </c>
      <c r="BP1" s="116" t="s">
        <v>57</v>
      </c>
      <c r="BQ1" s="116" t="s">
        <v>58</v>
      </c>
      <c r="BR1" s="116" t="s">
        <v>59</v>
      </c>
      <c r="BS1" s="116" t="s">
        <v>60</v>
      </c>
      <c r="BT1" s="116" t="s">
        <v>61</v>
      </c>
      <c r="BU1" s="116" t="s">
        <v>62</v>
      </c>
      <c r="BV1" s="116" t="s">
        <v>63</v>
      </c>
      <c r="BW1" s="116" t="s">
        <v>64</v>
      </c>
      <c r="BX1" s="116" t="s">
        <v>65</v>
      </c>
      <c r="BY1" s="116" t="s">
        <v>66</v>
      </c>
      <c r="BZ1" s="116" t="s">
        <v>67</v>
      </c>
      <c r="CA1" s="116" t="s">
        <v>68</v>
      </c>
      <c r="CB1" s="116" t="s">
        <v>69</v>
      </c>
      <c r="CC1" s="116" t="s">
        <v>70</v>
      </c>
      <c r="CD1" s="116" t="s">
        <v>71</v>
      </c>
      <c r="CE1" s="116" t="s">
        <v>72</v>
      </c>
      <c r="CF1" s="116" t="s">
        <v>73</v>
      </c>
      <c r="CG1" s="116" t="s">
        <v>74</v>
      </c>
      <c r="CH1" s="116" t="s">
        <v>75</v>
      </c>
      <c r="CI1" s="116" t="s">
        <v>76</v>
      </c>
      <c r="CJ1" s="116" t="s">
        <v>77</v>
      </c>
      <c r="CK1" s="116" t="s">
        <v>78</v>
      </c>
      <c r="CL1" s="116" t="s">
        <v>79</v>
      </c>
      <c r="CM1" s="127" t="s">
        <v>80</v>
      </c>
    </row>
    <row r="2" spans="1:91" ht="17.25" thickTop="1" x14ac:dyDescent="0.2">
      <c r="A2" s="15">
        <v>1950</v>
      </c>
      <c r="B2" s="15"/>
      <c r="C2" s="16"/>
      <c r="D2" s="15"/>
      <c r="E2" s="17"/>
      <c r="F2" s="17"/>
      <c r="G2" s="17"/>
      <c r="H2" s="17"/>
      <c r="I2" s="15"/>
      <c r="J2" s="15"/>
      <c r="K2" s="17"/>
      <c r="L2" s="18"/>
      <c r="M2" s="19"/>
      <c r="N2" s="20"/>
      <c r="O2" s="20"/>
      <c r="P2" s="20"/>
      <c r="Q2" s="21"/>
      <c r="R2" s="20"/>
      <c r="S2" s="20"/>
      <c r="T2" s="20"/>
      <c r="U2" s="20"/>
      <c r="V2" s="21"/>
      <c r="W2" s="17"/>
      <c r="X2" s="17"/>
      <c r="Y2" s="17"/>
      <c r="Z2" s="17"/>
      <c r="AA2" s="17"/>
      <c r="AB2" s="17"/>
      <c r="AC2" s="22"/>
      <c r="AD2" s="23"/>
      <c r="AE2" s="23"/>
      <c r="AF2" s="23"/>
      <c r="AG2" s="23"/>
      <c r="AH2" s="24"/>
      <c r="AI2" s="17"/>
      <c r="AJ2" s="17"/>
      <c r="AK2" s="17"/>
      <c r="AL2" s="17"/>
      <c r="AM2" s="17"/>
      <c r="AN2" s="17"/>
      <c r="AO2" s="18"/>
      <c r="AP2" s="18"/>
      <c r="AQ2" s="17"/>
      <c r="AR2" s="17"/>
      <c r="AS2" s="17"/>
      <c r="AT2" s="17"/>
      <c r="AU2" s="17"/>
      <c r="AV2" s="17"/>
      <c r="AW2" s="17"/>
      <c r="AX2" s="17"/>
      <c r="AY2" s="25"/>
      <c r="AZ2" s="17"/>
      <c r="BA2" s="16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26"/>
      <c r="BO2" s="16"/>
      <c r="BP2" s="15"/>
      <c r="BQ2" s="27"/>
      <c r="BR2" s="15"/>
      <c r="BS2" s="15"/>
      <c r="BT2" s="27"/>
      <c r="BU2" s="15"/>
      <c r="BV2" s="15"/>
      <c r="BW2" s="28"/>
      <c r="BX2" s="28"/>
      <c r="BY2" s="15"/>
      <c r="BZ2" s="15"/>
      <c r="CA2" s="15"/>
      <c r="CB2" s="15"/>
      <c r="CC2" s="15"/>
      <c r="CD2" s="15"/>
      <c r="CE2" s="15"/>
      <c r="CF2" s="28"/>
      <c r="CG2" s="15"/>
      <c r="CH2" s="15"/>
      <c r="CI2" s="15"/>
      <c r="CJ2" s="15"/>
      <c r="CK2" s="15"/>
      <c r="CL2" s="15"/>
      <c r="CM2" s="26"/>
    </row>
    <row r="3" spans="1:91" x14ac:dyDescent="0.2">
      <c r="A3" s="1">
        <v>1951</v>
      </c>
      <c r="B3" s="1"/>
      <c r="C3" s="2"/>
      <c r="D3" s="1"/>
      <c r="E3" s="3"/>
      <c r="F3" s="3"/>
      <c r="G3" s="3"/>
      <c r="H3" s="3"/>
      <c r="I3" s="1"/>
      <c r="J3" s="1"/>
      <c r="K3" s="3"/>
      <c r="L3" s="4"/>
      <c r="M3" s="5"/>
      <c r="N3" s="6"/>
      <c r="O3" s="6"/>
      <c r="P3" s="6"/>
      <c r="Q3" s="7"/>
      <c r="R3" s="6"/>
      <c r="S3" s="6"/>
      <c r="T3" s="6"/>
      <c r="U3" s="6"/>
      <c r="V3" s="7"/>
      <c r="W3" s="3"/>
      <c r="X3" s="3"/>
      <c r="Y3" s="3"/>
      <c r="Z3" s="3"/>
      <c r="AA3" s="3"/>
      <c r="AB3" s="3"/>
      <c r="AC3" s="8"/>
      <c r="AD3" s="9"/>
      <c r="AE3" s="9"/>
      <c r="AF3" s="9"/>
      <c r="AG3" s="9"/>
      <c r="AH3" s="10"/>
      <c r="AI3" s="3"/>
      <c r="AJ3" s="3"/>
      <c r="AK3" s="3"/>
      <c r="AL3" s="3"/>
      <c r="AM3" s="3"/>
      <c r="AN3" s="3"/>
      <c r="AO3" s="4"/>
      <c r="AP3" s="4"/>
      <c r="AQ3" s="3"/>
      <c r="AR3" s="3"/>
      <c r="AS3" s="3"/>
      <c r="AT3" s="3"/>
      <c r="AU3" s="3"/>
      <c r="AV3" s="3"/>
      <c r="AW3" s="3"/>
      <c r="AX3" s="3"/>
      <c r="AY3" s="11"/>
      <c r="AZ3" s="3"/>
      <c r="BA3" s="2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2"/>
      <c r="BO3" s="2"/>
      <c r="BP3" s="1"/>
      <c r="BQ3" s="13"/>
      <c r="BR3" s="1"/>
      <c r="BS3" s="1"/>
      <c r="BT3" s="13"/>
      <c r="BU3" s="1"/>
      <c r="BV3" s="1"/>
      <c r="BW3" s="14"/>
      <c r="BX3" s="14"/>
      <c r="BY3" s="1"/>
      <c r="BZ3" s="1"/>
      <c r="CA3" s="1"/>
      <c r="CB3" s="1"/>
      <c r="CC3" s="1"/>
      <c r="CD3" s="1"/>
      <c r="CE3" s="1"/>
      <c r="CF3" s="14"/>
      <c r="CG3" s="1"/>
      <c r="CH3" s="1"/>
      <c r="CI3" s="1"/>
      <c r="CJ3" s="1"/>
      <c r="CK3" s="1"/>
      <c r="CL3" s="1"/>
      <c r="CM3" s="12"/>
    </row>
    <row r="4" spans="1:91" ht="48" x14ac:dyDescent="0.2">
      <c r="A4" s="15">
        <v>1952</v>
      </c>
      <c r="B4" s="29" t="s">
        <v>0</v>
      </c>
      <c r="C4" s="15">
        <f>D4</f>
        <v>1</v>
      </c>
      <c r="D4" s="15">
        <v>1</v>
      </c>
      <c r="E4" s="17">
        <v>189</v>
      </c>
      <c r="F4" s="17">
        <v>0</v>
      </c>
      <c r="G4" s="17">
        <v>189</v>
      </c>
      <c r="H4" s="17">
        <v>128</v>
      </c>
      <c r="I4" s="30">
        <f t="shared" ref="I4:I51" si="0">H4/G4*100</f>
        <v>67.724867724867721</v>
      </c>
      <c r="J4" s="31">
        <f t="shared" ref="J4:J51" si="1">G4-H4</f>
        <v>61</v>
      </c>
      <c r="K4" s="17"/>
      <c r="L4" s="18">
        <f>H4</f>
        <v>128</v>
      </c>
      <c r="M4" s="19"/>
      <c r="N4" s="20"/>
      <c r="O4" s="20"/>
      <c r="P4" s="20"/>
      <c r="Q4" s="21"/>
      <c r="R4" s="20"/>
      <c r="S4" s="20"/>
      <c r="T4" s="20"/>
      <c r="U4" s="20"/>
      <c r="V4" s="21"/>
      <c r="W4" s="17"/>
      <c r="X4" s="17"/>
      <c r="Y4" s="17"/>
      <c r="Z4" s="17"/>
      <c r="AA4" s="17"/>
      <c r="AB4" s="17"/>
      <c r="AC4" s="22"/>
      <c r="AD4" s="23"/>
      <c r="AE4" s="23"/>
      <c r="AF4" s="23"/>
      <c r="AG4" s="23"/>
      <c r="AH4" s="24"/>
      <c r="AI4" s="17"/>
      <c r="AJ4" s="17"/>
      <c r="AK4" s="17"/>
      <c r="AL4" s="17"/>
      <c r="AM4" s="17"/>
      <c r="AN4" s="17"/>
      <c r="AO4" s="18"/>
      <c r="AP4" s="18"/>
      <c r="AQ4" s="17"/>
      <c r="AR4" s="17"/>
      <c r="AS4" s="17"/>
      <c r="AT4" s="17"/>
      <c r="AU4" s="17"/>
      <c r="AV4" s="17"/>
      <c r="AW4" s="17"/>
      <c r="AX4" s="17"/>
      <c r="AY4" s="25"/>
      <c r="AZ4" s="17"/>
      <c r="BA4" s="16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26"/>
      <c r="BO4" s="16"/>
      <c r="BP4" s="15"/>
      <c r="BQ4" s="27"/>
      <c r="BR4" s="15"/>
      <c r="BS4" s="15"/>
      <c r="BT4" s="27"/>
      <c r="BU4" s="15"/>
      <c r="BV4" s="15"/>
      <c r="BW4" s="28"/>
      <c r="BX4" s="28"/>
      <c r="BY4" s="15"/>
      <c r="BZ4" s="15"/>
      <c r="CA4" s="15"/>
      <c r="CB4" s="15"/>
      <c r="CC4" s="15"/>
      <c r="CD4" s="15"/>
      <c r="CE4" s="15"/>
      <c r="CF4" s="28"/>
      <c r="CG4" s="15"/>
      <c r="CH4" s="15"/>
      <c r="CI4" s="15"/>
      <c r="CJ4" s="15"/>
      <c r="CK4" s="15"/>
      <c r="CL4" s="15"/>
      <c r="CM4" s="26"/>
    </row>
    <row r="5" spans="1:91" x14ac:dyDescent="0.2">
      <c r="A5" s="1">
        <v>1953</v>
      </c>
      <c r="B5" s="32" t="s">
        <v>1</v>
      </c>
      <c r="C5" s="1">
        <f>D5+C4</f>
        <v>3</v>
      </c>
      <c r="D5" s="1">
        <v>2</v>
      </c>
      <c r="E5" s="3">
        <f>347+254</f>
        <v>601</v>
      </c>
      <c r="F5" s="17">
        <v>0</v>
      </c>
      <c r="G5" s="3">
        <f>347+254</f>
        <v>601</v>
      </c>
      <c r="H5" s="3">
        <f>224+59</f>
        <v>283</v>
      </c>
      <c r="I5" s="33">
        <f t="shared" si="0"/>
        <v>47.088186356073216</v>
      </c>
      <c r="J5" s="34">
        <f t="shared" si="1"/>
        <v>318</v>
      </c>
      <c r="K5" s="3"/>
      <c r="L5" s="4">
        <f>H5+L4</f>
        <v>411</v>
      </c>
      <c r="M5" s="5"/>
      <c r="N5" s="6"/>
      <c r="O5" s="6"/>
      <c r="P5" s="6"/>
      <c r="Q5" s="7"/>
      <c r="R5" s="6"/>
      <c r="S5" s="6"/>
      <c r="T5" s="6"/>
      <c r="U5" s="6"/>
      <c r="V5" s="7"/>
      <c r="W5" s="3"/>
      <c r="X5" s="3"/>
      <c r="Y5" s="3"/>
      <c r="Z5" s="3"/>
      <c r="AA5" s="3"/>
      <c r="AB5" s="3"/>
      <c r="AC5" s="8"/>
      <c r="AD5" s="9"/>
      <c r="AE5" s="9"/>
      <c r="AF5" s="9"/>
      <c r="AG5" s="9"/>
      <c r="AH5" s="10"/>
      <c r="AI5" s="3"/>
      <c r="AJ5" s="3"/>
      <c r="AK5" s="3"/>
      <c r="AL5" s="3"/>
      <c r="AM5" s="3"/>
      <c r="AN5" s="3"/>
      <c r="AO5" s="4"/>
      <c r="AP5" s="4"/>
      <c r="AQ5" s="3"/>
      <c r="AR5" s="3"/>
      <c r="AS5" s="3"/>
      <c r="AT5" s="3"/>
      <c r="AU5" s="3"/>
      <c r="AV5" s="3"/>
      <c r="AW5" s="3"/>
      <c r="AX5" s="3"/>
      <c r="AY5" s="11"/>
      <c r="AZ5" s="3"/>
      <c r="BA5" s="2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2"/>
      <c r="BO5" s="2"/>
      <c r="BP5" s="1"/>
      <c r="BQ5" s="13"/>
      <c r="BR5" s="1"/>
      <c r="BS5" s="1"/>
      <c r="BT5" s="13"/>
      <c r="BU5" s="1"/>
      <c r="BV5" s="1"/>
      <c r="BW5" s="14"/>
      <c r="BX5" s="14"/>
      <c r="BY5" s="1"/>
      <c r="BZ5" s="1"/>
      <c r="CA5" s="1"/>
      <c r="CB5" s="1"/>
      <c r="CC5" s="1"/>
      <c r="CD5" s="1"/>
      <c r="CE5" s="1"/>
      <c r="CF5" s="14"/>
      <c r="CG5" s="1"/>
      <c r="CH5" s="1"/>
      <c r="CI5" s="1"/>
      <c r="CJ5" s="1"/>
      <c r="CK5" s="1"/>
      <c r="CL5" s="1"/>
      <c r="CM5" s="12"/>
    </row>
    <row r="6" spans="1:91" x14ac:dyDescent="0.2">
      <c r="A6" s="15">
        <v>1954</v>
      </c>
      <c r="B6" s="29"/>
      <c r="C6" s="15">
        <f t="shared" ref="C6:C51" si="2">D6+C5</f>
        <v>4</v>
      </c>
      <c r="D6" s="15">
        <v>1</v>
      </c>
      <c r="E6" s="17">
        <v>162</v>
      </c>
      <c r="F6" s="17">
        <v>0</v>
      </c>
      <c r="G6" s="17">
        <v>162</v>
      </c>
      <c r="H6" s="17">
        <v>125</v>
      </c>
      <c r="I6" s="30">
        <f t="shared" si="0"/>
        <v>77.160493827160494</v>
      </c>
      <c r="J6" s="31">
        <f t="shared" si="1"/>
        <v>37</v>
      </c>
      <c r="K6" s="17"/>
      <c r="L6" s="18">
        <f t="shared" ref="L6:L68" si="3">H6+L5</f>
        <v>536</v>
      </c>
      <c r="M6" s="19"/>
      <c r="N6" s="20"/>
      <c r="O6" s="20"/>
      <c r="P6" s="20"/>
      <c r="Q6" s="21"/>
      <c r="R6" s="20"/>
      <c r="S6" s="20"/>
      <c r="T6" s="20"/>
      <c r="U6" s="20"/>
      <c r="V6" s="21"/>
      <c r="W6" s="17"/>
      <c r="X6" s="17"/>
      <c r="Y6" s="17"/>
      <c r="Z6" s="17"/>
      <c r="AA6" s="17"/>
      <c r="AB6" s="17"/>
      <c r="AC6" s="22"/>
      <c r="AD6" s="23"/>
      <c r="AE6" s="23"/>
      <c r="AF6" s="23"/>
      <c r="AG6" s="23"/>
      <c r="AH6" s="24"/>
      <c r="AI6" s="17"/>
      <c r="AJ6" s="17"/>
      <c r="AK6" s="17"/>
      <c r="AL6" s="17"/>
      <c r="AM6" s="17"/>
      <c r="AN6" s="17"/>
      <c r="AO6" s="18"/>
      <c r="AP6" s="18"/>
      <c r="AQ6" s="17"/>
      <c r="AR6" s="17"/>
      <c r="AS6" s="17"/>
      <c r="AT6" s="17"/>
      <c r="AU6" s="17"/>
      <c r="AV6" s="17"/>
      <c r="AW6" s="17"/>
      <c r="AX6" s="17"/>
      <c r="AY6" s="25"/>
      <c r="AZ6" s="17"/>
      <c r="BA6" s="16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26"/>
      <c r="BO6" s="16"/>
      <c r="BP6" s="15"/>
      <c r="BQ6" s="27"/>
      <c r="BR6" s="15"/>
      <c r="BS6" s="15"/>
      <c r="BT6" s="27"/>
      <c r="BU6" s="15"/>
      <c r="BV6" s="15"/>
      <c r="BW6" s="28"/>
      <c r="BX6" s="28"/>
      <c r="BY6" s="15"/>
      <c r="BZ6" s="15"/>
      <c r="CA6" s="15"/>
      <c r="CB6" s="15"/>
      <c r="CC6" s="15"/>
      <c r="CD6" s="15"/>
      <c r="CE6" s="15"/>
      <c r="CF6" s="28"/>
      <c r="CG6" s="15"/>
      <c r="CH6" s="15"/>
      <c r="CI6" s="15"/>
      <c r="CJ6" s="15"/>
      <c r="CK6" s="15"/>
      <c r="CL6" s="15"/>
      <c r="CM6" s="26"/>
    </row>
    <row r="7" spans="1:91" x14ac:dyDescent="0.2">
      <c r="A7" s="1">
        <v>1955</v>
      </c>
      <c r="B7" s="32"/>
      <c r="C7" s="1">
        <f t="shared" si="2"/>
        <v>5</v>
      </c>
      <c r="D7" s="1">
        <v>1</v>
      </c>
      <c r="E7" s="3">
        <v>291</v>
      </c>
      <c r="F7" s="17">
        <v>0</v>
      </c>
      <c r="G7" s="3">
        <v>291</v>
      </c>
      <c r="H7" s="3">
        <v>252</v>
      </c>
      <c r="I7" s="33">
        <f t="shared" si="0"/>
        <v>86.597938144329902</v>
      </c>
      <c r="J7" s="34">
        <f t="shared" si="1"/>
        <v>39</v>
      </c>
      <c r="K7" s="3"/>
      <c r="L7" s="4">
        <f t="shared" si="3"/>
        <v>788</v>
      </c>
      <c r="M7" s="5"/>
      <c r="N7" s="6"/>
      <c r="O7" s="6"/>
      <c r="P7" s="6"/>
      <c r="Q7" s="7"/>
      <c r="R7" s="6"/>
      <c r="S7" s="6"/>
      <c r="T7" s="6"/>
      <c r="U7" s="6"/>
      <c r="V7" s="7"/>
      <c r="W7" s="3"/>
      <c r="X7" s="3"/>
      <c r="Y7" s="3"/>
      <c r="Z7" s="3"/>
      <c r="AA7" s="3"/>
      <c r="AB7" s="3"/>
      <c r="AC7" s="8"/>
      <c r="AD7" s="9"/>
      <c r="AE7" s="9"/>
      <c r="AF7" s="9"/>
      <c r="AG7" s="9"/>
      <c r="AH7" s="10"/>
      <c r="AI7" s="3"/>
      <c r="AJ7" s="3"/>
      <c r="AK7" s="3"/>
      <c r="AL7" s="3"/>
      <c r="AM7" s="3"/>
      <c r="AN7" s="3"/>
      <c r="AO7" s="4"/>
      <c r="AP7" s="4"/>
      <c r="AQ7" s="3"/>
      <c r="AR7" s="3"/>
      <c r="AS7" s="3"/>
      <c r="AT7" s="3"/>
      <c r="AU7" s="35"/>
      <c r="AV7" s="36">
        <v>5435</v>
      </c>
      <c r="AW7" s="36">
        <v>597</v>
      </c>
      <c r="AX7" s="3"/>
      <c r="AY7" s="11"/>
      <c r="AZ7" s="3"/>
      <c r="BA7" s="2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2"/>
      <c r="BO7" s="2"/>
      <c r="BP7" s="1"/>
      <c r="BQ7" s="13"/>
      <c r="BR7" s="1"/>
      <c r="BS7" s="1"/>
      <c r="BT7" s="13"/>
      <c r="BU7" s="1"/>
      <c r="BV7" s="1"/>
      <c r="BW7" s="14"/>
      <c r="BX7" s="14"/>
      <c r="BY7" s="1"/>
      <c r="BZ7" s="1"/>
      <c r="CA7" s="1"/>
      <c r="CB7" s="1"/>
      <c r="CC7" s="1"/>
      <c r="CD7" s="1"/>
      <c r="CE7" s="1"/>
      <c r="CF7" s="14"/>
      <c r="CG7" s="1"/>
      <c r="CH7" s="1"/>
      <c r="CI7" s="1"/>
      <c r="CJ7" s="1"/>
      <c r="CK7" s="1"/>
      <c r="CL7" s="1"/>
      <c r="CM7" s="12"/>
    </row>
    <row r="8" spans="1:91" x14ac:dyDescent="0.2">
      <c r="A8" s="15">
        <v>1956</v>
      </c>
      <c r="B8" s="29"/>
      <c r="C8" s="15">
        <f t="shared" si="2"/>
        <v>6</v>
      </c>
      <c r="D8" s="15">
        <v>1</v>
      </c>
      <c r="E8" s="17">
        <v>390</v>
      </c>
      <c r="F8" s="17">
        <v>0</v>
      </c>
      <c r="G8" s="17">
        <v>390</v>
      </c>
      <c r="H8" s="17">
        <v>340</v>
      </c>
      <c r="I8" s="30">
        <f t="shared" si="0"/>
        <v>87.179487179487182</v>
      </c>
      <c r="J8" s="31">
        <f t="shared" si="1"/>
        <v>50</v>
      </c>
      <c r="K8" s="17"/>
      <c r="L8" s="18">
        <f t="shared" si="3"/>
        <v>1128</v>
      </c>
      <c r="M8" s="19"/>
      <c r="N8" s="20"/>
      <c r="O8" s="20"/>
      <c r="P8" s="20"/>
      <c r="Q8" s="21"/>
      <c r="R8" s="20"/>
      <c r="S8" s="20"/>
      <c r="T8" s="20"/>
      <c r="U8" s="20"/>
      <c r="V8" s="21"/>
      <c r="W8" s="17"/>
      <c r="X8" s="17"/>
      <c r="Y8" s="17"/>
      <c r="Z8" s="17"/>
      <c r="AA8" s="17"/>
      <c r="AB8" s="17"/>
      <c r="AC8" s="22"/>
      <c r="AD8" s="23"/>
      <c r="AE8" s="23"/>
      <c r="AF8" s="23"/>
      <c r="AG8" s="23"/>
      <c r="AH8" s="24"/>
      <c r="AI8" s="17"/>
      <c r="AJ8" s="17"/>
      <c r="AK8" s="17"/>
      <c r="AL8" s="17"/>
      <c r="AM8" s="17"/>
      <c r="AN8" s="17"/>
      <c r="AO8" s="18"/>
      <c r="AP8" s="18"/>
      <c r="AQ8" s="17"/>
      <c r="AR8" s="17"/>
      <c r="AS8" s="37"/>
      <c r="AT8" s="38"/>
      <c r="AU8" s="39">
        <f t="shared" ref="AU8:AU70" si="4">AV8/AV7</f>
        <v>1.0529898804047839</v>
      </c>
      <c r="AV8" s="40">
        <v>5723</v>
      </c>
      <c r="AW8" s="40">
        <v>655</v>
      </c>
      <c r="AX8" s="17"/>
      <c r="AY8" s="25"/>
      <c r="AZ8" s="17"/>
      <c r="BA8" s="1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26"/>
      <c r="BO8" s="16"/>
      <c r="BP8" s="15"/>
      <c r="BQ8" s="27"/>
      <c r="BR8" s="15"/>
      <c r="BS8" s="15"/>
      <c r="BT8" s="27"/>
      <c r="BU8" s="15"/>
      <c r="BV8" s="15"/>
      <c r="BW8" s="28"/>
      <c r="BX8" s="28"/>
      <c r="BY8" s="15"/>
      <c r="BZ8" s="15"/>
      <c r="CA8" s="15"/>
      <c r="CB8" s="15"/>
      <c r="CC8" s="15"/>
      <c r="CD8" s="15"/>
      <c r="CE8" s="15"/>
      <c r="CF8" s="28"/>
      <c r="CG8" s="15"/>
      <c r="CH8" s="15"/>
      <c r="CI8" s="15"/>
      <c r="CJ8" s="15"/>
      <c r="CK8" s="15"/>
      <c r="CL8" s="15"/>
      <c r="CM8" s="26"/>
    </row>
    <row r="9" spans="1:91" x14ac:dyDescent="0.2">
      <c r="A9" s="1">
        <v>1957</v>
      </c>
      <c r="B9" s="32"/>
      <c r="C9" s="1">
        <f t="shared" si="2"/>
        <v>7</v>
      </c>
      <c r="D9" s="1">
        <v>1</v>
      </c>
      <c r="E9" s="3">
        <v>511</v>
      </c>
      <c r="F9" s="17">
        <v>0</v>
      </c>
      <c r="G9" s="3">
        <v>511</v>
      </c>
      <c r="H9" s="3">
        <v>479</v>
      </c>
      <c r="I9" s="33">
        <f t="shared" si="0"/>
        <v>93.737769080234841</v>
      </c>
      <c r="J9" s="34">
        <f t="shared" si="1"/>
        <v>32</v>
      </c>
      <c r="K9" s="3"/>
      <c r="L9" s="4">
        <f t="shared" si="3"/>
        <v>1607</v>
      </c>
      <c r="M9" s="5"/>
      <c r="N9" s="6"/>
      <c r="O9" s="6"/>
      <c r="P9" s="6"/>
      <c r="Q9" s="7"/>
      <c r="R9" s="6"/>
      <c r="S9" s="6"/>
      <c r="T9" s="6"/>
      <c r="U9" s="6"/>
      <c r="V9" s="7"/>
      <c r="W9" s="3"/>
      <c r="X9" s="3"/>
      <c r="Y9" s="3"/>
      <c r="Z9" s="3"/>
      <c r="AA9" s="3"/>
      <c r="AB9" s="3"/>
      <c r="AC9" s="8"/>
      <c r="AD9" s="9"/>
      <c r="AE9" s="9"/>
      <c r="AF9" s="9"/>
      <c r="AG9" s="9"/>
      <c r="AH9" s="10"/>
      <c r="AI9" s="3"/>
      <c r="AJ9" s="3"/>
      <c r="AK9" s="3"/>
      <c r="AL9" s="3"/>
      <c r="AM9" s="3"/>
      <c r="AN9" s="3"/>
      <c r="AO9" s="4"/>
      <c r="AP9" s="4"/>
      <c r="AQ9" s="3"/>
      <c r="AR9" s="3"/>
      <c r="AS9" s="41"/>
      <c r="AT9" s="42"/>
      <c r="AU9" s="35">
        <f t="shared" si="4"/>
        <v>1.0602830683208109</v>
      </c>
      <c r="AV9" s="36">
        <v>6068</v>
      </c>
      <c r="AW9" s="36">
        <v>708</v>
      </c>
      <c r="AX9" s="3"/>
      <c r="AY9" s="11"/>
      <c r="AZ9" s="3"/>
      <c r="BA9" s="2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2"/>
      <c r="BO9" s="2"/>
      <c r="BP9" s="1"/>
      <c r="BQ9" s="13"/>
      <c r="BR9" s="1"/>
      <c r="BS9" s="1"/>
      <c r="BT9" s="13"/>
      <c r="BU9" s="1"/>
      <c r="BV9" s="1"/>
      <c r="BW9" s="14"/>
      <c r="BX9" s="14"/>
      <c r="BY9" s="1"/>
      <c r="BZ9" s="1"/>
      <c r="CA9" s="1"/>
      <c r="CB9" s="1"/>
      <c r="CC9" s="1"/>
      <c r="CD9" s="1"/>
      <c r="CE9" s="1"/>
      <c r="CF9" s="14"/>
      <c r="CG9" s="1"/>
      <c r="CH9" s="1"/>
      <c r="CI9" s="1"/>
      <c r="CJ9" s="1"/>
      <c r="CK9" s="1"/>
      <c r="CL9" s="1"/>
      <c r="CM9" s="12"/>
    </row>
    <row r="10" spans="1:91" x14ac:dyDescent="0.2">
      <c r="A10" s="15">
        <v>1958</v>
      </c>
      <c r="B10" s="29"/>
      <c r="C10" s="15">
        <f t="shared" si="2"/>
        <v>8</v>
      </c>
      <c r="D10" s="15">
        <v>1</v>
      </c>
      <c r="E10" s="17">
        <v>599</v>
      </c>
      <c r="F10" s="17">
        <v>0</v>
      </c>
      <c r="G10" s="17">
        <v>599</v>
      </c>
      <c r="H10" s="17">
        <v>342</v>
      </c>
      <c r="I10" s="30">
        <f t="shared" si="0"/>
        <v>57.095158597662774</v>
      </c>
      <c r="J10" s="31">
        <f t="shared" si="1"/>
        <v>257</v>
      </c>
      <c r="K10" s="17"/>
      <c r="L10" s="18">
        <f t="shared" si="3"/>
        <v>1949</v>
      </c>
      <c r="M10" s="19"/>
      <c r="N10" s="20"/>
      <c r="O10" s="20"/>
      <c r="P10" s="20"/>
      <c r="Q10" s="21"/>
      <c r="R10" s="20"/>
      <c r="S10" s="20"/>
      <c r="T10" s="20"/>
      <c r="U10" s="20"/>
      <c r="V10" s="21"/>
      <c r="W10" s="17"/>
      <c r="X10" s="17"/>
      <c r="Y10" s="17"/>
      <c r="Z10" s="17"/>
      <c r="AA10" s="17"/>
      <c r="AB10" s="17"/>
      <c r="AC10" s="22"/>
      <c r="AD10" s="23"/>
      <c r="AE10" s="23"/>
      <c r="AF10" s="23"/>
      <c r="AG10" s="23"/>
      <c r="AH10" s="24"/>
      <c r="AI10" s="17"/>
      <c r="AJ10" s="17"/>
      <c r="AK10" s="17"/>
      <c r="AL10" s="17"/>
      <c r="AM10" s="17"/>
      <c r="AN10" s="17"/>
      <c r="AO10" s="18"/>
      <c r="AP10" s="18"/>
      <c r="AQ10" s="17"/>
      <c r="AR10" s="17"/>
      <c r="AS10" s="37"/>
      <c r="AT10" s="38"/>
      <c r="AU10" s="39">
        <f t="shared" si="4"/>
        <v>1.0555372445616349</v>
      </c>
      <c r="AV10" s="40">
        <v>6405</v>
      </c>
      <c r="AW10" s="40">
        <v>777</v>
      </c>
      <c r="AX10" s="17"/>
      <c r="AY10" s="25"/>
      <c r="AZ10" s="17"/>
      <c r="BA10" s="16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26"/>
      <c r="BO10" s="16"/>
      <c r="BP10" s="15"/>
      <c r="BQ10" s="27"/>
      <c r="BR10" s="15"/>
      <c r="BS10" s="15"/>
      <c r="BT10" s="27"/>
      <c r="BU10" s="15"/>
      <c r="BV10" s="15"/>
      <c r="BW10" s="28"/>
      <c r="BX10" s="28"/>
      <c r="BY10" s="15"/>
      <c r="BZ10" s="15"/>
      <c r="CA10" s="15"/>
      <c r="CB10" s="15"/>
      <c r="CC10" s="15"/>
      <c r="CD10" s="15"/>
      <c r="CE10" s="15"/>
      <c r="CF10" s="28"/>
      <c r="CG10" s="15"/>
      <c r="CH10" s="15"/>
      <c r="CI10" s="15"/>
      <c r="CJ10" s="15"/>
      <c r="CK10" s="15"/>
      <c r="CL10" s="15"/>
      <c r="CM10" s="26"/>
    </row>
    <row r="11" spans="1:91" x14ac:dyDescent="0.2">
      <c r="A11" s="1">
        <v>1959</v>
      </c>
      <c r="B11" s="32" t="s">
        <v>1</v>
      </c>
      <c r="C11" s="1">
        <f t="shared" si="2"/>
        <v>10</v>
      </c>
      <c r="D11" s="1">
        <v>2</v>
      </c>
      <c r="E11" s="3">
        <f>846+143</f>
        <v>989</v>
      </c>
      <c r="F11" s="17">
        <v>0</v>
      </c>
      <c r="G11" s="3">
        <f>846+143</f>
        <v>989</v>
      </c>
      <c r="H11" s="3">
        <f>710+105</f>
        <v>815</v>
      </c>
      <c r="I11" s="33">
        <f t="shared" si="0"/>
        <v>82.406471183013139</v>
      </c>
      <c r="J11" s="34">
        <f t="shared" si="1"/>
        <v>174</v>
      </c>
      <c r="K11" s="3"/>
      <c r="L11" s="4">
        <f t="shared" si="3"/>
        <v>2764</v>
      </c>
      <c r="M11" s="5"/>
      <c r="N11" s="6"/>
      <c r="O11" s="6"/>
      <c r="P11" s="6"/>
      <c r="Q11" s="7"/>
      <c r="R11" s="6"/>
      <c r="S11" s="6"/>
      <c r="T11" s="6"/>
      <c r="U11" s="6"/>
      <c r="V11" s="7"/>
      <c r="W11" s="3"/>
      <c r="X11" s="3"/>
      <c r="Y11" s="3"/>
      <c r="Z11" s="3"/>
      <c r="AA11" s="3"/>
      <c r="AB11" s="3"/>
      <c r="AC11" s="8"/>
      <c r="AD11" s="9"/>
      <c r="AE11" s="9"/>
      <c r="AF11" s="9"/>
      <c r="AG11" s="9"/>
      <c r="AH11" s="10"/>
      <c r="AI11" s="3"/>
      <c r="AJ11" s="3"/>
      <c r="AK11" s="3"/>
      <c r="AL11" s="3"/>
      <c r="AM11" s="3"/>
      <c r="AN11" s="3"/>
      <c r="AO11" s="4"/>
      <c r="AP11" s="4"/>
      <c r="AQ11" s="3"/>
      <c r="AR11" s="3"/>
      <c r="AS11" s="41"/>
      <c r="AT11" s="42"/>
      <c r="AU11" s="35">
        <f t="shared" si="4"/>
        <v>1.0326307572209212</v>
      </c>
      <c r="AV11" s="36">
        <v>6614</v>
      </c>
      <c r="AW11" s="36">
        <v>863</v>
      </c>
      <c r="AX11" s="3"/>
      <c r="AY11" s="11"/>
      <c r="AZ11" s="3"/>
      <c r="BA11" s="2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2"/>
      <c r="BO11" s="2"/>
      <c r="BP11" s="1"/>
      <c r="BQ11" s="13"/>
      <c r="BR11" s="1"/>
      <c r="BS11" s="1"/>
      <c r="BT11" s="13"/>
      <c r="BU11" s="1"/>
      <c r="BV11" s="1"/>
      <c r="BW11" s="14"/>
      <c r="BX11" s="14"/>
      <c r="BY11" s="1"/>
      <c r="BZ11" s="1"/>
      <c r="CA11" s="1"/>
      <c r="CB11" s="1"/>
      <c r="CC11" s="1"/>
      <c r="CD11" s="1"/>
      <c r="CE11" s="1"/>
      <c r="CF11" s="14"/>
      <c r="CG11" s="1"/>
      <c r="CH11" s="1"/>
      <c r="CI11" s="1"/>
      <c r="CJ11" s="1"/>
      <c r="CK11" s="1"/>
      <c r="CL11" s="1"/>
      <c r="CM11" s="12"/>
    </row>
    <row r="12" spans="1:91" x14ac:dyDescent="0.2">
      <c r="A12" s="15">
        <v>1960</v>
      </c>
      <c r="B12" s="29"/>
      <c r="C12" s="15">
        <f t="shared" si="2"/>
        <v>11</v>
      </c>
      <c r="D12" s="15">
        <v>1</v>
      </c>
      <c r="E12" s="17">
        <v>650</v>
      </c>
      <c r="F12" s="17">
        <v>0</v>
      </c>
      <c r="G12" s="17">
        <v>650</v>
      </c>
      <c r="H12" s="17">
        <v>603</v>
      </c>
      <c r="I12" s="30">
        <f t="shared" si="0"/>
        <v>92.769230769230774</v>
      </c>
      <c r="J12" s="31">
        <f t="shared" si="1"/>
        <v>47</v>
      </c>
      <c r="K12" s="17"/>
      <c r="L12" s="18">
        <f t="shared" si="3"/>
        <v>3367</v>
      </c>
      <c r="M12" s="19"/>
      <c r="N12" s="20"/>
      <c r="O12" s="20"/>
      <c r="P12" s="20"/>
      <c r="Q12" s="21"/>
      <c r="R12" s="20"/>
      <c r="S12" s="20"/>
      <c r="T12" s="20"/>
      <c r="U12" s="20"/>
      <c r="V12" s="21"/>
      <c r="W12" s="17"/>
      <c r="X12" s="17"/>
      <c r="Y12" s="17"/>
      <c r="Z12" s="17"/>
      <c r="AA12" s="17"/>
      <c r="AB12" s="17"/>
      <c r="AC12" s="22"/>
      <c r="AD12" s="23"/>
      <c r="AE12" s="23"/>
      <c r="AF12" s="23"/>
      <c r="AG12" s="23"/>
      <c r="AH12" s="24"/>
      <c r="AI12" s="17"/>
      <c r="AJ12" s="17"/>
      <c r="AK12" s="17"/>
      <c r="AL12" s="17"/>
      <c r="AM12" s="17"/>
      <c r="AN12" s="17"/>
      <c r="AO12" s="18"/>
      <c r="AP12" s="18"/>
      <c r="AQ12" s="17"/>
      <c r="AR12" s="17"/>
      <c r="AS12" s="37"/>
      <c r="AT12" s="38"/>
      <c r="AU12" s="39">
        <f t="shared" si="4"/>
        <v>1.0680374962201391</v>
      </c>
      <c r="AV12" s="40">
        <v>7064</v>
      </c>
      <c r="AW12" s="40">
        <v>980</v>
      </c>
      <c r="AX12" s="17"/>
      <c r="AY12" s="25"/>
      <c r="AZ12" s="17"/>
      <c r="BA12" s="16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26"/>
      <c r="BO12" s="16"/>
      <c r="BP12" s="15"/>
      <c r="BQ12" s="27"/>
      <c r="BR12" s="15"/>
      <c r="BS12" s="15"/>
      <c r="BT12" s="27"/>
      <c r="BU12" s="15"/>
      <c r="BV12" s="15"/>
      <c r="BW12" s="28"/>
      <c r="BX12" s="28"/>
      <c r="BY12" s="15"/>
      <c r="BZ12" s="15"/>
      <c r="CA12" s="15"/>
      <c r="CB12" s="15"/>
      <c r="CC12" s="15"/>
      <c r="CD12" s="15"/>
      <c r="CE12" s="15"/>
      <c r="CF12" s="28"/>
      <c r="CG12" s="15"/>
      <c r="CH12" s="15"/>
      <c r="CI12" s="15"/>
      <c r="CJ12" s="15"/>
      <c r="CK12" s="15"/>
      <c r="CL12" s="15"/>
      <c r="CM12" s="26"/>
    </row>
    <row r="13" spans="1:91" x14ac:dyDescent="0.2">
      <c r="A13" s="1">
        <v>1961</v>
      </c>
      <c r="B13" s="32" t="s">
        <v>1</v>
      </c>
      <c r="C13" s="1">
        <f t="shared" si="2"/>
        <v>13</v>
      </c>
      <c r="D13" s="1">
        <v>2</v>
      </c>
      <c r="E13" s="3">
        <f>711+127</f>
        <v>838</v>
      </c>
      <c r="F13" s="17">
        <v>0</v>
      </c>
      <c r="G13" s="3">
        <f>711+127</f>
        <v>838</v>
      </c>
      <c r="H13" s="3">
        <f>616+106</f>
        <v>722</v>
      </c>
      <c r="I13" s="33">
        <f t="shared" si="0"/>
        <v>86.157517899761331</v>
      </c>
      <c r="J13" s="34">
        <f t="shared" si="1"/>
        <v>116</v>
      </c>
      <c r="K13" s="3"/>
      <c r="L13" s="4">
        <f t="shared" si="3"/>
        <v>4089</v>
      </c>
      <c r="M13" s="5"/>
      <c r="N13" s="6"/>
      <c r="O13" s="6"/>
      <c r="P13" s="6"/>
      <c r="Q13" s="7"/>
      <c r="R13" s="6"/>
      <c r="S13" s="6"/>
      <c r="T13" s="6"/>
      <c r="U13" s="6"/>
      <c r="V13" s="7"/>
      <c r="W13" s="3"/>
      <c r="X13" s="3"/>
      <c r="Y13" s="3"/>
      <c r="Z13" s="3"/>
      <c r="AA13" s="3"/>
      <c r="AB13" s="3"/>
      <c r="AC13" s="8"/>
      <c r="AD13" s="9"/>
      <c r="AE13" s="9"/>
      <c r="AF13" s="9"/>
      <c r="AG13" s="9"/>
      <c r="AH13" s="10"/>
      <c r="AI13" s="3"/>
      <c r="AJ13" s="3"/>
      <c r="AK13" s="3"/>
      <c r="AL13" s="3"/>
      <c r="AM13" s="3"/>
      <c r="AN13" s="3"/>
      <c r="AO13" s="4"/>
      <c r="AP13" s="4"/>
      <c r="AQ13" s="3"/>
      <c r="AR13" s="3"/>
      <c r="AS13" s="41"/>
      <c r="AT13" s="42"/>
      <c r="AU13" s="35">
        <f t="shared" si="4"/>
        <v>1.0906002265005663</v>
      </c>
      <c r="AV13" s="36">
        <v>7704</v>
      </c>
      <c r="AW13" s="36">
        <v>1177</v>
      </c>
      <c r="AX13" s="3"/>
      <c r="AY13" s="11"/>
      <c r="AZ13" s="3"/>
      <c r="BA13" s="2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2"/>
      <c r="BO13" s="2"/>
      <c r="BP13" s="1"/>
      <c r="BQ13" s="13"/>
      <c r="BR13" s="1"/>
      <c r="BS13" s="1"/>
      <c r="BT13" s="13"/>
      <c r="BU13" s="1"/>
      <c r="BV13" s="1"/>
      <c r="BW13" s="14"/>
      <c r="BX13" s="14"/>
      <c r="BY13" s="1"/>
      <c r="BZ13" s="1"/>
      <c r="CA13" s="1"/>
      <c r="CB13" s="1"/>
      <c r="CC13" s="1"/>
      <c r="CD13" s="1"/>
      <c r="CE13" s="1"/>
      <c r="CF13" s="14"/>
      <c r="CG13" s="1"/>
      <c r="CH13" s="1"/>
      <c r="CI13" s="1"/>
      <c r="CJ13" s="1"/>
      <c r="CK13" s="1"/>
      <c r="CL13" s="1"/>
      <c r="CM13" s="12"/>
    </row>
    <row r="14" spans="1:91" x14ac:dyDescent="0.2">
      <c r="A14" s="15">
        <v>1962</v>
      </c>
      <c r="B14" s="29"/>
      <c r="C14" s="15">
        <f t="shared" si="2"/>
        <v>14</v>
      </c>
      <c r="D14" s="15">
        <v>1</v>
      </c>
      <c r="E14" s="17">
        <v>742</v>
      </c>
      <c r="F14" s="17">
        <v>0</v>
      </c>
      <c r="G14" s="17">
        <v>742</v>
      </c>
      <c r="H14" s="17">
        <v>680</v>
      </c>
      <c r="I14" s="30">
        <f t="shared" si="0"/>
        <v>91.644204851752022</v>
      </c>
      <c r="J14" s="31">
        <f t="shared" si="1"/>
        <v>62</v>
      </c>
      <c r="K14" s="17"/>
      <c r="L14" s="18">
        <f t="shared" si="3"/>
        <v>4769</v>
      </c>
      <c r="M14" s="19"/>
      <c r="N14" s="20"/>
      <c r="O14" s="20"/>
      <c r="P14" s="20"/>
      <c r="Q14" s="21"/>
      <c r="R14" s="20"/>
      <c r="S14" s="20"/>
      <c r="T14" s="20"/>
      <c r="U14" s="20"/>
      <c r="V14" s="21"/>
      <c r="W14" s="17">
        <f>5465+1025</f>
        <v>6490</v>
      </c>
      <c r="X14" s="17"/>
      <c r="Y14" s="17"/>
      <c r="Z14" s="17"/>
      <c r="AA14" s="17"/>
      <c r="AB14" s="17"/>
      <c r="AC14" s="22">
        <v>1025</v>
      </c>
      <c r="AD14" s="23"/>
      <c r="AE14" s="23"/>
      <c r="AF14" s="23"/>
      <c r="AG14" s="23"/>
      <c r="AH14" s="24"/>
      <c r="AI14" s="17"/>
      <c r="AJ14" s="17"/>
      <c r="AK14" s="17"/>
      <c r="AL14" s="17"/>
      <c r="AM14" s="17"/>
      <c r="AN14" s="17"/>
      <c r="AO14" s="18"/>
      <c r="AP14" s="18"/>
      <c r="AQ14" s="17"/>
      <c r="AR14" s="17"/>
      <c r="AS14" s="37"/>
      <c r="AT14" s="38"/>
      <c r="AU14" s="39">
        <f t="shared" si="4"/>
        <v>1.1618639667705088</v>
      </c>
      <c r="AV14" s="40">
        <v>8951</v>
      </c>
      <c r="AW14" s="40">
        <v>1400</v>
      </c>
      <c r="AX14" s="17"/>
      <c r="AY14" s="25"/>
      <c r="AZ14" s="17"/>
      <c r="BA14" s="16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26"/>
      <c r="BO14" s="16"/>
      <c r="BP14" s="15"/>
      <c r="BQ14" s="27"/>
      <c r="BR14" s="15"/>
      <c r="BS14" s="15"/>
      <c r="BT14" s="27"/>
      <c r="BU14" s="15"/>
      <c r="BV14" s="15"/>
      <c r="BW14" s="28"/>
      <c r="BX14" s="28"/>
      <c r="BY14" s="15"/>
      <c r="BZ14" s="15"/>
      <c r="CA14" s="15"/>
      <c r="CB14" s="15"/>
      <c r="CC14" s="15"/>
      <c r="CD14" s="15"/>
      <c r="CE14" s="15"/>
      <c r="CF14" s="28"/>
      <c r="CG14" s="15"/>
      <c r="CH14" s="15"/>
      <c r="CI14" s="15"/>
      <c r="CJ14" s="15"/>
      <c r="CK14" s="15"/>
      <c r="CL14" s="15"/>
      <c r="CM14" s="26"/>
    </row>
    <row r="15" spans="1:91" ht="60" x14ac:dyDescent="0.2">
      <c r="A15" s="1">
        <v>1963</v>
      </c>
      <c r="B15" s="32" t="s">
        <v>2</v>
      </c>
      <c r="C15" s="1">
        <f t="shared" si="2"/>
        <v>16</v>
      </c>
      <c r="D15" s="1">
        <v>2</v>
      </c>
      <c r="E15" s="3">
        <f>90+847</f>
        <v>937</v>
      </c>
      <c r="F15" s="17">
        <v>0</v>
      </c>
      <c r="G15" s="3">
        <f>90+847</f>
        <v>937</v>
      </c>
      <c r="H15" s="3">
        <f>37+765</f>
        <v>802</v>
      </c>
      <c r="I15" s="33">
        <f t="shared" si="0"/>
        <v>85.592315901814302</v>
      </c>
      <c r="J15" s="34">
        <f t="shared" si="1"/>
        <v>135</v>
      </c>
      <c r="K15" s="3"/>
      <c r="L15" s="4">
        <f t="shared" si="3"/>
        <v>5571</v>
      </c>
      <c r="M15" s="5"/>
      <c r="N15" s="6"/>
      <c r="O15" s="6"/>
      <c r="P15" s="6"/>
      <c r="Q15" s="7"/>
      <c r="R15" s="6"/>
      <c r="S15" s="6"/>
      <c r="T15" s="6"/>
      <c r="U15" s="6"/>
      <c r="V15" s="7"/>
      <c r="W15" s="3"/>
      <c r="X15" s="3"/>
      <c r="Y15" s="3"/>
      <c r="Z15" s="3"/>
      <c r="AA15" s="3"/>
      <c r="AB15" s="3"/>
      <c r="AC15" s="8"/>
      <c r="AD15" s="9"/>
      <c r="AE15" s="9"/>
      <c r="AF15" s="9"/>
      <c r="AG15" s="9"/>
      <c r="AH15" s="10"/>
      <c r="AI15" s="3"/>
      <c r="AJ15" s="3"/>
      <c r="AK15" s="3"/>
      <c r="AL15" s="3"/>
      <c r="AM15" s="3"/>
      <c r="AN15" s="3"/>
      <c r="AO15" s="4"/>
      <c r="AP15" s="4"/>
      <c r="AQ15" s="3"/>
      <c r="AR15" s="3"/>
      <c r="AS15" s="41"/>
      <c r="AT15" s="42"/>
      <c r="AU15" s="35">
        <f t="shared" si="4"/>
        <v>0.9662607529884929</v>
      </c>
      <c r="AV15" s="36">
        <v>8649</v>
      </c>
      <c r="AW15" s="36">
        <v>1404</v>
      </c>
      <c r="AX15" s="3"/>
      <c r="AY15" s="11"/>
      <c r="AZ15" s="3"/>
      <c r="BA15" s="2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2"/>
      <c r="BO15" s="2"/>
      <c r="BP15" s="1"/>
      <c r="BQ15" s="13"/>
      <c r="BR15" s="1"/>
      <c r="BS15" s="1"/>
      <c r="BT15" s="13"/>
      <c r="BU15" s="1"/>
      <c r="BV15" s="1"/>
      <c r="BW15" s="14"/>
      <c r="BX15" s="14"/>
      <c r="BY15" s="1"/>
      <c r="BZ15" s="1"/>
      <c r="CA15" s="1"/>
      <c r="CB15" s="1"/>
      <c r="CC15" s="1"/>
      <c r="CD15" s="1"/>
      <c r="CE15" s="1"/>
      <c r="CF15" s="14"/>
      <c r="CG15" s="1"/>
      <c r="CH15" s="1"/>
      <c r="CI15" s="1"/>
      <c r="CJ15" s="1"/>
      <c r="CK15" s="1"/>
      <c r="CL15" s="1"/>
      <c r="CM15" s="12"/>
    </row>
    <row r="16" spans="1:91" x14ac:dyDescent="0.2">
      <c r="A16" s="15">
        <v>1964</v>
      </c>
      <c r="B16" s="29"/>
      <c r="C16" s="15">
        <f t="shared" si="2"/>
        <v>17</v>
      </c>
      <c r="D16" s="15">
        <v>1</v>
      </c>
      <c r="E16" s="17">
        <v>906</v>
      </c>
      <c r="F16" s="17">
        <v>0</v>
      </c>
      <c r="G16" s="17">
        <v>906</v>
      </c>
      <c r="H16" s="17">
        <v>848</v>
      </c>
      <c r="I16" s="30">
        <f t="shared" si="0"/>
        <v>93.598233995584991</v>
      </c>
      <c r="J16" s="31">
        <f t="shared" si="1"/>
        <v>58</v>
      </c>
      <c r="K16" s="17"/>
      <c r="L16" s="18">
        <f t="shared" si="3"/>
        <v>6419</v>
      </c>
      <c r="M16" s="19"/>
      <c r="N16" s="20"/>
      <c r="O16" s="20"/>
      <c r="P16" s="20"/>
      <c r="Q16" s="21"/>
      <c r="R16" s="20"/>
      <c r="S16" s="20"/>
      <c r="T16" s="20"/>
      <c r="U16" s="20"/>
      <c r="V16" s="21"/>
      <c r="W16" s="17"/>
      <c r="X16" s="17"/>
      <c r="Y16" s="17"/>
      <c r="Z16" s="17"/>
      <c r="AA16" s="17"/>
      <c r="AB16" s="17"/>
      <c r="AC16" s="22"/>
      <c r="AD16" s="23"/>
      <c r="AE16" s="23"/>
      <c r="AF16" s="23"/>
      <c r="AG16" s="23"/>
      <c r="AH16" s="24"/>
      <c r="AI16" s="17"/>
      <c r="AJ16" s="17"/>
      <c r="AK16" s="17"/>
      <c r="AL16" s="17"/>
      <c r="AM16" s="17"/>
      <c r="AN16" s="17"/>
      <c r="AO16" s="18"/>
      <c r="AP16" s="18"/>
      <c r="AQ16" s="17"/>
      <c r="AR16" s="17"/>
      <c r="AS16" s="37"/>
      <c r="AT16" s="38"/>
      <c r="AU16" s="39">
        <f t="shared" si="4"/>
        <v>1.1209388368597526</v>
      </c>
      <c r="AV16" s="40">
        <v>9695</v>
      </c>
      <c r="AW16" s="40">
        <v>1548</v>
      </c>
      <c r="AX16" s="17"/>
      <c r="AY16" s="25"/>
      <c r="AZ16" s="17"/>
      <c r="BA16" s="16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26"/>
      <c r="BO16" s="16"/>
      <c r="BP16" s="15"/>
      <c r="BQ16" s="27"/>
      <c r="BR16" s="15"/>
      <c r="BS16" s="15"/>
      <c r="BT16" s="27"/>
      <c r="BU16" s="15"/>
      <c r="BV16" s="15"/>
      <c r="BW16" s="28"/>
      <c r="BX16" s="28"/>
      <c r="BY16" s="15"/>
      <c r="BZ16" s="15"/>
      <c r="CA16" s="15"/>
      <c r="CB16" s="15"/>
      <c r="CC16" s="15"/>
      <c r="CD16" s="15"/>
      <c r="CE16" s="15"/>
      <c r="CF16" s="28"/>
      <c r="CG16" s="15"/>
      <c r="CH16" s="15"/>
      <c r="CI16" s="15"/>
      <c r="CJ16" s="15"/>
      <c r="CK16" s="15"/>
      <c r="CL16" s="15"/>
      <c r="CM16" s="26"/>
    </row>
    <row r="17" spans="1:91" x14ac:dyDescent="0.2">
      <c r="A17" s="1">
        <v>1965</v>
      </c>
      <c r="B17" s="32"/>
      <c r="C17" s="1">
        <f t="shared" si="2"/>
        <v>18</v>
      </c>
      <c r="D17" s="1">
        <v>1</v>
      </c>
      <c r="E17" s="3">
        <v>853</v>
      </c>
      <c r="F17" s="17">
        <v>0</v>
      </c>
      <c r="G17" s="3">
        <v>853</v>
      </c>
      <c r="H17" s="3">
        <v>781</v>
      </c>
      <c r="I17" s="33">
        <f t="shared" si="0"/>
        <v>91.559202813599057</v>
      </c>
      <c r="J17" s="34">
        <f t="shared" si="1"/>
        <v>72</v>
      </c>
      <c r="K17" s="3"/>
      <c r="L17" s="4">
        <f t="shared" si="3"/>
        <v>7200</v>
      </c>
      <c r="M17" s="5"/>
      <c r="N17" s="6"/>
      <c r="O17" s="6"/>
      <c r="P17" s="6"/>
      <c r="Q17" s="7"/>
      <c r="R17" s="6"/>
      <c r="S17" s="6"/>
      <c r="T17" s="6"/>
      <c r="U17" s="6"/>
      <c r="V17" s="7"/>
      <c r="W17" s="3"/>
      <c r="X17" s="3"/>
      <c r="Y17" s="3"/>
      <c r="Z17" s="3"/>
      <c r="AA17" s="3"/>
      <c r="AB17" s="3"/>
      <c r="AC17" s="8"/>
      <c r="AD17" s="9"/>
      <c r="AE17" s="9"/>
      <c r="AF17" s="9"/>
      <c r="AG17" s="9"/>
      <c r="AH17" s="10"/>
      <c r="AI17" s="3"/>
      <c r="AJ17" s="3"/>
      <c r="AK17" s="3"/>
      <c r="AL17" s="3"/>
      <c r="AM17" s="3"/>
      <c r="AN17" s="3"/>
      <c r="AO17" s="4"/>
      <c r="AP17" s="4"/>
      <c r="AQ17" s="3"/>
      <c r="AR17" s="3"/>
      <c r="AS17" s="41"/>
      <c r="AT17" s="42"/>
      <c r="AU17" s="35">
        <f t="shared" si="4"/>
        <v>1.0793192367199587</v>
      </c>
      <c r="AV17" s="36">
        <v>10464</v>
      </c>
      <c r="AW17" s="36">
        <v>1664</v>
      </c>
      <c r="AX17" s="3"/>
      <c r="AY17" s="11"/>
      <c r="AZ17" s="3"/>
      <c r="BA17" s="2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2"/>
      <c r="BO17" s="2"/>
      <c r="BP17" s="1">
        <v>571</v>
      </c>
      <c r="BQ17" s="13">
        <v>106</v>
      </c>
      <c r="BR17" s="1"/>
      <c r="BS17" s="1"/>
      <c r="BT17" s="13"/>
      <c r="BU17" s="1">
        <v>881</v>
      </c>
      <c r="BV17" s="1">
        <v>122</v>
      </c>
      <c r="BW17" s="14"/>
      <c r="BX17" s="14">
        <f>599+104</f>
        <v>703</v>
      </c>
      <c r="BY17" s="1">
        <v>104</v>
      </c>
      <c r="BZ17" s="1">
        <f>617+96</f>
        <v>713</v>
      </c>
      <c r="CA17" s="1">
        <v>96</v>
      </c>
      <c r="CB17" s="1"/>
      <c r="CC17" s="1"/>
      <c r="CD17" s="1"/>
      <c r="CE17" s="1"/>
      <c r="CF17" s="14">
        <f>564+94</f>
        <v>658</v>
      </c>
      <c r="CG17" s="1">
        <v>94</v>
      </c>
      <c r="CH17" s="1">
        <f>588+73</f>
        <v>661</v>
      </c>
      <c r="CI17" s="1">
        <v>73</v>
      </c>
      <c r="CJ17" s="1">
        <f>637+116</f>
        <v>753</v>
      </c>
      <c r="CK17" s="1">
        <v>116</v>
      </c>
      <c r="CL17" s="1">
        <f>639+114</f>
        <v>753</v>
      </c>
      <c r="CM17" s="12">
        <v>114</v>
      </c>
    </row>
    <row r="18" spans="1:91" x14ac:dyDescent="0.2">
      <c r="A18" s="15">
        <v>1966</v>
      </c>
      <c r="B18" s="29"/>
      <c r="C18" s="15">
        <f t="shared" si="2"/>
        <v>19</v>
      </c>
      <c r="D18" s="15">
        <v>1</v>
      </c>
      <c r="E18" s="43">
        <v>791</v>
      </c>
      <c r="F18" s="17">
        <v>0</v>
      </c>
      <c r="G18" s="43">
        <v>791</v>
      </c>
      <c r="H18" s="43">
        <v>684</v>
      </c>
      <c r="I18" s="30">
        <f t="shared" si="0"/>
        <v>86.472819216182046</v>
      </c>
      <c r="J18" s="15">
        <f t="shared" si="1"/>
        <v>107</v>
      </c>
      <c r="K18" s="17"/>
      <c r="L18" s="18">
        <f t="shared" si="3"/>
        <v>7884</v>
      </c>
      <c r="M18" s="19"/>
      <c r="N18" s="20"/>
      <c r="O18" s="20"/>
      <c r="P18" s="20"/>
      <c r="Q18" s="21"/>
      <c r="R18" s="20"/>
      <c r="S18" s="20"/>
      <c r="T18" s="20"/>
      <c r="U18" s="20"/>
      <c r="V18" s="21"/>
      <c r="W18" s="17"/>
      <c r="X18" s="17"/>
      <c r="Y18" s="17"/>
      <c r="Z18" s="17"/>
      <c r="AA18" s="17"/>
      <c r="AB18" s="17"/>
      <c r="AC18" s="22"/>
      <c r="AD18" s="23"/>
      <c r="AE18" s="23"/>
      <c r="AF18" s="23"/>
      <c r="AG18" s="23"/>
      <c r="AH18" s="24"/>
      <c r="AI18" s="17"/>
      <c r="AJ18" s="17"/>
      <c r="AK18" s="17"/>
      <c r="AL18" s="17"/>
      <c r="AM18" s="17"/>
      <c r="AN18" s="17"/>
      <c r="AO18" s="18"/>
      <c r="AP18" s="18"/>
      <c r="AQ18" s="17"/>
      <c r="AR18" s="17"/>
      <c r="AS18" s="37"/>
      <c r="AT18" s="38"/>
      <c r="AU18" s="39">
        <f t="shared" si="4"/>
        <v>1.0581039755351682</v>
      </c>
      <c r="AV18" s="40">
        <v>11072</v>
      </c>
      <c r="AW18" s="40">
        <v>1764</v>
      </c>
      <c r="AX18" s="17"/>
      <c r="AY18" s="25"/>
      <c r="AZ18" s="17"/>
      <c r="BA18" s="16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26"/>
      <c r="BO18" s="16"/>
      <c r="BP18" s="15">
        <v>667</v>
      </c>
      <c r="BQ18" s="27">
        <v>95</v>
      </c>
      <c r="BR18" s="15"/>
      <c r="BS18" s="15"/>
      <c r="BT18" s="27"/>
      <c r="BU18" s="15">
        <v>877</v>
      </c>
      <c r="BV18" s="15">
        <v>113</v>
      </c>
      <c r="BW18" s="28"/>
      <c r="BX18" s="28">
        <v>716</v>
      </c>
      <c r="BY18" s="15">
        <v>97</v>
      </c>
      <c r="BZ18" s="15">
        <v>852</v>
      </c>
      <c r="CA18" s="15">
        <v>118</v>
      </c>
      <c r="CB18" s="15"/>
      <c r="CC18" s="15"/>
      <c r="CD18" s="15"/>
      <c r="CE18" s="15"/>
      <c r="CF18" s="28">
        <v>732</v>
      </c>
      <c r="CG18" s="15">
        <v>112</v>
      </c>
      <c r="CH18" s="15">
        <v>639</v>
      </c>
      <c r="CI18" s="15">
        <v>94</v>
      </c>
      <c r="CJ18" s="15">
        <v>654</v>
      </c>
      <c r="CK18" s="15">
        <v>80</v>
      </c>
      <c r="CL18" s="15">
        <v>733</v>
      </c>
      <c r="CM18" s="26">
        <v>82</v>
      </c>
    </row>
    <row r="19" spans="1:91" x14ac:dyDescent="0.2">
      <c r="A19" s="1">
        <v>1967</v>
      </c>
      <c r="B19" s="32" t="s">
        <v>1</v>
      </c>
      <c r="C19" s="1">
        <f t="shared" si="2"/>
        <v>21</v>
      </c>
      <c r="D19" s="1">
        <v>2</v>
      </c>
      <c r="E19" s="44">
        <f>788+221</f>
        <v>1009</v>
      </c>
      <c r="F19" s="17">
        <v>0</v>
      </c>
      <c r="G19" s="44">
        <f>788+221</f>
        <v>1009</v>
      </c>
      <c r="H19" s="44">
        <f>704+19</f>
        <v>723</v>
      </c>
      <c r="I19" s="33">
        <f t="shared" si="0"/>
        <v>71.65510406342915</v>
      </c>
      <c r="J19" s="1">
        <f t="shared" si="1"/>
        <v>286</v>
      </c>
      <c r="K19" s="3"/>
      <c r="L19" s="4">
        <f t="shared" si="3"/>
        <v>8607</v>
      </c>
      <c r="M19" s="5"/>
      <c r="N19" s="6"/>
      <c r="O19" s="6"/>
      <c r="P19" s="6"/>
      <c r="Q19" s="7"/>
      <c r="R19" s="6"/>
      <c r="S19" s="6"/>
      <c r="T19" s="6"/>
      <c r="U19" s="6"/>
      <c r="V19" s="7"/>
      <c r="W19" s="3"/>
      <c r="X19" s="3"/>
      <c r="Y19" s="3"/>
      <c r="Z19" s="3"/>
      <c r="AA19" s="3"/>
      <c r="AB19" s="3"/>
      <c r="AC19" s="8"/>
      <c r="AD19" s="9"/>
      <c r="AE19" s="9"/>
      <c r="AF19" s="9"/>
      <c r="AG19" s="9"/>
      <c r="AH19" s="10"/>
      <c r="AI19" s="3"/>
      <c r="AJ19" s="3"/>
      <c r="AK19" s="3"/>
      <c r="AL19" s="3"/>
      <c r="AM19" s="3"/>
      <c r="AN19" s="3"/>
      <c r="AO19" s="4"/>
      <c r="AP19" s="4"/>
      <c r="AQ19" s="3"/>
      <c r="AR19" s="3"/>
      <c r="AS19" s="41"/>
      <c r="AT19" s="42"/>
      <c r="AU19" s="35">
        <f t="shared" si="4"/>
        <v>1.0679190751445087</v>
      </c>
      <c r="AV19" s="36">
        <v>11824</v>
      </c>
      <c r="AW19" s="36">
        <v>1873</v>
      </c>
      <c r="AX19" s="3"/>
      <c r="AY19" s="11"/>
      <c r="AZ19" s="3"/>
      <c r="BA19" s="2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2"/>
      <c r="BO19" s="2"/>
      <c r="BP19" s="1"/>
      <c r="BQ19" s="13"/>
      <c r="BR19" s="1"/>
      <c r="BS19" s="1"/>
      <c r="BT19" s="13"/>
      <c r="BU19" s="1"/>
      <c r="BV19" s="1"/>
      <c r="BW19" s="14"/>
      <c r="BX19" s="14"/>
      <c r="BY19" s="1"/>
      <c r="BZ19" s="1"/>
      <c r="CA19" s="1"/>
      <c r="CB19" s="1"/>
      <c r="CC19" s="1"/>
      <c r="CD19" s="1"/>
      <c r="CE19" s="1"/>
      <c r="CF19" s="14"/>
      <c r="CG19" s="1"/>
      <c r="CH19" s="1"/>
      <c r="CI19" s="1"/>
      <c r="CJ19" s="1"/>
      <c r="CK19" s="1"/>
      <c r="CL19" s="1"/>
      <c r="CM19" s="12"/>
    </row>
    <row r="20" spans="1:91" x14ac:dyDescent="0.2">
      <c r="A20" s="15">
        <v>1968</v>
      </c>
      <c r="B20" s="29"/>
      <c r="C20" s="15">
        <f t="shared" si="2"/>
        <v>22</v>
      </c>
      <c r="D20" s="15">
        <v>1</v>
      </c>
      <c r="E20" s="43">
        <v>815</v>
      </c>
      <c r="F20" s="17">
        <v>0</v>
      </c>
      <c r="G20" s="43">
        <v>815</v>
      </c>
      <c r="H20" s="43">
        <v>660</v>
      </c>
      <c r="I20" s="30">
        <f t="shared" si="0"/>
        <v>80.981595092024534</v>
      </c>
      <c r="J20" s="15">
        <f t="shared" si="1"/>
        <v>155</v>
      </c>
      <c r="K20" s="17"/>
      <c r="L20" s="18">
        <f t="shared" si="3"/>
        <v>9267</v>
      </c>
      <c r="M20" s="19"/>
      <c r="N20" s="20"/>
      <c r="O20" s="20"/>
      <c r="P20" s="20"/>
      <c r="Q20" s="21"/>
      <c r="R20" s="20"/>
      <c r="S20" s="20"/>
      <c r="T20" s="20"/>
      <c r="U20" s="20"/>
      <c r="V20" s="21"/>
      <c r="W20" s="17"/>
      <c r="X20" s="17"/>
      <c r="Y20" s="17"/>
      <c r="Z20" s="17"/>
      <c r="AA20" s="17"/>
      <c r="AB20" s="17"/>
      <c r="AC20" s="22"/>
      <c r="AD20" s="23"/>
      <c r="AE20" s="23"/>
      <c r="AF20" s="23"/>
      <c r="AG20" s="23"/>
      <c r="AH20" s="24"/>
      <c r="AI20" s="17"/>
      <c r="AJ20" s="17"/>
      <c r="AK20" s="17"/>
      <c r="AL20" s="17"/>
      <c r="AM20" s="17"/>
      <c r="AN20" s="17"/>
      <c r="AO20" s="18"/>
      <c r="AP20" s="18"/>
      <c r="AQ20" s="17"/>
      <c r="AR20" s="17"/>
      <c r="AS20" s="37"/>
      <c r="AT20" s="38"/>
      <c r="AU20" s="39">
        <f t="shared" si="4"/>
        <v>1.076370094722598</v>
      </c>
      <c r="AV20" s="40">
        <v>12727</v>
      </c>
      <c r="AW20" s="40">
        <v>1958</v>
      </c>
      <c r="AX20" s="17"/>
      <c r="AY20" s="25"/>
      <c r="AZ20" s="17"/>
      <c r="BA20" s="16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26"/>
      <c r="BO20" s="16"/>
      <c r="BP20" s="15"/>
      <c r="BQ20" s="27"/>
      <c r="BR20" s="15"/>
      <c r="BS20" s="15"/>
      <c r="BT20" s="27"/>
      <c r="BU20" s="15"/>
      <c r="BV20" s="15"/>
      <c r="BW20" s="28"/>
      <c r="BX20" s="28"/>
      <c r="BY20" s="15"/>
      <c r="BZ20" s="15"/>
      <c r="CA20" s="15"/>
      <c r="CB20" s="15"/>
      <c r="CC20" s="15"/>
      <c r="CD20" s="15"/>
      <c r="CE20" s="15"/>
      <c r="CF20" s="28"/>
      <c r="CG20" s="15"/>
      <c r="CH20" s="15"/>
      <c r="CI20" s="15"/>
      <c r="CJ20" s="15"/>
      <c r="CK20" s="15"/>
      <c r="CL20" s="15"/>
      <c r="CM20" s="26"/>
    </row>
    <row r="21" spans="1:91" x14ac:dyDescent="0.2">
      <c r="A21" s="1">
        <v>1969</v>
      </c>
      <c r="B21" s="32" t="s">
        <v>1</v>
      </c>
      <c r="C21" s="1">
        <f t="shared" si="2"/>
        <v>24</v>
      </c>
      <c r="D21" s="1">
        <v>2</v>
      </c>
      <c r="E21" s="44">
        <f>803+224</f>
        <v>1027</v>
      </c>
      <c r="F21" s="17">
        <v>0</v>
      </c>
      <c r="G21" s="44">
        <f>803+224</f>
        <v>1027</v>
      </c>
      <c r="H21" s="44">
        <f>551+68</f>
        <v>619</v>
      </c>
      <c r="I21" s="33">
        <f t="shared" si="0"/>
        <v>60.272638753651407</v>
      </c>
      <c r="J21" s="1">
        <f t="shared" si="1"/>
        <v>408</v>
      </c>
      <c r="K21" s="3"/>
      <c r="L21" s="4">
        <f t="shared" si="3"/>
        <v>9886</v>
      </c>
      <c r="M21" s="5"/>
      <c r="N21" s="6"/>
      <c r="O21" s="6"/>
      <c r="P21" s="6"/>
      <c r="Q21" s="7"/>
      <c r="R21" s="6"/>
      <c r="S21" s="6"/>
      <c r="T21" s="6"/>
      <c r="U21" s="6"/>
      <c r="V21" s="7"/>
      <c r="W21" s="3">
        <f>8237+AC21</f>
        <v>9475</v>
      </c>
      <c r="X21" s="3"/>
      <c r="Y21" s="3"/>
      <c r="Z21" s="3"/>
      <c r="AA21" s="3"/>
      <c r="AB21" s="3"/>
      <c r="AC21" s="8">
        <v>1238</v>
      </c>
      <c r="AD21" s="9"/>
      <c r="AE21" s="9"/>
      <c r="AF21" s="9"/>
      <c r="AG21" s="9"/>
      <c r="AH21" s="10"/>
      <c r="AI21" s="3"/>
      <c r="AJ21" s="3"/>
      <c r="AK21" s="3"/>
      <c r="AL21" s="3"/>
      <c r="AM21" s="3"/>
      <c r="AN21" s="3"/>
      <c r="AO21" s="4"/>
      <c r="AP21" s="4"/>
      <c r="AQ21" s="3"/>
      <c r="AR21" s="3"/>
      <c r="AS21" s="41"/>
      <c r="AT21" s="42"/>
      <c r="AU21" s="35">
        <f t="shared" si="4"/>
        <v>1.0579869568633613</v>
      </c>
      <c r="AV21" s="36">
        <v>13465</v>
      </c>
      <c r="AW21" s="36">
        <v>2050</v>
      </c>
      <c r="AX21" s="3"/>
      <c r="AY21" s="11"/>
      <c r="AZ21" s="3"/>
      <c r="BA21" s="2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2"/>
      <c r="BO21" s="2"/>
      <c r="BP21" s="1"/>
      <c r="BQ21" s="13"/>
      <c r="BR21" s="1"/>
      <c r="BS21" s="1"/>
      <c r="BT21" s="13"/>
      <c r="BU21" s="1"/>
      <c r="BV21" s="1"/>
      <c r="BW21" s="14"/>
      <c r="BX21" s="14"/>
      <c r="BY21" s="1"/>
      <c r="BZ21" s="1"/>
      <c r="CA21" s="1"/>
      <c r="CB21" s="1"/>
      <c r="CC21" s="1"/>
      <c r="CD21" s="1"/>
      <c r="CE21" s="1"/>
      <c r="CF21" s="14"/>
      <c r="CG21" s="1"/>
      <c r="CH21" s="1"/>
      <c r="CI21" s="1"/>
      <c r="CJ21" s="1"/>
      <c r="CK21" s="1"/>
      <c r="CL21" s="1"/>
      <c r="CM21" s="12"/>
    </row>
    <row r="22" spans="1:91" x14ac:dyDescent="0.2">
      <c r="A22" s="15">
        <v>1970</v>
      </c>
      <c r="B22" s="29"/>
      <c r="C22" s="15">
        <f t="shared" si="2"/>
        <v>25</v>
      </c>
      <c r="D22" s="15">
        <v>1</v>
      </c>
      <c r="E22" s="43">
        <v>814</v>
      </c>
      <c r="F22" s="17">
        <v>0</v>
      </c>
      <c r="G22" s="43">
        <v>814</v>
      </c>
      <c r="H22" s="43">
        <v>631</v>
      </c>
      <c r="I22" s="30">
        <f t="shared" si="0"/>
        <v>77.518427518427515</v>
      </c>
      <c r="J22" s="15">
        <f t="shared" si="1"/>
        <v>183</v>
      </c>
      <c r="K22" s="17"/>
      <c r="L22" s="18">
        <f t="shared" si="3"/>
        <v>10517</v>
      </c>
      <c r="M22" s="19"/>
      <c r="N22" s="20"/>
      <c r="O22" s="20"/>
      <c r="P22" s="20"/>
      <c r="Q22" s="21"/>
      <c r="R22" s="20"/>
      <c r="S22" s="20"/>
      <c r="T22" s="20"/>
      <c r="U22" s="20"/>
      <c r="V22" s="21"/>
      <c r="W22" s="17"/>
      <c r="X22" s="17"/>
      <c r="Y22" s="17"/>
      <c r="Z22" s="17"/>
      <c r="AA22" s="17"/>
      <c r="AB22" s="17"/>
      <c r="AC22" s="22"/>
      <c r="AD22" s="23"/>
      <c r="AE22" s="23"/>
      <c r="AF22" s="23"/>
      <c r="AG22" s="23"/>
      <c r="AH22" s="24"/>
      <c r="AI22" s="17"/>
      <c r="AJ22" s="17"/>
      <c r="AK22" s="17"/>
      <c r="AL22" s="17"/>
      <c r="AM22" s="17"/>
      <c r="AN22" s="17"/>
      <c r="AO22" s="18"/>
      <c r="AP22" s="18"/>
      <c r="AQ22" s="17"/>
      <c r="AR22" s="17"/>
      <c r="AS22" s="37"/>
      <c r="AT22" s="38"/>
      <c r="AU22" s="39">
        <f t="shared" si="4"/>
        <v>1.0697363535090976</v>
      </c>
      <c r="AV22" s="40">
        <v>14404</v>
      </c>
      <c r="AW22" s="40">
        <v>1766</v>
      </c>
      <c r="AX22" s="17"/>
      <c r="AY22" s="25"/>
      <c r="AZ22" s="17"/>
      <c r="BA22" s="16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26"/>
      <c r="BO22" s="16"/>
      <c r="BP22" s="15"/>
      <c r="BQ22" s="27"/>
      <c r="BR22" s="15"/>
      <c r="BS22" s="15"/>
      <c r="BT22" s="27"/>
      <c r="BU22" s="15"/>
      <c r="BV22" s="15"/>
      <c r="BW22" s="28"/>
      <c r="BX22" s="28"/>
      <c r="BY22" s="15"/>
      <c r="BZ22" s="15"/>
      <c r="CA22" s="15"/>
      <c r="CB22" s="15"/>
      <c r="CC22" s="15"/>
      <c r="CD22" s="15"/>
      <c r="CE22" s="15"/>
      <c r="CF22" s="28"/>
      <c r="CG22" s="15"/>
      <c r="CH22" s="15"/>
      <c r="CI22" s="15"/>
      <c r="CJ22" s="15"/>
      <c r="CK22" s="15"/>
      <c r="CL22" s="15"/>
      <c r="CM22" s="26"/>
    </row>
    <row r="23" spans="1:91" x14ac:dyDescent="0.2">
      <c r="A23" s="1">
        <v>1971</v>
      </c>
      <c r="B23" s="32"/>
      <c r="C23" s="1">
        <f t="shared" si="2"/>
        <v>26</v>
      </c>
      <c r="D23" s="1">
        <v>1</v>
      </c>
      <c r="E23" s="44">
        <v>759</v>
      </c>
      <c r="F23" s="17">
        <v>0</v>
      </c>
      <c r="G23" s="44">
        <v>759</v>
      </c>
      <c r="H23" s="44">
        <v>658</v>
      </c>
      <c r="I23" s="33">
        <f t="shared" si="0"/>
        <v>86.693017127799735</v>
      </c>
      <c r="J23" s="1">
        <f t="shared" si="1"/>
        <v>101</v>
      </c>
      <c r="K23" s="3"/>
      <c r="L23" s="4">
        <f t="shared" si="3"/>
        <v>11175</v>
      </c>
      <c r="M23" s="5"/>
      <c r="N23" s="6"/>
      <c r="O23" s="6"/>
      <c r="P23" s="6"/>
      <c r="Q23" s="7"/>
      <c r="R23" s="6"/>
      <c r="S23" s="6"/>
      <c r="T23" s="6"/>
      <c r="U23" s="6"/>
      <c r="V23" s="7"/>
      <c r="W23" s="3"/>
      <c r="X23" s="3"/>
      <c r="Y23" s="3"/>
      <c r="Z23" s="3"/>
      <c r="AA23" s="3"/>
      <c r="AB23" s="3"/>
      <c r="AC23" s="8"/>
      <c r="AD23" s="9"/>
      <c r="AE23" s="9"/>
      <c r="AF23" s="9"/>
      <c r="AG23" s="9"/>
      <c r="AH23" s="10"/>
      <c r="AI23" s="3"/>
      <c r="AJ23" s="3"/>
      <c r="AK23" s="3"/>
      <c r="AL23" s="3"/>
      <c r="AM23" s="3"/>
      <c r="AN23" s="3"/>
      <c r="AO23" s="4"/>
      <c r="AP23" s="4"/>
      <c r="AQ23" s="3"/>
      <c r="AR23" s="3"/>
      <c r="AS23" s="41"/>
      <c r="AT23" s="42"/>
      <c r="AU23" s="35">
        <f t="shared" si="4"/>
        <v>1.0822688142182728</v>
      </c>
      <c r="AV23" s="36">
        <v>15589</v>
      </c>
      <c r="AW23" s="36">
        <v>1882</v>
      </c>
      <c r="AX23" s="3"/>
      <c r="AY23" s="11"/>
      <c r="AZ23" s="3"/>
      <c r="BA23" s="2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2"/>
      <c r="BO23" s="2"/>
      <c r="BP23" s="1"/>
      <c r="BQ23" s="13"/>
      <c r="BR23" s="1"/>
      <c r="BS23" s="1"/>
      <c r="BT23" s="13"/>
      <c r="BU23" s="1"/>
      <c r="BV23" s="1"/>
      <c r="BW23" s="14"/>
      <c r="BX23" s="14"/>
      <c r="BY23" s="1"/>
      <c r="BZ23" s="1"/>
      <c r="CA23" s="1"/>
      <c r="CB23" s="1"/>
      <c r="CC23" s="1"/>
      <c r="CD23" s="1"/>
      <c r="CE23" s="1"/>
      <c r="CF23" s="14"/>
      <c r="CG23" s="1"/>
      <c r="CH23" s="1"/>
      <c r="CI23" s="1"/>
      <c r="CJ23" s="1"/>
      <c r="CK23" s="1"/>
      <c r="CL23" s="1"/>
      <c r="CM23" s="12"/>
    </row>
    <row r="24" spans="1:91" x14ac:dyDescent="0.2">
      <c r="A24" s="15">
        <v>1972</v>
      </c>
      <c r="B24" s="29"/>
      <c r="C24" s="15">
        <f t="shared" si="2"/>
        <v>27</v>
      </c>
      <c r="D24" s="15">
        <v>1</v>
      </c>
      <c r="E24" s="43">
        <v>744</v>
      </c>
      <c r="F24" s="17">
        <v>0</v>
      </c>
      <c r="G24" s="43">
        <v>744</v>
      </c>
      <c r="H24" s="43">
        <v>658</v>
      </c>
      <c r="I24" s="30">
        <f t="shared" si="0"/>
        <v>88.44086021505376</v>
      </c>
      <c r="J24" s="15">
        <f t="shared" si="1"/>
        <v>86</v>
      </c>
      <c r="K24" s="17"/>
      <c r="L24" s="18">
        <f t="shared" si="3"/>
        <v>11833</v>
      </c>
      <c r="M24" s="19"/>
      <c r="N24" s="20"/>
      <c r="O24" s="20"/>
      <c r="P24" s="20"/>
      <c r="Q24" s="21"/>
      <c r="R24" s="20"/>
      <c r="S24" s="20"/>
      <c r="T24" s="20"/>
      <c r="U24" s="20"/>
      <c r="V24" s="21"/>
      <c r="W24" s="17"/>
      <c r="X24" s="17"/>
      <c r="Y24" s="17"/>
      <c r="Z24" s="17"/>
      <c r="AA24" s="17"/>
      <c r="AB24" s="17"/>
      <c r="AC24" s="22"/>
      <c r="AD24" s="23"/>
      <c r="AE24" s="23"/>
      <c r="AF24" s="23"/>
      <c r="AG24" s="23"/>
      <c r="AH24" s="24"/>
      <c r="AI24" s="17"/>
      <c r="AJ24" s="17"/>
      <c r="AK24" s="17"/>
      <c r="AL24" s="17"/>
      <c r="AM24" s="17"/>
      <c r="AN24" s="17"/>
      <c r="AO24" s="18"/>
      <c r="AP24" s="18"/>
      <c r="AQ24" s="17"/>
      <c r="AR24" s="17"/>
      <c r="AS24" s="37"/>
      <c r="AT24" s="38"/>
      <c r="AU24" s="39">
        <f t="shared" si="4"/>
        <v>1.0496503945089486</v>
      </c>
      <c r="AV24" s="40">
        <v>16363</v>
      </c>
      <c r="AW24" s="40">
        <v>1981</v>
      </c>
      <c r="AX24" s="17"/>
      <c r="AY24" s="25"/>
      <c r="AZ24" s="17"/>
      <c r="BA24" s="1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26"/>
      <c r="BO24" s="16"/>
      <c r="BP24" s="15"/>
      <c r="BQ24" s="27"/>
      <c r="BR24" s="15"/>
      <c r="BS24" s="15"/>
      <c r="BT24" s="27"/>
      <c r="BU24" s="15"/>
      <c r="BV24" s="15"/>
      <c r="BW24" s="28"/>
      <c r="BX24" s="28"/>
      <c r="BY24" s="15"/>
      <c r="BZ24" s="15"/>
      <c r="CA24" s="15"/>
      <c r="CB24" s="15"/>
      <c r="CC24" s="15"/>
      <c r="CD24" s="15"/>
      <c r="CE24" s="15"/>
      <c r="CF24" s="28"/>
      <c r="CG24" s="15"/>
      <c r="CH24" s="15"/>
      <c r="CI24" s="15"/>
      <c r="CJ24" s="15"/>
      <c r="CK24" s="15"/>
      <c r="CL24" s="15"/>
      <c r="CM24" s="26"/>
    </row>
    <row r="25" spans="1:91" x14ac:dyDescent="0.2">
      <c r="A25" s="1">
        <v>1973</v>
      </c>
      <c r="B25" s="32"/>
      <c r="C25" s="1">
        <f t="shared" si="2"/>
        <v>28</v>
      </c>
      <c r="D25" s="1">
        <v>1</v>
      </c>
      <c r="E25" s="44">
        <v>797</v>
      </c>
      <c r="F25" s="17">
        <v>0</v>
      </c>
      <c r="G25" s="44">
        <v>797</v>
      </c>
      <c r="H25" s="44">
        <v>761</v>
      </c>
      <c r="I25" s="33">
        <f t="shared" si="0"/>
        <v>95.483061480552067</v>
      </c>
      <c r="J25" s="1">
        <f t="shared" si="1"/>
        <v>36</v>
      </c>
      <c r="K25" s="3"/>
      <c r="L25" s="4">
        <f t="shared" si="3"/>
        <v>12594</v>
      </c>
      <c r="M25" s="5"/>
      <c r="N25" s="6"/>
      <c r="O25" s="6"/>
      <c r="P25" s="6"/>
      <c r="Q25" s="7"/>
      <c r="R25" s="6"/>
      <c r="S25" s="6"/>
      <c r="T25" s="6"/>
      <c r="U25" s="6"/>
      <c r="V25" s="7"/>
      <c r="W25" s="3"/>
      <c r="X25" s="3"/>
      <c r="Y25" s="3"/>
      <c r="Z25" s="3"/>
      <c r="AA25" s="3"/>
      <c r="AB25" s="3"/>
      <c r="AC25" s="8"/>
      <c r="AD25" s="9"/>
      <c r="AE25" s="9"/>
      <c r="AF25" s="9"/>
      <c r="AG25" s="9"/>
      <c r="AH25" s="10"/>
      <c r="AI25" s="3"/>
      <c r="AJ25" s="3"/>
      <c r="AK25" s="3"/>
      <c r="AL25" s="3"/>
      <c r="AM25" s="3"/>
      <c r="AN25" s="3"/>
      <c r="AO25" s="4"/>
      <c r="AP25" s="4"/>
      <c r="AQ25" s="3"/>
      <c r="AR25" s="3"/>
      <c r="AS25" s="41"/>
      <c r="AT25" s="42"/>
      <c r="AU25" s="35">
        <f t="shared" si="4"/>
        <v>1.0008555888284545</v>
      </c>
      <c r="AV25" s="36">
        <v>16377</v>
      </c>
      <c r="AW25" s="36">
        <v>1999</v>
      </c>
      <c r="AX25" s="3"/>
      <c r="AY25" s="11"/>
      <c r="AZ25" s="3"/>
      <c r="BA25" s="2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2"/>
      <c r="BO25" s="2"/>
      <c r="BP25" s="1"/>
      <c r="BQ25" s="13"/>
      <c r="BR25" s="1"/>
      <c r="BS25" s="1"/>
      <c r="BT25" s="13"/>
      <c r="BU25" s="1"/>
      <c r="BV25" s="1"/>
      <c r="BW25" s="14"/>
      <c r="BX25" s="14"/>
      <c r="BY25" s="1"/>
      <c r="BZ25" s="1"/>
      <c r="CA25" s="1"/>
      <c r="CB25" s="1"/>
      <c r="CC25" s="1"/>
      <c r="CD25" s="1"/>
      <c r="CE25" s="1"/>
      <c r="CF25" s="14"/>
      <c r="CG25" s="1"/>
      <c r="CH25" s="1"/>
      <c r="CI25" s="1"/>
      <c r="CJ25" s="1"/>
      <c r="CK25" s="1"/>
      <c r="CL25" s="1"/>
      <c r="CM25" s="12"/>
    </row>
    <row r="26" spans="1:91" ht="36" x14ac:dyDescent="0.2">
      <c r="A26" s="15">
        <v>1974</v>
      </c>
      <c r="B26" s="29" t="s">
        <v>3</v>
      </c>
      <c r="C26" s="15">
        <f t="shared" si="2"/>
        <v>29</v>
      </c>
      <c r="D26" s="15">
        <v>1</v>
      </c>
      <c r="E26" s="43">
        <v>878</v>
      </c>
      <c r="F26" s="17">
        <v>0</v>
      </c>
      <c r="G26" s="43">
        <v>878</v>
      </c>
      <c r="H26" s="43">
        <v>760</v>
      </c>
      <c r="I26" s="30">
        <f t="shared" si="0"/>
        <v>86.560364464692483</v>
      </c>
      <c r="J26" s="15">
        <f t="shared" si="1"/>
        <v>118</v>
      </c>
      <c r="K26" s="17"/>
      <c r="L26" s="18">
        <f t="shared" si="3"/>
        <v>13354</v>
      </c>
      <c r="M26" s="19"/>
      <c r="N26" s="20"/>
      <c r="O26" s="20"/>
      <c r="P26" s="20"/>
      <c r="Q26" s="21"/>
      <c r="R26" s="20"/>
      <c r="S26" s="20"/>
      <c r="T26" s="20"/>
      <c r="U26" s="20"/>
      <c r="V26" s="21"/>
      <c r="W26" s="17"/>
      <c r="X26" s="17"/>
      <c r="Y26" s="17"/>
      <c r="Z26" s="17"/>
      <c r="AA26" s="17"/>
      <c r="AB26" s="17"/>
      <c r="AC26" s="22"/>
      <c r="AD26" s="23"/>
      <c r="AE26" s="23"/>
      <c r="AF26" s="23"/>
      <c r="AG26" s="23"/>
      <c r="AH26" s="24"/>
      <c r="AI26" s="17"/>
      <c r="AJ26" s="17"/>
      <c r="AK26" s="17"/>
      <c r="AL26" s="17"/>
      <c r="AM26" s="17"/>
      <c r="AN26" s="17"/>
      <c r="AO26" s="18"/>
      <c r="AP26" s="18"/>
      <c r="AQ26" s="17"/>
      <c r="AR26" s="17"/>
      <c r="AS26" s="37"/>
      <c r="AT26" s="38"/>
      <c r="AU26" s="39">
        <f t="shared" si="4"/>
        <v>0.92739818037491606</v>
      </c>
      <c r="AV26" s="40">
        <v>15188</v>
      </c>
      <c r="AW26" s="40">
        <v>2016</v>
      </c>
      <c r="AX26" s="17"/>
      <c r="AY26" s="25"/>
      <c r="AZ26" s="17"/>
      <c r="BA26" s="16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26"/>
      <c r="BO26" s="16"/>
      <c r="BP26" s="15"/>
      <c r="BQ26" s="27"/>
      <c r="BR26" s="15"/>
      <c r="BS26" s="15"/>
      <c r="BT26" s="27"/>
      <c r="BU26" s="15"/>
      <c r="BV26" s="15"/>
      <c r="BW26" s="28"/>
      <c r="BX26" s="28"/>
      <c r="BY26" s="15"/>
      <c r="BZ26" s="15"/>
      <c r="CA26" s="15"/>
      <c r="CB26" s="15"/>
      <c r="CC26" s="15"/>
      <c r="CD26" s="15"/>
      <c r="CE26" s="15"/>
      <c r="CF26" s="28"/>
      <c r="CG26" s="15"/>
      <c r="CH26" s="15"/>
      <c r="CI26" s="15"/>
      <c r="CJ26" s="15"/>
      <c r="CK26" s="15"/>
      <c r="CL26" s="15"/>
      <c r="CM26" s="26"/>
    </row>
    <row r="27" spans="1:91" x14ac:dyDescent="0.2">
      <c r="A27" s="1">
        <v>1975</v>
      </c>
      <c r="B27" s="32"/>
      <c r="C27" s="1">
        <f t="shared" si="2"/>
        <v>30</v>
      </c>
      <c r="D27" s="1">
        <v>1</v>
      </c>
      <c r="E27" s="44">
        <v>1009</v>
      </c>
      <c r="F27" s="17">
        <v>0</v>
      </c>
      <c r="G27" s="44">
        <v>1009</v>
      </c>
      <c r="H27" s="44">
        <v>869</v>
      </c>
      <c r="I27" s="33">
        <f t="shared" si="0"/>
        <v>86.124876114965303</v>
      </c>
      <c r="J27" s="1">
        <f t="shared" si="1"/>
        <v>140</v>
      </c>
      <c r="K27" s="3"/>
      <c r="L27" s="4">
        <f t="shared" si="3"/>
        <v>14223</v>
      </c>
      <c r="M27" s="5"/>
      <c r="N27" s="6"/>
      <c r="O27" s="6"/>
      <c r="P27" s="6"/>
      <c r="Q27" s="7"/>
      <c r="R27" s="6"/>
      <c r="S27" s="6"/>
      <c r="T27" s="6"/>
      <c r="U27" s="6"/>
      <c r="V27" s="7"/>
      <c r="W27" s="3"/>
      <c r="X27" s="3"/>
      <c r="Y27" s="3"/>
      <c r="Z27" s="3"/>
      <c r="AA27" s="3"/>
      <c r="AB27" s="3"/>
      <c r="AC27" s="8"/>
      <c r="AD27" s="9"/>
      <c r="AE27" s="9"/>
      <c r="AF27" s="9"/>
      <c r="AG27" s="9"/>
      <c r="AH27" s="10"/>
      <c r="AI27" s="3"/>
      <c r="AJ27" s="3"/>
      <c r="AK27" s="3"/>
      <c r="AL27" s="3"/>
      <c r="AM27" s="3"/>
      <c r="AN27" s="3"/>
      <c r="AO27" s="4"/>
      <c r="AP27" s="4"/>
      <c r="AQ27" s="3"/>
      <c r="AR27" s="3"/>
      <c r="AS27" s="41"/>
      <c r="AT27" s="42"/>
      <c r="AU27" s="35">
        <f t="shared" si="4"/>
        <v>1.0705820384514091</v>
      </c>
      <c r="AV27" s="36">
        <v>16260</v>
      </c>
      <c r="AW27" s="36">
        <v>2216</v>
      </c>
      <c r="AX27" s="3"/>
      <c r="AY27" s="11"/>
      <c r="AZ27" s="3"/>
      <c r="BA27" s="2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2"/>
      <c r="BO27" s="2"/>
      <c r="BP27" s="1"/>
      <c r="BQ27" s="13"/>
      <c r="BR27" s="1"/>
      <c r="BS27" s="1"/>
      <c r="BT27" s="13"/>
      <c r="BU27" s="1"/>
      <c r="BV27" s="1"/>
      <c r="BW27" s="14"/>
      <c r="BX27" s="14"/>
      <c r="BY27" s="1"/>
      <c r="BZ27" s="1"/>
      <c r="CA27" s="1"/>
      <c r="CB27" s="1"/>
      <c r="CC27" s="1"/>
      <c r="CD27" s="1"/>
      <c r="CE27" s="1"/>
      <c r="CF27" s="14"/>
      <c r="CG27" s="1"/>
      <c r="CH27" s="1"/>
      <c r="CI27" s="1"/>
      <c r="CJ27" s="1"/>
      <c r="CK27" s="1"/>
      <c r="CL27" s="1"/>
      <c r="CM27" s="12"/>
    </row>
    <row r="28" spans="1:91" x14ac:dyDescent="0.2">
      <c r="A28" s="15">
        <v>1976</v>
      </c>
      <c r="B28" s="29" t="s">
        <v>1</v>
      </c>
      <c r="C28" s="15">
        <f t="shared" si="2"/>
        <v>32</v>
      </c>
      <c r="D28" s="15">
        <v>2</v>
      </c>
      <c r="E28" s="43">
        <f>1089+143</f>
        <v>1232</v>
      </c>
      <c r="F28" s="17">
        <v>0</v>
      </c>
      <c r="G28" s="43">
        <f>1089+143</f>
        <v>1232</v>
      </c>
      <c r="H28" s="43">
        <f>920+115</f>
        <v>1035</v>
      </c>
      <c r="I28" s="30">
        <f t="shared" si="0"/>
        <v>84.009740259740255</v>
      </c>
      <c r="J28" s="15">
        <f t="shared" si="1"/>
        <v>197</v>
      </c>
      <c r="K28" s="17"/>
      <c r="L28" s="18">
        <f t="shared" si="3"/>
        <v>15258</v>
      </c>
      <c r="M28" s="19"/>
      <c r="N28" s="20"/>
      <c r="O28" s="20"/>
      <c r="P28" s="20"/>
      <c r="Q28" s="21"/>
      <c r="R28" s="20"/>
      <c r="S28" s="20"/>
      <c r="T28" s="20"/>
      <c r="U28" s="20"/>
      <c r="V28" s="21"/>
      <c r="W28" s="17">
        <f>10418+AC28</f>
        <v>11812</v>
      </c>
      <c r="X28" s="17"/>
      <c r="Y28" s="17"/>
      <c r="Z28" s="17"/>
      <c r="AA28" s="17"/>
      <c r="AB28" s="17"/>
      <c r="AC28" s="22">
        <v>1394</v>
      </c>
      <c r="AD28" s="23"/>
      <c r="AE28" s="23"/>
      <c r="AF28" s="23"/>
      <c r="AG28" s="23"/>
      <c r="AH28" s="24"/>
      <c r="AI28" s="17"/>
      <c r="AJ28" s="17"/>
      <c r="AK28" s="17"/>
      <c r="AL28" s="17"/>
      <c r="AM28" s="17"/>
      <c r="AN28" s="17"/>
      <c r="AO28" s="18"/>
      <c r="AP28" s="18"/>
      <c r="AQ28" s="17"/>
      <c r="AR28" s="17"/>
      <c r="AS28" s="37"/>
      <c r="AT28" s="38"/>
      <c r="AU28" s="39">
        <f t="shared" si="4"/>
        <v>1.0659901599015991</v>
      </c>
      <c r="AV28" s="40">
        <v>17333</v>
      </c>
      <c r="AW28" s="40">
        <v>2344</v>
      </c>
      <c r="AX28" s="17"/>
      <c r="AY28" s="25"/>
      <c r="AZ28" s="17"/>
      <c r="BA28" s="1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26"/>
      <c r="BO28" s="16"/>
      <c r="BP28" s="15"/>
      <c r="BQ28" s="27"/>
      <c r="BR28" s="15"/>
      <c r="BS28" s="15"/>
      <c r="BT28" s="27"/>
      <c r="BU28" s="15"/>
      <c r="BV28" s="15"/>
      <c r="BW28" s="28"/>
      <c r="BX28" s="28"/>
      <c r="BY28" s="15"/>
      <c r="BZ28" s="15"/>
      <c r="CA28" s="15"/>
      <c r="CB28" s="15"/>
      <c r="CC28" s="15"/>
      <c r="CD28" s="15"/>
      <c r="CE28" s="15"/>
      <c r="CF28" s="28"/>
      <c r="CG28" s="15"/>
      <c r="CH28" s="15"/>
      <c r="CI28" s="15"/>
      <c r="CJ28" s="15"/>
      <c r="CK28" s="15"/>
      <c r="CL28" s="15"/>
      <c r="CM28" s="26"/>
    </row>
    <row r="29" spans="1:91" x14ac:dyDescent="0.2">
      <c r="A29" s="1">
        <v>1977</v>
      </c>
      <c r="B29" s="32" t="s">
        <v>1</v>
      </c>
      <c r="C29" s="1">
        <f t="shared" si="2"/>
        <v>34</v>
      </c>
      <c r="D29" s="1">
        <v>2</v>
      </c>
      <c r="E29" s="44">
        <f>1220+80</f>
        <v>1300</v>
      </c>
      <c r="F29" s="17">
        <v>0</v>
      </c>
      <c r="G29" s="44">
        <f>1220+80</f>
        <v>1300</v>
      </c>
      <c r="H29" s="44">
        <f>1138+59</f>
        <v>1197</v>
      </c>
      <c r="I29" s="33">
        <f t="shared" si="0"/>
        <v>92.07692307692308</v>
      </c>
      <c r="J29" s="1">
        <f t="shared" si="1"/>
        <v>103</v>
      </c>
      <c r="K29" s="3"/>
      <c r="L29" s="4">
        <f t="shared" si="3"/>
        <v>16455</v>
      </c>
      <c r="M29" s="45"/>
      <c r="N29" s="46"/>
      <c r="O29" s="46"/>
      <c r="P29" s="46"/>
      <c r="Q29" s="47"/>
      <c r="R29" s="46"/>
      <c r="S29" s="46"/>
      <c r="T29" s="46"/>
      <c r="U29" s="46"/>
      <c r="V29" s="47"/>
      <c r="W29" s="48"/>
      <c r="X29" s="48"/>
      <c r="Y29" s="48"/>
      <c r="Z29" s="48"/>
      <c r="AA29" s="48"/>
      <c r="AB29" s="48"/>
      <c r="AC29" s="49"/>
      <c r="AD29" s="50"/>
      <c r="AE29" s="50"/>
      <c r="AF29" s="50"/>
      <c r="AG29" s="50"/>
      <c r="AH29" s="51"/>
      <c r="AI29" s="3"/>
      <c r="AJ29" s="3"/>
      <c r="AK29" s="3"/>
      <c r="AL29" s="3"/>
      <c r="AM29" s="3"/>
      <c r="AN29" s="3"/>
      <c r="AO29" s="4"/>
      <c r="AP29" s="4"/>
      <c r="AQ29" s="3"/>
      <c r="AR29" s="3"/>
      <c r="AS29" s="41"/>
      <c r="AT29" s="42"/>
      <c r="AU29" s="35">
        <f t="shared" si="4"/>
        <v>1.0618473432181388</v>
      </c>
      <c r="AV29" s="36">
        <v>18405</v>
      </c>
      <c r="AW29" s="36">
        <v>2501</v>
      </c>
      <c r="AX29" s="3"/>
      <c r="AY29" s="11"/>
      <c r="AZ29" s="52"/>
      <c r="BA29" s="2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2"/>
      <c r="BO29" s="2">
        <v>1380</v>
      </c>
      <c r="BP29" s="1">
        <v>1221</v>
      </c>
      <c r="BQ29" s="13">
        <v>154</v>
      </c>
      <c r="BR29" s="1"/>
      <c r="BS29" s="1"/>
      <c r="BT29" s="13"/>
      <c r="BU29" s="1">
        <v>1011</v>
      </c>
      <c r="BV29" s="1">
        <v>144</v>
      </c>
      <c r="BW29" s="14">
        <v>103</v>
      </c>
      <c r="BX29" s="14">
        <v>1477</v>
      </c>
      <c r="BY29" s="1">
        <v>173</v>
      </c>
      <c r="BZ29" s="1">
        <v>1546</v>
      </c>
      <c r="CA29" s="1">
        <v>189</v>
      </c>
      <c r="CB29" s="1"/>
      <c r="CC29" s="1"/>
      <c r="CD29" s="1"/>
      <c r="CE29" s="1"/>
      <c r="CF29" s="14">
        <v>1543</v>
      </c>
      <c r="CG29" s="1">
        <v>203</v>
      </c>
      <c r="CH29" s="1">
        <v>1403</v>
      </c>
      <c r="CI29" s="1">
        <v>184</v>
      </c>
      <c r="CJ29" s="1">
        <v>1295</v>
      </c>
      <c r="CK29" s="1">
        <v>183</v>
      </c>
      <c r="CL29" s="1">
        <v>1208</v>
      </c>
      <c r="CM29" s="12">
        <v>179</v>
      </c>
    </row>
    <row r="30" spans="1:91" x14ac:dyDescent="0.2">
      <c r="A30" s="15">
        <v>1978</v>
      </c>
      <c r="B30" s="29" t="s">
        <v>1</v>
      </c>
      <c r="C30" s="15">
        <f t="shared" si="2"/>
        <v>36</v>
      </c>
      <c r="D30" s="15">
        <v>2</v>
      </c>
      <c r="E30" s="43">
        <f>1230+54</f>
        <v>1284</v>
      </c>
      <c r="F30" s="17">
        <v>0</v>
      </c>
      <c r="G30" s="43">
        <f>1230+54</f>
        <v>1284</v>
      </c>
      <c r="H30" s="43">
        <f>1162+37</f>
        <v>1199</v>
      </c>
      <c r="I30" s="30">
        <f t="shared" si="0"/>
        <v>93.380062305295951</v>
      </c>
      <c r="J30" s="15">
        <f t="shared" si="1"/>
        <v>85</v>
      </c>
      <c r="K30" s="17"/>
      <c r="L30" s="18">
        <f t="shared" si="3"/>
        <v>17654</v>
      </c>
      <c r="M30" s="19"/>
      <c r="N30" s="20"/>
      <c r="O30" s="20"/>
      <c r="P30" s="20"/>
      <c r="Q30" s="21"/>
      <c r="R30" s="20"/>
      <c r="S30" s="20"/>
      <c r="T30" s="20"/>
      <c r="U30" s="20"/>
      <c r="V30" s="21"/>
      <c r="W30" s="17"/>
      <c r="X30" s="17"/>
      <c r="Y30" s="17"/>
      <c r="Z30" s="17"/>
      <c r="AA30" s="17"/>
      <c r="AB30" s="17"/>
      <c r="AC30" s="22"/>
      <c r="AD30" s="23"/>
      <c r="AE30" s="23"/>
      <c r="AF30" s="23"/>
      <c r="AG30" s="23"/>
      <c r="AH30" s="24"/>
      <c r="AI30" s="17"/>
      <c r="AJ30" s="17"/>
      <c r="AK30" s="17"/>
      <c r="AL30" s="17"/>
      <c r="AM30" s="17"/>
      <c r="AN30" s="17"/>
      <c r="AO30" s="18"/>
      <c r="AP30" s="18"/>
      <c r="AQ30" s="17"/>
      <c r="AR30" s="17"/>
      <c r="AS30" s="37"/>
      <c r="AT30" s="38"/>
      <c r="AU30" s="39">
        <f t="shared" si="4"/>
        <v>1.0636783482749252</v>
      </c>
      <c r="AV30" s="40">
        <v>19577</v>
      </c>
      <c r="AW30" s="40">
        <v>2678</v>
      </c>
      <c r="AX30" s="17"/>
      <c r="AY30" s="25"/>
      <c r="AZ30" s="17"/>
      <c r="BA30" s="1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26"/>
      <c r="BO30" s="16">
        <v>1600</v>
      </c>
      <c r="BP30" s="15">
        <v>1608</v>
      </c>
      <c r="BQ30" s="27">
        <v>218</v>
      </c>
      <c r="BR30" s="15"/>
      <c r="BS30" s="15"/>
      <c r="BT30" s="27"/>
      <c r="BU30" s="15">
        <v>1162</v>
      </c>
      <c r="BV30" s="15">
        <v>160</v>
      </c>
      <c r="BW30" s="28">
        <v>104</v>
      </c>
      <c r="BX30" s="28">
        <v>1695</v>
      </c>
      <c r="BY30" s="15">
        <v>227</v>
      </c>
      <c r="BZ30" s="15">
        <v>1576</v>
      </c>
      <c r="CA30" s="15">
        <v>182</v>
      </c>
      <c r="CB30" s="15"/>
      <c r="CC30" s="15"/>
      <c r="CD30" s="15"/>
      <c r="CE30" s="15"/>
      <c r="CF30" s="28">
        <v>1547</v>
      </c>
      <c r="CG30" s="15">
        <v>193</v>
      </c>
      <c r="CH30" s="15">
        <v>1429</v>
      </c>
      <c r="CI30" s="15">
        <v>196</v>
      </c>
      <c r="CJ30" s="15">
        <v>1383</v>
      </c>
      <c r="CK30" s="15">
        <v>192</v>
      </c>
      <c r="CL30" s="15">
        <v>1212</v>
      </c>
      <c r="CM30" s="26">
        <v>167</v>
      </c>
    </row>
    <row r="31" spans="1:91" x14ac:dyDescent="0.2">
      <c r="A31" s="1">
        <v>1979</v>
      </c>
      <c r="B31" s="32" t="s">
        <v>1</v>
      </c>
      <c r="C31" s="1">
        <f t="shared" si="2"/>
        <v>38</v>
      </c>
      <c r="D31" s="1">
        <v>2</v>
      </c>
      <c r="E31" s="44">
        <f>1277+64</f>
        <v>1341</v>
      </c>
      <c r="F31" s="44">
        <f>13+1</f>
        <v>14</v>
      </c>
      <c r="G31" s="44">
        <f>1264+63</f>
        <v>1327</v>
      </c>
      <c r="H31" s="44">
        <f>1162+57</f>
        <v>1219</v>
      </c>
      <c r="I31" s="33">
        <f t="shared" si="0"/>
        <v>91.861341371514698</v>
      </c>
      <c r="J31" s="1">
        <f t="shared" si="1"/>
        <v>108</v>
      </c>
      <c r="K31" s="3">
        <f t="shared" ref="K31:K51" si="5">F31+J31</f>
        <v>122</v>
      </c>
      <c r="L31" s="4">
        <f t="shared" si="3"/>
        <v>18873</v>
      </c>
      <c r="M31" s="5"/>
      <c r="N31" s="6"/>
      <c r="O31" s="6"/>
      <c r="P31" s="6"/>
      <c r="Q31" s="7"/>
      <c r="R31" s="6"/>
      <c r="S31" s="6"/>
      <c r="T31" s="6"/>
      <c r="U31" s="6"/>
      <c r="V31" s="7"/>
      <c r="W31" s="3"/>
      <c r="X31" s="3"/>
      <c r="Y31" s="3"/>
      <c r="Z31" s="3"/>
      <c r="AA31" s="3"/>
      <c r="AB31" s="3"/>
      <c r="AC31" s="8"/>
      <c r="AD31" s="9"/>
      <c r="AE31" s="9"/>
      <c r="AF31" s="9"/>
      <c r="AG31" s="9"/>
      <c r="AH31" s="10"/>
      <c r="AI31" s="3"/>
      <c r="AJ31" s="3"/>
      <c r="AK31" s="3"/>
      <c r="AL31" s="3"/>
      <c r="AM31" s="3"/>
      <c r="AN31" s="3"/>
      <c r="AO31" s="4"/>
      <c r="AP31" s="4">
        <v>144</v>
      </c>
      <c r="AQ31" s="3"/>
      <c r="AR31" s="3"/>
      <c r="AS31" s="41"/>
      <c r="AT31" s="42"/>
      <c r="AU31" s="35">
        <f t="shared" si="4"/>
        <v>1.0613985799662871</v>
      </c>
      <c r="AV31" s="36">
        <v>20779</v>
      </c>
      <c r="AW31" s="36">
        <v>2857</v>
      </c>
      <c r="AX31" s="3"/>
      <c r="AY31" s="11"/>
      <c r="AZ31" s="3"/>
      <c r="BA31" s="2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2"/>
      <c r="BO31" s="2">
        <v>1940</v>
      </c>
      <c r="BP31" s="1">
        <v>1864</v>
      </c>
      <c r="BQ31" s="13">
        <v>242</v>
      </c>
      <c r="BR31" s="1"/>
      <c r="BS31" s="1"/>
      <c r="BT31" s="13"/>
      <c r="BU31" s="1">
        <v>1229</v>
      </c>
      <c r="BV31" s="1">
        <v>173</v>
      </c>
      <c r="BW31" s="14">
        <v>186</v>
      </c>
      <c r="BX31" s="14">
        <v>1995</v>
      </c>
      <c r="BY31" s="1">
        <v>224</v>
      </c>
      <c r="BZ31" s="1">
        <v>1785</v>
      </c>
      <c r="CA31" s="1">
        <v>229</v>
      </c>
      <c r="CB31" s="1"/>
      <c r="CC31" s="1"/>
      <c r="CD31" s="1"/>
      <c r="CE31" s="1"/>
      <c r="CF31" s="14">
        <v>1624</v>
      </c>
      <c r="CG31" s="1">
        <v>187</v>
      </c>
      <c r="CH31" s="1">
        <v>1447</v>
      </c>
      <c r="CI31" s="1">
        <v>173</v>
      </c>
      <c r="CJ31" s="1">
        <v>1409</v>
      </c>
      <c r="CK31" s="1">
        <v>191</v>
      </c>
      <c r="CL31" s="1">
        <v>1349</v>
      </c>
      <c r="CM31" s="12">
        <v>203</v>
      </c>
    </row>
    <row r="32" spans="1:91" x14ac:dyDescent="0.2">
      <c r="A32" s="15">
        <v>1980</v>
      </c>
      <c r="B32" s="29" t="s">
        <v>1</v>
      </c>
      <c r="C32" s="15">
        <f t="shared" si="2"/>
        <v>40</v>
      </c>
      <c r="D32" s="15">
        <v>2</v>
      </c>
      <c r="E32" s="43">
        <f>1385+61</f>
        <v>1446</v>
      </c>
      <c r="F32" s="43">
        <f>15+2</f>
        <v>17</v>
      </c>
      <c r="G32" s="43">
        <f>1370+59</f>
        <v>1429</v>
      </c>
      <c r="H32" s="43">
        <f>1269+53</f>
        <v>1322</v>
      </c>
      <c r="I32" s="30">
        <f t="shared" si="0"/>
        <v>92.512246326102172</v>
      </c>
      <c r="J32" s="15">
        <f t="shared" si="1"/>
        <v>107</v>
      </c>
      <c r="K32" s="17">
        <f t="shared" si="5"/>
        <v>124</v>
      </c>
      <c r="L32" s="18">
        <f t="shared" si="3"/>
        <v>20195</v>
      </c>
      <c r="M32" s="19"/>
      <c r="N32" s="20"/>
      <c r="O32" s="20"/>
      <c r="P32" s="20"/>
      <c r="Q32" s="21"/>
      <c r="R32" s="20"/>
      <c r="S32" s="20"/>
      <c r="T32" s="20"/>
      <c r="U32" s="20"/>
      <c r="V32" s="21"/>
      <c r="W32" s="17">
        <f>8237+AC32</f>
        <v>10155</v>
      </c>
      <c r="X32" s="17"/>
      <c r="Y32" s="17"/>
      <c r="Z32" s="17"/>
      <c r="AA32" s="17"/>
      <c r="AB32" s="17"/>
      <c r="AC32" s="22">
        <v>1918</v>
      </c>
      <c r="AD32" s="23"/>
      <c r="AE32" s="23"/>
      <c r="AF32" s="23"/>
      <c r="AG32" s="23"/>
      <c r="AH32" s="24"/>
      <c r="AI32" s="17"/>
      <c r="AJ32" s="17"/>
      <c r="AK32" s="17"/>
      <c r="AL32" s="17"/>
      <c r="AM32" s="17"/>
      <c r="AN32" s="17"/>
      <c r="AO32" s="18"/>
      <c r="AP32" s="18"/>
      <c r="AQ32" s="17"/>
      <c r="AR32" s="17"/>
      <c r="AS32" s="37"/>
      <c r="AT32" s="38"/>
      <c r="AU32" s="39">
        <f t="shared" si="4"/>
        <v>1.0623225371769576</v>
      </c>
      <c r="AV32" s="40">
        <v>22074</v>
      </c>
      <c r="AW32" s="40">
        <v>3046</v>
      </c>
      <c r="AX32" s="17"/>
      <c r="AY32" s="25"/>
      <c r="AZ32" s="53"/>
      <c r="BA32" s="1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26"/>
      <c r="BO32" s="16">
        <v>2090</v>
      </c>
      <c r="BP32" s="15">
        <v>1873</v>
      </c>
      <c r="BQ32" s="27">
        <v>264</v>
      </c>
      <c r="BR32" s="15"/>
      <c r="BS32" s="15"/>
      <c r="BT32" s="27"/>
      <c r="BU32" s="15">
        <v>1315</v>
      </c>
      <c r="BV32" s="15">
        <v>194</v>
      </c>
      <c r="BW32" s="28">
        <v>165</v>
      </c>
      <c r="BX32" s="28">
        <v>2036</v>
      </c>
      <c r="BY32" s="15">
        <v>270</v>
      </c>
      <c r="BZ32" s="15">
        <v>2152</v>
      </c>
      <c r="CA32" s="15">
        <v>236</v>
      </c>
      <c r="CB32" s="15"/>
      <c r="CC32" s="15"/>
      <c r="CD32" s="15"/>
      <c r="CE32" s="15"/>
      <c r="CF32" s="28">
        <v>1620</v>
      </c>
      <c r="CG32" s="15">
        <v>215</v>
      </c>
      <c r="CH32" s="15">
        <v>1508</v>
      </c>
      <c r="CI32" s="15">
        <v>183</v>
      </c>
      <c r="CJ32" s="15">
        <v>1406</v>
      </c>
      <c r="CK32" s="15">
        <v>183</v>
      </c>
      <c r="CL32" s="15">
        <v>1399</v>
      </c>
      <c r="CM32" s="26">
        <v>188</v>
      </c>
    </row>
    <row r="33" spans="1:91" x14ac:dyDescent="0.2">
      <c r="A33" s="1">
        <v>1981</v>
      </c>
      <c r="B33" s="32" t="s">
        <v>1</v>
      </c>
      <c r="C33" s="1">
        <f t="shared" si="2"/>
        <v>42</v>
      </c>
      <c r="D33" s="1">
        <v>2</v>
      </c>
      <c r="E33" s="44">
        <f>1419+116</f>
        <v>1535</v>
      </c>
      <c r="F33" s="44">
        <f>13+3</f>
        <v>16</v>
      </c>
      <c r="G33" s="44">
        <f>1406+113</f>
        <v>1519</v>
      </c>
      <c r="H33" s="44">
        <v>1333</v>
      </c>
      <c r="I33" s="33">
        <f t="shared" si="0"/>
        <v>87.755102040816325</v>
      </c>
      <c r="J33" s="1">
        <f t="shared" si="1"/>
        <v>186</v>
      </c>
      <c r="K33" s="3">
        <f t="shared" si="5"/>
        <v>202</v>
      </c>
      <c r="L33" s="4">
        <f t="shared" si="3"/>
        <v>21528</v>
      </c>
      <c r="M33" s="5"/>
      <c r="N33" s="6"/>
      <c r="O33" s="6"/>
      <c r="P33" s="6"/>
      <c r="Q33" s="7"/>
      <c r="R33" s="6"/>
      <c r="S33" s="6"/>
      <c r="T33" s="6"/>
      <c r="U33" s="6"/>
      <c r="V33" s="7"/>
      <c r="W33" s="3"/>
      <c r="X33" s="3"/>
      <c r="Y33" s="3"/>
      <c r="Z33" s="3"/>
      <c r="AA33" s="3"/>
      <c r="AB33" s="3"/>
      <c r="AC33" s="8"/>
      <c r="AD33" s="9"/>
      <c r="AE33" s="9"/>
      <c r="AF33" s="9"/>
      <c r="AG33" s="9"/>
      <c r="AH33" s="10"/>
      <c r="AI33" s="3"/>
      <c r="AJ33" s="3"/>
      <c r="AK33" s="3"/>
      <c r="AL33" s="3"/>
      <c r="AM33" s="3"/>
      <c r="AN33" s="3"/>
      <c r="AO33" s="4"/>
      <c r="AP33" s="4"/>
      <c r="AQ33" s="3"/>
      <c r="AR33" s="3"/>
      <c r="AS33" s="41"/>
      <c r="AT33" s="42"/>
      <c r="AU33" s="35">
        <f t="shared" si="4"/>
        <v>1.0541813898704357</v>
      </c>
      <c r="AV33" s="36">
        <v>23270</v>
      </c>
      <c r="AW33" s="36">
        <v>3239</v>
      </c>
      <c r="AX33" s="3"/>
      <c r="AY33" s="11"/>
      <c r="AZ33" s="52"/>
      <c r="BA33" s="2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2"/>
      <c r="BO33" s="2">
        <v>3300</v>
      </c>
      <c r="BP33" s="1">
        <v>2964</v>
      </c>
      <c r="BQ33" s="13">
        <v>324</v>
      </c>
      <c r="BR33" s="1"/>
      <c r="BS33" s="1"/>
      <c r="BT33" s="13"/>
      <c r="BU33" s="1">
        <v>1339</v>
      </c>
      <c r="BV33" s="1">
        <v>153</v>
      </c>
      <c r="BW33" s="14">
        <v>131</v>
      </c>
      <c r="BX33" s="14">
        <v>3119</v>
      </c>
      <c r="BY33" s="1">
        <v>330</v>
      </c>
      <c r="BZ33" s="1">
        <v>2350</v>
      </c>
      <c r="CA33" s="1">
        <v>300</v>
      </c>
      <c r="CB33" s="1"/>
      <c r="CC33" s="1"/>
      <c r="CD33" s="1"/>
      <c r="CE33" s="1"/>
      <c r="CF33" s="14">
        <v>2099</v>
      </c>
      <c r="CG33" s="1">
        <v>241</v>
      </c>
      <c r="CH33" s="1">
        <v>1713</v>
      </c>
      <c r="CI33" s="1">
        <v>241</v>
      </c>
      <c r="CJ33" s="1">
        <v>1494</v>
      </c>
      <c r="CK33" s="1">
        <v>167</v>
      </c>
      <c r="CL33" s="1">
        <v>1367</v>
      </c>
      <c r="CM33" s="12">
        <v>182</v>
      </c>
    </row>
    <row r="34" spans="1:91" x14ac:dyDescent="0.2">
      <c r="A34" s="15">
        <v>1982</v>
      </c>
      <c r="B34" s="29" t="s">
        <v>1</v>
      </c>
      <c r="C34" s="15">
        <f t="shared" si="2"/>
        <v>44</v>
      </c>
      <c r="D34" s="15">
        <v>2</v>
      </c>
      <c r="E34" s="43">
        <f>1451+34</f>
        <v>1485</v>
      </c>
      <c r="F34" s="43">
        <f>15+1</f>
        <v>16</v>
      </c>
      <c r="G34" s="43">
        <f>1436+33</f>
        <v>1469</v>
      </c>
      <c r="H34" s="43">
        <f>1376+22</f>
        <v>1398</v>
      </c>
      <c r="I34" s="30">
        <f t="shared" si="0"/>
        <v>95.16678012253233</v>
      </c>
      <c r="J34" s="15">
        <f t="shared" si="1"/>
        <v>71</v>
      </c>
      <c r="K34" s="17">
        <f t="shared" si="5"/>
        <v>87</v>
      </c>
      <c r="L34" s="18">
        <f t="shared" si="3"/>
        <v>22926</v>
      </c>
      <c r="M34" s="19"/>
      <c r="N34" s="20"/>
      <c r="O34" s="20"/>
      <c r="P34" s="20"/>
      <c r="Q34" s="21"/>
      <c r="R34" s="20"/>
      <c r="S34" s="20"/>
      <c r="T34" s="20"/>
      <c r="U34" s="20"/>
      <c r="V34" s="21"/>
      <c r="W34" s="17"/>
      <c r="X34" s="17"/>
      <c r="Y34" s="17"/>
      <c r="Z34" s="17"/>
      <c r="AA34" s="17"/>
      <c r="AB34" s="17"/>
      <c r="AC34" s="22"/>
      <c r="AD34" s="23"/>
      <c r="AE34" s="23"/>
      <c r="AF34" s="23"/>
      <c r="AG34" s="23"/>
      <c r="AH34" s="24"/>
      <c r="AI34" s="17"/>
      <c r="AJ34" s="17"/>
      <c r="AK34" s="17"/>
      <c r="AL34" s="17"/>
      <c r="AM34" s="17"/>
      <c r="AN34" s="17"/>
      <c r="AO34" s="18"/>
      <c r="AP34" s="18"/>
      <c r="AQ34" s="17"/>
      <c r="AR34" s="17"/>
      <c r="AS34" s="37"/>
      <c r="AT34" s="38"/>
      <c r="AU34" s="39">
        <f t="shared" si="4"/>
        <v>1.0586162440911044</v>
      </c>
      <c r="AV34" s="40">
        <v>24634</v>
      </c>
      <c r="AW34" s="40">
        <v>3421</v>
      </c>
      <c r="AX34" s="17"/>
      <c r="AY34" s="25"/>
      <c r="AZ34" s="53"/>
      <c r="BA34" s="16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26"/>
      <c r="BO34" s="16">
        <v>3116</v>
      </c>
      <c r="BP34" s="15">
        <v>3281</v>
      </c>
      <c r="BQ34" s="27">
        <v>488</v>
      </c>
      <c r="BR34" s="15"/>
      <c r="BS34" s="15"/>
      <c r="BT34" s="27"/>
      <c r="BU34" s="15">
        <v>1735</v>
      </c>
      <c r="BV34" s="15">
        <v>145</v>
      </c>
      <c r="BW34" s="28">
        <v>136</v>
      </c>
      <c r="BX34" s="28">
        <v>3456</v>
      </c>
      <c r="BY34" s="15">
        <v>496</v>
      </c>
      <c r="BZ34" s="15">
        <v>3155</v>
      </c>
      <c r="CA34" s="15">
        <v>348</v>
      </c>
      <c r="CB34" s="15"/>
      <c r="CC34" s="15"/>
      <c r="CD34" s="15"/>
      <c r="CE34" s="15"/>
      <c r="CF34" s="28">
        <v>2830</v>
      </c>
      <c r="CG34" s="15">
        <v>316</v>
      </c>
      <c r="CH34" s="15">
        <v>2348</v>
      </c>
      <c r="CI34" s="15">
        <v>220</v>
      </c>
      <c r="CJ34" s="15">
        <v>2096</v>
      </c>
      <c r="CK34" s="15">
        <v>236</v>
      </c>
      <c r="CL34" s="15">
        <v>1933</v>
      </c>
      <c r="CM34" s="26">
        <v>160</v>
      </c>
    </row>
    <row r="35" spans="1:91" x14ac:dyDescent="0.2">
      <c r="A35" s="1">
        <v>1983</v>
      </c>
      <c r="B35" s="32"/>
      <c r="C35" s="1">
        <f t="shared" si="2"/>
        <v>45</v>
      </c>
      <c r="D35" s="1">
        <v>1</v>
      </c>
      <c r="E35" s="44">
        <v>1473</v>
      </c>
      <c r="F35" s="44">
        <v>24</v>
      </c>
      <c r="G35" s="44">
        <v>1449</v>
      </c>
      <c r="H35" s="44">
        <v>1403</v>
      </c>
      <c r="I35" s="33">
        <f t="shared" si="0"/>
        <v>96.825396825396822</v>
      </c>
      <c r="J35" s="1">
        <f t="shared" si="1"/>
        <v>46</v>
      </c>
      <c r="K35" s="3">
        <f t="shared" si="5"/>
        <v>70</v>
      </c>
      <c r="L35" s="4">
        <f t="shared" si="3"/>
        <v>24329</v>
      </c>
      <c r="M35" s="5"/>
      <c r="N35" s="6"/>
      <c r="O35" s="6"/>
      <c r="P35" s="6"/>
      <c r="Q35" s="7"/>
      <c r="R35" s="6"/>
      <c r="S35" s="6"/>
      <c r="T35" s="6"/>
      <c r="U35" s="6"/>
      <c r="V35" s="7"/>
      <c r="W35" s="3"/>
      <c r="X35" s="3"/>
      <c r="Y35" s="3"/>
      <c r="Z35" s="3"/>
      <c r="AA35" s="3"/>
      <c r="AB35" s="3"/>
      <c r="AC35" s="8"/>
      <c r="AD35" s="9"/>
      <c r="AE35" s="9"/>
      <c r="AF35" s="9"/>
      <c r="AG35" s="9"/>
      <c r="AH35" s="10"/>
      <c r="AI35" s="3"/>
      <c r="AJ35" s="3"/>
      <c r="AK35" s="3"/>
      <c r="AL35" s="3"/>
      <c r="AM35" s="3"/>
      <c r="AN35" s="3"/>
      <c r="AO35" s="4"/>
      <c r="AP35" s="4"/>
      <c r="AQ35" s="3"/>
      <c r="AR35" s="3"/>
      <c r="AS35" s="41"/>
      <c r="AT35" s="42"/>
      <c r="AU35" s="35">
        <f t="shared" si="4"/>
        <v>1.0561419176747584</v>
      </c>
      <c r="AV35" s="36">
        <v>26017</v>
      </c>
      <c r="AW35" s="36">
        <v>3594</v>
      </c>
      <c r="AX35" s="3"/>
      <c r="AY35" s="11"/>
      <c r="AZ35" s="52"/>
      <c r="BA35" s="2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2"/>
      <c r="BO35" s="2">
        <v>3522</v>
      </c>
      <c r="BP35" s="1">
        <v>3385</v>
      </c>
      <c r="BQ35" s="13">
        <v>643</v>
      </c>
      <c r="BR35" s="1"/>
      <c r="BS35" s="1"/>
      <c r="BT35" s="13"/>
      <c r="BU35" s="1">
        <v>1417</v>
      </c>
      <c r="BV35" s="1">
        <v>159</v>
      </c>
      <c r="BW35" s="14">
        <v>156</v>
      </c>
      <c r="BX35" s="14">
        <v>3697</v>
      </c>
      <c r="BY35" s="1">
        <v>669</v>
      </c>
      <c r="BZ35" s="1">
        <v>3524</v>
      </c>
      <c r="CA35" s="1">
        <v>506</v>
      </c>
      <c r="CB35" s="1"/>
      <c r="CC35" s="1"/>
      <c r="CD35" s="1"/>
      <c r="CE35" s="1"/>
      <c r="CF35" s="14">
        <v>2969</v>
      </c>
      <c r="CG35" s="1">
        <v>338</v>
      </c>
      <c r="CH35" s="1">
        <v>2118</v>
      </c>
      <c r="CI35" s="1">
        <v>288</v>
      </c>
      <c r="CJ35" s="1">
        <v>1745</v>
      </c>
      <c r="CK35" s="1">
        <v>216</v>
      </c>
      <c r="CL35" s="1">
        <v>1528</v>
      </c>
      <c r="CM35" s="12">
        <v>229</v>
      </c>
    </row>
    <row r="36" spans="1:91" x14ac:dyDescent="0.2">
      <c r="A36" s="15">
        <v>1984</v>
      </c>
      <c r="B36" s="29" t="s">
        <v>1</v>
      </c>
      <c r="C36" s="15">
        <f t="shared" si="2"/>
        <v>47</v>
      </c>
      <c r="D36" s="15">
        <v>2</v>
      </c>
      <c r="E36" s="43">
        <f>1641+353</f>
        <v>1994</v>
      </c>
      <c r="F36" s="43">
        <f>25+0</f>
        <v>25</v>
      </c>
      <c r="G36" s="43">
        <f>1616+353</f>
        <v>1969</v>
      </c>
      <c r="H36" s="43">
        <v>1551</v>
      </c>
      <c r="I36" s="30">
        <f t="shared" si="0"/>
        <v>78.770949720670387</v>
      </c>
      <c r="J36" s="15">
        <f t="shared" si="1"/>
        <v>418</v>
      </c>
      <c r="K36" s="17">
        <f t="shared" si="5"/>
        <v>443</v>
      </c>
      <c r="L36" s="18">
        <f t="shared" si="3"/>
        <v>25880</v>
      </c>
      <c r="M36" s="19"/>
      <c r="N36" s="20"/>
      <c r="O36" s="20"/>
      <c r="P36" s="20"/>
      <c r="Q36" s="21"/>
      <c r="R36" s="20"/>
      <c r="S36" s="20"/>
      <c r="T36" s="20"/>
      <c r="U36" s="20"/>
      <c r="V36" s="21"/>
      <c r="W36" s="17"/>
      <c r="X36" s="17"/>
      <c r="Y36" s="17"/>
      <c r="Z36" s="17"/>
      <c r="AA36" s="17"/>
      <c r="AB36" s="17"/>
      <c r="AC36" s="22"/>
      <c r="AD36" s="23"/>
      <c r="AE36" s="23"/>
      <c r="AF36" s="23"/>
      <c r="AG36" s="23"/>
      <c r="AH36" s="24"/>
      <c r="AI36" s="17"/>
      <c r="AJ36" s="17"/>
      <c r="AK36" s="17"/>
      <c r="AL36" s="17"/>
      <c r="AM36" s="17"/>
      <c r="AN36" s="17"/>
      <c r="AO36" s="18"/>
      <c r="AP36" s="18"/>
      <c r="AQ36" s="17"/>
      <c r="AR36" s="17"/>
      <c r="AS36" s="37"/>
      <c r="AT36" s="38"/>
      <c r="AU36" s="39">
        <f t="shared" si="4"/>
        <v>1.0595764307952493</v>
      </c>
      <c r="AV36" s="40">
        <v>27567</v>
      </c>
      <c r="AW36" s="40">
        <v>3832</v>
      </c>
      <c r="AX36" s="17"/>
      <c r="AY36" s="25"/>
      <c r="AZ36" s="53"/>
      <c r="BA36" s="1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26"/>
      <c r="BO36" s="16">
        <v>3430</v>
      </c>
      <c r="BP36" s="15">
        <v>2856</v>
      </c>
      <c r="BQ36" s="27">
        <v>543</v>
      </c>
      <c r="BR36" s="15"/>
      <c r="BS36" s="15"/>
      <c r="BT36" s="27"/>
      <c r="BU36" s="15">
        <v>1630</v>
      </c>
      <c r="BV36" s="15">
        <v>251</v>
      </c>
      <c r="BW36" s="28">
        <v>166</v>
      </c>
      <c r="BX36" s="28">
        <v>3165</v>
      </c>
      <c r="BY36" s="15">
        <v>553</v>
      </c>
      <c r="BZ36" s="15">
        <v>3649</v>
      </c>
      <c r="CA36" s="15">
        <v>651</v>
      </c>
      <c r="CB36" s="15"/>
      <c r="CC36" s="15"/>
      <c r="CD36" s="15"/>
      <c r="CE36" s="15"/>
      <c r="CF36" s="28">
        <v>3391</v>
      </c>
      <c r="CG36" s="15">
        <v>498</v>
      </c>
      <c r="CH36" s="15">
        <v>2860</v>
      </c>
      <c r="CI36" s="15">
        <v>334</v>
      </c>
      <c r="CJ36" s="15">
        <v>2162</v>
      </c>
      <c r="CK36" s="15">
        <v>306</v>
      </c>
      <c r="CL36" s="15">
        <v>1697</v>
      </c>
      <c r="CM36" s="26">
        <v>212</v>
      </c>
    </row>
    <row r="37" spans="1:91" x14ac:dyDescent="0.2">
      <c r="A37" s="1">
        <v>1985</v>
      </c>
      <c r="B37" s="32"/>
      <c r="C37" s="1">
        <f t="shared" si="2"/>
        <v>48</v>
      </c>
      <c r="D37" s="1">
        <v>1</v>
      </c>
      <c r="E37" s="44">
        <v>1785</v>
      </c>
      <c r="F37" s="44">
        <v>18</v>
      </c>
      <c r="G37" s="44">
        <v>1767</v>
      </c>
      <c r="H37" s="44">
        <v>1587</v>
      </c>
      <c r="I37" s="33">
        <f t="shared" si="0"/>
        <v>89.813242784380307</v>
      </c>
      <c r="J37" s="1">
        <f t="shared" si="1"/>
        <v>180</v>
      </c>
      <c r="K37" s="3">
        <f t="shared" si="5"/>
        <v>198</v>
      </c>
      <c r="L37" s="4">
        <f t="shared" si="3"/>
        <v>27467</v>
      </c>
      <c r="M37" s="5"/>
      <c r="N37" s="6"/>
      <c r="O37" s="6"/>
      <c r="P37" s="6"/>
      <c r="Q37" s="7"/>
      <c r="R37" s="6"/>
      <c r="S37" s="6"/>
      <c r="T37" s="6"/>
      <c r="U37" s="6"/>
      <c r="V37" s="7"/>
      <c r="W37" s="3">
        <f>18299+AC37</f>
        <v>20989</v>
      </c>
      <c r="X37" s="3"/>
      <c r="Y37" s="3"/>
      <c r="Z37" s="3"/>
      <c r="AA37" s="3"/>
      <c r="AB37" s="3"/>
      <c r="AC37" s="8">
        <v>2690</v>
      </c>
      <c r="AD37" s="9"/>
      <c r="AE37" s="9"/>
      <c r="AF37" s="9"/>
      <c r="AG37" s="9"/>
      <c r="AH37" s="10"/>
      <c r="AI37" s="3"/>
      <c r="AJ37" s="3"/>
      <c r="AK37" s="3"/>
      <c r="AL37" s="3"/>
      <c r="AM37" s="3"/>
      <c r="AN37" s="3"/>
      <c r="AO37" s="4"/>
      <c r="AP37" s="4"/>
      <c r="AQ37" s="3"/>
      <c r="AR37" s="3"/>
      <c r="AS37" s="41"/>
      <c r="AT37" s="42"/>
      <c r="AU37" s="35">
        <f t="shared" si="4"/>
        <v>1.0574600065295463</v>
      </c>
      <c r="AV37" s="3">
        <v>29151</v>
      </c>
      <c r="AW37" s="36">
        <v>4029</v>
      </c>
      <c r="AX37" s="3"/>
      <c r="AY37" s="11"/>
      <c r="AZ37" s="3"/>
      <c r="BA37" s="2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2"/>
      <c r="BO37" s="2"/>
      <c r="BP37" s="1">
        <v>3074</v>
      </c>
      <c r="BQ37" s="13">
        <v>594</v>
      </c>
      <c r="BR37" s="1"/>
      <c r="BS37" s="1"/>
      <c r="BT37" s="13"/>
      <c r="BU37" s="1">
        <v>1715</v>
      </c>
      <c r="BV37" s="1">
        <v>218</v>
      </c>
      <c r="BW37" s="14">
        <v>185</v>
      </c>
      <c r="BX37" s="14">
        <v>3339</v>
      </c>
      <c r="BY37" s="1">
        <v>610</v>
      </c>
      <c r="BZ37" s="1">
        <v>3414</v>
      </c>
      <c r="CA37" s="1">
        <v>597</v>
      </c>
      <c r="CB37" s="1"/>
      <c r="CC37" s="1"/>
      <c r="CD37" s="1"/>
      <c r="CE37" s="1"/>
      <c r="CF37" s="14">
        <v>3760</v>
      </c>
      <c r="CG37" s="1">
        <v>670</v>
      </c>
      <c r="CH37" s="1">
        <v>3131</v>
      </c>
      <c r="CI37" s="1">
        <v>463</v>
      </c>
      <c r="CJ37" s="1">
        <v>2703</v>
      </c>
      <c r="CK37" s="1">
        <v>319</v>
      </c>
      <c r="CL37" s="1">
        <v>2019</v>
      </c>
      <c r="CM37" s="12">
        <v>304</v>
      </c>
    </row>
    <row r="38" spans="1:91" x14ac:dyDescent="0.2">
      <c r="A38" s="15">
        <v>1986</v>
      </c>
      <c r="B38" s="29"/>
      <c r="C38" s="15">
        <f t="shared" si="2"/>
        <v>49</v>
      </c>
      <c r="D38" s="15">
        <v>1</v>
      </c>
      <c r="E38" s="43">
        <v>2167</v>
      </c>
      <c r="F38" s="43">
        <v>29</v>
      </c>
      <c r="G38" s="43">
        <v>2138</v>
      </c>
      <c r="H38" s="43">
        <v>2065</v>
      </c>
      <c r="I38" s="30">
        <f t="shared" si="0"/>
        <v>96.585594013096355</v>
      </c>
      <c r="J38" s="15">
        <f t="shared" si="1"/>
        <v>73</v>
      </c>
      <c r="K38" s="17">
        <f t="shared" si="5"/>
        <v>102</v>
      </c>
      <c r="L38" s="18">
        <f t="shared" si="3"/>
        <v>29532</v>
      </c>
      <c r="M38" s="19"/>
      <c r="N38" s="20"/>
      <c r="O38" s="20"/>
      <c r="P38" s="20"/>
      <c r="Q38" s="21"/>
      <c r="R38" s="20"/>
      <c r="S38" s="20"/>
      <c r="T38" s="20"/>
      <c r="U38" s="20"/>
      <c r="V38" s="21"/>
      <c r="W38" s="17"/>
      <c r="X38" s="17"/>
      <c r="Y38" s="17"/>
      <c r="Z38" s="17"/>
      <c r="AA38" s="17"/>
      <c r="AB38" s="17"/>
      <c r="AC38" s="22"/>
      <c r="AD38" s="23"/>
      <c r="AE38" s="23"/>
      <c r="AF38" s="23"/>
      <c r="AG38" s="23"/>
      <c r="AH38" s="24"/>
      <c r="AI38" s="17"/>
      <c r="AJ38" s="17"/>
      <c r="AK38" s="17"/>
      <c r="AL38" s="17"/>
      <c r="AM38" s="17"/>
      <c r="AN38" s="17"/>
      <c r="AO38" s="18"/>
      <c r="AP38" s="18"/>
      <c r="AQ38" s="17"/>
      <c r="AR38" s="17"/>
      <c r="AS38" s="37"/>
      <c r="AT38" s="38"/>
      <c r="AU38" s="39">
        <f t="shared" si="4"/>
        <v>1.0810606840245618</v>
      </c>
      <c r="AV38" s="17">
        <v>31514</v>
      </c>
      <c r="AW38" s="40">
        <v>4363</v>
      </c>
      <c r="AX38" s="17"/>
      <c r="AY38" s="25"/>
      <c r="AZ38" s="17"/>
      <c r="BA38" s="1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26"/>
      <c r="BO38" s="16"/>
      <c r="BP38" s="15">
        <v>2978</v>
      </c>
      <c r="BQ38" s="27">
        <v>592</v>
      </c>
      <c r="BR38" s="15"/>
      <c r="BS38" s="15"/>
      <c r="BT38" s="27"/>
      <c r="BU38" s="15">
        <v>1860</v>
      </c>
      <c r="BV38" s="15">
        <v>287</v>
      </c>
      <c r="BW38" s="28">
        <v>194</v>
      </c>
      <c r="BX38" s="28">
        <v>3292</v>
      </c>
      <c r="BY38" s="15">
        <v>635</v>
      </c>
      <c r="BZ38" s="15">
        <v>3457</v>
      </c>
      <c r="CA38" s="15">
        <v>623</v>
      </c>
      <c r="CB38" s="15"/>
      <c r="CC38" s="15"/>
      <c r="CD38" s="15"/>
      <c r="CE38" s="15"/>
      <c r="CF38" s="28">
        <v>3614</v>
      </c>
      <c r="CG38" s="15">
        <v>632</v>
      </c>
      <c r="CH38" s="15">
        <v>3391</v>
      </c>
      <c r="CI38" s="15">
        <v>619</v>
      </c>
      <c r="CJ38" s="15">
        <v>2925</v>
      </c>
      <c r="CK38" s="15">
        <v>446</v>
      </c>
      <c r="CL38" s="15">
        <v>2605</v>
      </c>
      <c r="CM38" s="26">
        <v>313</v>
      </c>
    </row>
    <row r="39" spans="1:91" x14ac:dyDescent="0.2">
      <c r="A39" s="1">
        <v>1987</v>
      </c>
      <c r="B39" s="32"/>
      <c r="C39" s="1">
        <f t="shared" si="2"/>
        <v>50</v>
      </c>
      <c r="D39" s="1">
        <v>1</v>
      </c>
      <c r="E39" s="44">
        <v>2654</v>
      </c>
      <c r="F39" s="44">
        <v>19</v>
      </c>
      <c r="G39" s="44">
        <v>2635</v>
      </c>
      <c r="H39" s="44">
        <v>2599</v>
      </c>
      <c r="I39" s="33">
        <f t="shared" si="0"/>
        <v>98.633776091081586</v>
      </c>
      <c r="J39" s="1">
        <f t="shared" si="1"/>
        <v>36</v>
      </c>
      <c r="K39" s="3">
        <f t="shared" si="5"/>
        <v>55</v>
      </c>
      <c r="L39" s="4">
        <f t="shared" si="3"/>
        <v>32131</v>
      </c>
      <c r="M39" s="5"/>
      <c r="N39" s="6"/>
      <c r="O39" s="6"/>
      <c r="P39" s="6"/>
      <c r="Q39" s="7"/>
      <c r="R39" s="6"/>
      <c r="S39" s="6"/>
      <c r="T39" s="6"/>
      <c r="U39" s="6"/>
      <c r="V39" s="7"/>
      <c r="W39" s="3"/>
      <c r="X39" s="3"/>
      <c r="Y39" s="3"/>
      <c r="Z39" s="3"/>
      <c r="AA39" s="3"/>
      <c r="AB39" s="3"/>
      <c r="AC39" s="8"/>
      <c r="AD39" s="9"/>
      <c r="AE39" s="9"/>
      <c r="AF39" s="9"/>
      <c r="AG39" s="9"/>
      <c r="AH39" s="10"/>
      <c r="AI39" s="3"/>
      <c r="AJ39" s="3"/>
      <c r="AK39" s="3"/>
      <c r="AL39" s="3"/>
      <c r="AM39" s="3"/>
      <c r="AN39" s="3"/>
      <c r="AO39" s="4"/>
      <c r="AP39" s="4"/>
      <c r="AQ39" s="3"/>
      <c r="AR39" s="3"/>
      <c r="AS39" s="41"/>
      <c r="AT39" s="42"/>
      <c r="AU39" s="35">
        <f t="shared" si="4"/>
        <v>1.0816462524592245</v>
      </c>
      <c r="AV39" s="3">
        <v>34087</v>
      </c>
      <c r="AW39" s="36">
        <v>4674</v>
      </c>
      <c r="AX39" s="3"/>
      <c r="AY39" s="11"/>
      <c r="AZ39" s="52"/>
      <c r="BA39" s="2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2"/>
      <c r="BO39" s="2"/>
      <c r="BP39" s="1">
        <v>3018</v>
      </c>
      <c r="BQ39" s="13">
        <v>579</v>
      </c>
      <c r="BR39" s="1"/>
      <c r="BS39" s="1"/>
      <c r="BT39" s="13"/>
      <c r="BU39" s="1">
        <v>2556</v>
      </c>
      <c r="BV39" s="1">
        <v>305</v>
      </c>
      <c r="BW39" s="14">
        <v>374</v>
      </c>
      <c r="BX39" s="14">
        <v>3244</v>
      </c>
      <c r="BY39" s="1">
        <v>607</v>
      </c>
      <c r="BZ39" s="1">
        <v>3373</v>
      </c>
      <c r="CA39" s="1">
        <v>652</v>
      </c>
      <c r="CB39" s="1"/>
      <c r="CC39" s="1"/>
      <c r="CD39" s="1"/>
      <c r="CE39" s="1"/>
      <c r="CF39" s="14">
        <v>3673</v>
      </c>
      <c r="CG39" s="1">
        <v>619</v>
      </c>
      <c r="CH39" s="1">
        <v>3264</v>
      </c>
      <c r="CI39" s="1">
        <v>603</v>
      </c>
      <c r="CJ39" s="1">
        <v>3168</v>
      </c>
      <c r="CK39" s="1">
        <v>604</v>
      </c>
      <c r="CL39" s="1">
        <v>2815</v>
      </c>
      <c r="CM39" s="12">
        <v>439</v>
      </c>
    </row>
    <row r="40" spans="1:91" x14ac:dyDescent="0.2">
      <c r="A40" s="15">
        <v>1988</v>
      </c>
      <c r="B40" s="29"/>
      <c r="C40" s="15">
        <f t="shared" si="2"/>
        <v>51</v>
      </c>
      <c r="D40" s="15">
        <v>1</v>
      </c>
      <c r="E40" s="43">
        <v>2844</v>
      </c>
      <c r="F40" s="43">
        <v>19</v>
      </c>
      <c r="G40" s="43">
        <v>2825</v>
      </c>
      <c r="H40" s="43">
        <v>2698</v>
      </c>
      <c r="I40" s="30">
        <f t="shared" si="0"/>
        <v>95.504424778761063</v>
      </c>
      <c r="J40" s="15">
        <f t="shared" si="1"/>
        <v>127</v>
      </c>
      <c r="K40" s="17">
        <f t="shared" si="5"/>
        <v>146</v>
      </c>
      <c r="L40" s="18">
        <f t="shared" si="3"/>
        <v>34829</v>
      </c>
      <c r="M40" s="19"/>
      <c r="N40" s="20"/>
      <c r="O40" s="20"/>
      <c r="P40" s="20"/>
      <c r="Q40" s="21"/>
      <c r="R40" s="20"/>
      <c r="S40" s="20"/>
      <c r="T40" s="20"/>
      <c r="U40" s="20"/>
      <c r="V40" s="21"/>
      <c r="W40" s="17"/>
      <c r="X40" s="17"/>
      <c r="Y40" s="17"/>
      <c r="Z40" s="17"/>
      <c r="AA40" s="17"/>
      <c r="AB40" s="17"/>
      <c r="AC40" s="22"/>
      <c r="AD40" s="23"/>
      <c r="AE40" s="23"/>
      <c r="AF40" s="23"/>
      <c r="AG40" s="23"/>
      <c r="AH40" s="24"/>
      <c r="AI40" s="17"/>
      <c r="AJ40" s="17"/>
      <c r="AK40" s="17"/>
      <c r="AL40" s="17"/>
      <c r="AM40" s="17"/>
      <c r="AN40" s="17"/>
      <c r="AO40" s="18"/>
      <c r="AP40" s="18"/>
      <c r="AQ40" s="17"/>
      <c r="AR40" s="17"/>
      <c r="AS40" s="37"/>
      <c r="AT40" s="38"/>
      <c r="AU40" s="39">
        <f t="shared" si="4"/>
        <v>1.0780356147504915</v>
      </c>
      <c r="AV40" s="17">
        <v>36747</v>
      </c>
      <c r="AW40" s="40">
        <v>5098</v>
      </c>
      <c r="AX40" s="17"/>
      <c r="AY40" s="25"/>
      <c r="AZ40" s="17"/>
      <c r="BA40" s="1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26"/>
      <c r="BO40" s="16"/>
      <c r="BP40" s="15">
        <v>2921</v>
      </c>
      <c r="BQ40" s="27">
        <v>535</v>
      </c>
      <c r="BR40" s="15"/>
      <c r="BS40" s="15">
        <v>40</v>
      </c>
      <c r="BT40" s="27">
        <v>5</v>
      </c>
      <c r="BU40" s="15">
        <v>2465</v>
      </c>
      <c r="BV40" s="15">
        <v>378</v>
      </c>
      <c r="BW40" s="28">
        <v>355</v>
      </c>
      <c r="BX40" s="28">
        <v>3242</v>
      </c>
      <c r="BY40" s="15">
        <v>579</v>
      </c>
      <c r="BZ40" s="15">
        <v>3479</v>
      </c>
      <c r="CA40" s="15">
        <v>636</v>
      </c>
      <c r="CB40" s="15"/>
      <c r="CC40" s="15"/>
      <c r="CD40" s="15"/>
      <c r="CE40" s="15"/>
      <c r="CF40" s="28">
        <v>3366</v>
      </c>
      <c r="CG40" s="15">
        <v>641</v>
      </c>
      <c r="CH40" s="15">
        <v>3113</v>
      </c>
      <c r="CI40" s="15">
        <v>568</v>
      </c>
      <c r="CJ40" s="15">
        <v>2892</v>
      </c>
      <c r="CK40" s="15">
        <v>562</v>
      </c>
      <c r="CL40" s="15">
        <v>2859</v>
      </c>
      <c r="CM40" s="26">
        <v>569</v>
      </c>
    </row>
    <row r="41" spans="1:91" x14ac:dyDescent="0.2">
      <c r="A41" s="1">
        <v>1989</v>
      </c>
      <c r="B41" s="32"/>
      <c r="C41" s="1">
        <f t="shared" si="2"/>
        <v>52</v>
      </c>
      <c r="D41" s="1">
        <v>1</v>
      </c>
      <c r="E41" s="44">
        <v>3170</v>
      </c>
      <c r="F41" s="44">
        <v>13</v>
      </c>
      <c r="G41" s="44">
        <v>3157</v>
      </c>
      <c r="H41" s="44">
        <v>2933</v>
      </c>
      <c r="I41" s="33">
        <f t="shared" si="0"/>
        <v>92.904656319290467</v>
      </c>
      <c r="J41" s="1">
        <f t="shared" si="1"/>
        <v>224</v>
      </c>
      <c r="K41" s="3">
        <f t="shared" si="5"/>
        <v>237</v>
      </c>
      <c r="L41" s="4">
        <f t="shared" si="3"/>
        <v>37762</v>
      </c>
      <c r="M41" s="5"/>
      <c r="N41" s="6"/>
      <c r="O41" s="6"/>
      <c r="P41" s="6"/>
      <c r="Q41" s="7"/>
      <c r="R41" s="6"/>
      <c r="S41" s="6"/>
      <c r="T41" s="6"/>
      <c r="U41" s="6"/>
      <c r="V41" s="7"/>
      <c r="W41" s="3"/>
      <c r="X41" s="3"/>
      <c r="Y41" s="3"/>
      <c r="Z41" s="3"/>
      <c r="AA41" s="3"/>
      <c r="AB41" s="3"/>
      <c r="AC41" s="8"/>
      <c r="AD41" s="9"/>
      <c r="AE41" s="9"/>
      <c r="AF41" s="9"/>
      <c r="AG41" s="9"/>
      <c r="AH41" s="10"/>
      <c r="AI41" s="3"/>
      <c r="AJ41" s="3"/>
      <c r="AK41" s="3"/>
      <c r="AL41" s="3"/>
      <c r="AM41" s="3"/>
      <c r="AN41" s="3"/>
      <c r="AO41" s="4">
        <v>2066</v>
      </c>
      <c r="AP41" s="4"/>
      <c r="AQ41" s="3"/>
      <c r="AR41" s="3"/>
      <c r="AS41" s="41"/>
      <c r="AT41" s="42"/>
      <c r="AU41" s="35">
        <f t="shared" si="4"/>
        <v>1.0795983345579232</v>
      </c>
      <c r="AV41" s="3">
        <v>39672</v>
      </c>
      <c r="AW41" s="36">
        <v>5677</v>
      </c>
      <c r="AX41" s="3"/>
      <c r="AY41" s="11"/>
      <c r="AZ41" s="3"/>
      <c r="BA41" s="2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2"/>
      <c r="BO41" s="2"/>
      <c r="BP41" s="1">
        <v>2896</v>
      </c>
      <c r="BQ41" s="13">
        <v>514</v>
      </c>
      <c r="BR41" s="1"/>
      <c r="BS41" s="1"/>
      <c r="BT41" s="13"/>
      <c r="BU41" s="1">
        <v>3034</v>
      </c>
      <c r="BV41" s="1">
        <v>587</v>
      </c>
      <c r="BW41" s="14">
        <v>231</v>
      </c>
      <c r="BX41" s="14">
        <v>3109</v>
      </c>
      <c r="BY41" s="1">
        <v>536</v>
      </c>
      <c r="BZ41" s="1">
        <v>3230</v>
      </c>
      <c r="CA41" s="1">
        <v>560</v>
      </c>
      <c r="CB41" s="1"/>
      <c r="CC41" s="1"/>
      <c r="CD41" s="1"/>
      <c r="CE41" s="1"/>
      <c r="CF41" s="14">
        <v>3685</v>
      </c>
      <c r="CG41" s="1">
        <v>655</v>
      </c>
      <c r="CH41" s="1">
        <v>3350</v>
      </c>
      <c r="CI41" s="1">
        <v>636</v>
      </c>
      <c r="CJ41" s="1">
        <v>3171</v>
      </c>
      <c r="CK41" s="1">
        <v>597</v>
      </c>
      <c r="CL41" s="1">
        <v>2947</v>
      </c>
      <c r="CM41" s="12">
        <v>568</v>
      </c>
    </row>
    <row r="42" spans="1:91" x14ac:dyDescent="0.2">
      <c r="A42" s="15">
        <v>1990</v>
      </c>
      <c r="B42" s="54"/>
      <c r="C42" s="15">
        <f t="shared" si="2"/>
        <v>53</v>
      </c>
      <c r="D42" s="15">
        <v>1</v>
      </c>
      <c r="E42" s="43">
        <v>3135</v>
      </c>
      <c r="F42" s="43">
        <v>27</v>
      </c>
      <c r="G42" s="43">
        <v>3108</v>
      </c>
      <c r="H42" s="43">
        <v>2798</v>
      </c>
      <c r="I42" s="30">
        <f t="shared" si="0"/>
        <v>90.025740025740035</v>
      </c>
      <c r="J42" s="15">
        <f t="shared" si="1"/>
        <v>310</v>
      </c>
      <c r="K42" s="17">
        <f t="shared" si="5"/>
        <v>337</v>
      </c>
      <c r="L42" s="18">
        <f t="shared" si="3"/>
        <v>40560</v>
      </c>
      <c r="M42" s="55">
        <f>X42/W42*100</f>
        <v>26.895253195917153</v>
      </c>
      <c r="N42" s="56">
        <f>Y42/W42*100</f>
        <v>31.178773164205726</v>
      </c>
      <c r="O42" s="56">
        <f>Z42/W42*100</f>
        <v>17.783173124566446</v>
      </c>
      <c r="P42" s="56">
        <f>AA42/W42*100</f>
        <v>12.372411059359825</v>
      </c>
      <c r="Q42" s="57">
        <f>AB42/W42*100</f>
        <v>11.770389455950847</v>
      </c>
      <c r="R42" s="20"/>
      <c r="S42" s="20"/>
      <c r="T42" s="20"/>
      <c r="U42" s="20"/>
      <c r="V42" s="21"/>
      <c r="W42" s="17">
        <f>SUM(X42:AB42)</f>
        <v>40364</v>
      </c>
      <c r="X42" s="17">
        <v>10856</v>
      </c>
      <c r="Y42" s="17">
        <v>12585</v>
      </c>
      <c r="Z42" s="17">
        <v>7178</v>
      </c>
      <c r="AA42" s="17">
        <v>4994</v>
      </c>
      <c r="AB42" s="17">
        <f>2818+1933</f>
        <v>4751</v>
      </c>
      <c r="AC42" s="22">
        <v>4229</v>
      </c>
      <c r="AD42" s="23"/>
      <c r="AE42" s="23"/>
      <c r="AF42" s="23"/>
      <c r="AG42" s="23"/>
      <c r="AH42" s="24"/>
      <c r="AI42" s="17"/>
      <c r="AJ42" s="17"/>
      <c r="AK42" s="17"/>
      <c r="AL42" s="17"/>
      <c r="AM42" s="17"/>
      <c r="AN42" s="17"/>
      <c r="AO42" s="18"/>
      <c r="AP42" s="18"/>
      <c r="AQ42" s="17"/>
      <c r="AR42" s="17"/>
      <c r="AS42" s="37"/>
      <c r="AT42" s="38"/>
      <c r="AU42" s="39">
        <f t="shared" si="4"/>
        <v>1.0702258519862875</v>
      </c>
      <c r="AV42" s="40">
        <v>42458</v>
      </c>
      <c r="AW42" s="40">
        <v>6220</v>
      </c>
      <c r="AX42" s="58"/>
      <c r="AY42" s="59"/>
      <c r="AZ42" s="60"/>
      <c r="BA42" s="16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26"/>
      <c r="BO42" s="16"/>
      <c r="BP42" s="15">
        <v>2896</v>
      </c>
      <c r="BQ42" s="27">
        <v>583</v>
      </c>
      <c r="BR42" s="15"/>
      <c r="BS42" s="15"/>
      <c r="BT42" s="27"/>
      <c r="BU42" s="15">
        <v>2587</v>
      </c>
      <c r="BV42" s="15">
        <v>515</v>
      </c>
      <c r="BW42" s="28">
        <v>173</v>
      </c>
      <c r="BX42" s="28">
        <v>3123</v>
      </c>
      <c r="BY42" s="15">
        <v>602</v>
      </c>
      <c r="BZ42" s="15">
        <v>3144</v>
      </c>
      <c r="CA42" s="15">
        <v>548</v>
      </c>
      <c r="CB42" s="15"/>
      <c r="CC42" s="15"/>
      <c r="CD42" s="15"/>
      <c r="CE42" s="15"/>
      <c r="CF42" s="28">
        <v>3669</v>
      </c>
      <c r="CG42" s="15">
        <v>606</v>
      </c>
      <c r="CH42" s="15">
        <v>3359</v>
      </c>
      <c r="CI42" s="15">
        <v>610</v>
      </c>
      <c r="CJ42" s="15">
        <v>3155</v>
      </c>
      <c r="CK42" s="15">
        <v>617</v>
      </c>
      <c r="CL42" s="15">
        <v>2968</v>
      </c>
      <c r="CM42" s="26">
        <v>578</v>
      </c>
    </row>
    <row r="43" spans="1:91" x14ac:dyDescent="0.2">
      <c r="A43" s="1">
        <v>1991</v>
      </c>
      <c r="B43" s="61"/>
      <c r="C43" s="1">
        <f t="shared" si="2"/>
        <v>54</v>
      </c>
      <c r="D43" s="1">
        <v>1</v>
      </c>
      <c r="E43" s="44">
        <v>3212</v>
      </c>
      <c r="F43" s="44">
        <v>16</v>
      </c>
      <c r="G43" s="44">
        <v>3196</v>
      </c>
      <c r="H43" s="44">
        <v>2964</v>
      </c>
      <c r="I43" s="33">
        <f t="shared" si="0"/>
        <v>92.740926157697118</v>
      </c>
      <c r="J43" s="1">
        <f t="shared" si="1"/>
        <v>232</v>
      </c>
      <c r="K43" s="3">
        <f t="shared" si="5"/>
        <v>248</v>
      </c>
      <c r="L43" s="4">
        <f t="shared" si="3"/>
        <v>43524</v>
      </c>
      <c r="M43" s="5"/>
      <c r="N43" s="6"/>
      <c r="O43" s="6"/>
      <c r="P43" s="6"/>
      <c r="Q43" s="7"/>
      <c r="R43" s="6"/>
      <c r="S43" s="6"/>
      <c r="T43" s="6"/>
      <c r="U43" s="6"/>
      <c r="V43" s="7"/>
      <c r="W43" s="3"/>
      <c r="X43" s="3"/>
      <c r="Y43" s="3"/>
      <c r="Z43" s="3"/>
      <c r="AA43" s="3"/>
      <c r="AB43" s="3"/>
      <c r="AC43" s="8"/>
      <c r="AD43" s="9"/>
      <c r="AE43" s="9"/>
      <c r="AF43" s="9"/>
      <c r="AG43" s="9"/>
      <c r="AH43" s="10"/>
      <c r="AI43" s="3"/>
      <c r="AJ43" s="3"/>
      <c r="AK43" s="3"/>
      <c r="AL43" s="3"/>
      <c r="AM43" s="3"/>
      <c r="AN43" s="3"/>
      <c r="AO43" s="4"/>
      <c r="AP43" s="4"/>
      <c r="AQ43" s="3"/>
      <c r="AR43" s="3"/>
      <c r="AS43" s="41"/>
      <c r="AT43" s="42"/>
      <c r="AU43" s="35">
        <f t="shared" si="4"/>
        <v>1.0693155589052712</v>
      </c>
      <c r="AV43" s="3">
        <v>45401</v>
      </c>
      <c r="AW43" s="36">
        <v>7045</v>
      </c>
      <c r="AX43" s="62"/>
      <c r="AY43" s="63"/>
      <c r="AZ43" s="64"/>
      <c r="BA43" s="2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2"/>
      <c r="BO43" s="2"/>
      <c r="BP43" s="1">
        <v>2888</v>
      </c>
      <c r="BQ43" s="13">
        <v>540</v>
      </c>
      <c r="BR43" s="1"/>
      <c r="BS43" s="1"/>
      <c r="BT43" s="13"/>
      <c r="BU43" s="1">
        <v>2896</v>
      </c>
      <c r="BV43" s="1">
        <v>568</v>
      </c>
      <c r="BW43" s="14">
        <v>130</v>
      </c>
      <c r="BX43" s="14">
        <v>3136</v>
      </c>
      <c r="BY43" s="1">
        <v>568</v>
      </c>
      <c r="BZ43" s="1">
        <v>3137</v>
      </c>
      <c r="CA43" s="1">
        <v>601</v>
      </c>
      <c r="CB43" s="1"/>
      <c r="CC43" s="1"/>
      <c r="CD43" s="1"/>
      <c r="CE43" s="1"/>
      <c r="CF43" s="14">
        <v>3401</v>
      </c>
      <c r="CG43" s="1">
        <v>577</v>
      </c>
      <c r="CH43" s="1">
        <v>3238</v>
      </c>
      <c r="CI43" s="1">
        <v>566</v>
      </c>
      <c r="CJ43" s="1">
        <v>2966</v>
      </c>
      <c r="CK43" s="1">
        <v>567</v>
      </c>
      <c r="CL43" s="1">
        <v>2830</v>
      </c>
      <c r="CM43" s="12">
        <v>565</v>
      </c>
    </row>
    <row r="44" spans="1:91" x14ac:dyDescent="0.2">
      <c r="A44" s="15">
        <v>1992</v>
      </c>
      <c r="B44" s="54"/>
      <c r="C44" s="15">
        <f t="shared" si="2"/>
        <v>55</v>
      </c>
      <c r="D44" s="15">
        <v>1</v>
      </c>
      <c r="E44" s="43">
        <v>3171</v>
      </c>
      <c r="F44" s="43">
        <v>36</v>
      </c>
      <c r="G44" s="43">
        <v>3135</v>
      </c>
      <c r="H44" s="43">
        <v>2914</v>
      </c>
      <c r="I44" s="30">
        <f t="shared" si="0"/>
        <v>92.950558213716107</v>
      </c>
      <c r="J44" s="15">
        <f t="shared" si="1"/>
        <v>221</v>
      </c>
      <c r="K44" s="17">
        <f t="shared" si="5"/>
        <v>257</v>
      </c>
      <c r="L44" s="18">
        <f t="shared" si="3"/>
        <v>46438</v>
      </c>
      <c r="M44" s="19"/>
      <c r="N44" s="20"/>
      <c r="O44" s="20"/>
      <c r="P44" s="20"/>
      <c r="Q44" s="21"/>
      <c r="R44" s="20"/>
      <c r="S44" s="20"/>
      <c r="T44" s="20"/>
      <c r="U44" s="20"/>
      <c r="V44" s="21"/>
      <c r="W44" s="17"/>
      <c r="X44" s="17"/>
      <c r="Y44" s="17"/>
      <c r="Z44" s="17"/>
      <c r="AA44" s="17"/>
      <c r="AB44" s="17"/>
      <c r="AC44" s="22"/>
      <c r="AD44" s="23"/>
      <c r="AE44" s="23"/>
      <c r="AF44" s="23"/>
      <c r="AG44" s="23"/>
      <c r="AH44" s="24"/>
      <c r="AI44" s="17"/>
      <c r="AJ44" s="17"/>
      <c r="AK44" s="17"/>
      <c r="AL44" s="17"/>
      <c r="AM44" s="17"/>
      <c r="AN44" s="17"/>
      <c r="AO44" s="18"/>
      <c r="AP44" s="18"/>
      <c r="AQ44" s="17"/>
      <c r="AR44" s="17"/>
      <c r="AS44" s="37"/>
      <c r="AT44" s="38"/>
      <c r="AU44" s="39">
        <f t="shared" si="4"/>
        <v>1.0637430893592652</v>
      </c>
      <c r="AV44" s="17">
        <v>48295</v>
      </c>
      <c r="AW44" s="40">
        <v>7624</v>
      </c>
      <c r="AX44" s="58"/>
      <c r="AY44" s="59"/>
      <c r="AZ44" s="60"/>
      <c r="BA44" s="1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26"/>
      <c r="BO44" s="16"/>
      <c r="BP44" s="15">
        <v>2897</v>
      </c>
      <c r="BQ44" s="27">
        <v>625</v>
      </c>
      <c r="BR44" s="15"/>
      <c r="BS44" s="15"/>
      <c r="BT44" s="27"/>
      <c r="BU44" s="15">
        <v>2772</v>
      </c>
      <c r="BV44" s="15">
        <v>572</v>
      </c>
      <c r="BW44" s="28">
        <v>173</v>
      </c>
      <c r="BX44" s="28">
        <v>3128</v>
      </c>
      <c r="BY44" s="15">
        <v>640</v>
      </c>
      <c r="BZ44" s="15">
        <v>3118</v>
      </c>
      <c r="CA44" s="15">
        <v>560</v>
      </c>
      <c r="CB44" s="15"/>
      <c r="CC44" s="15"/>
      <c r="CD44" s="15"/>
      <c r="CE44" s="15"/>
      <c r="CF44" s="28">
        <v>3419</v>
      </c>
      <c r="CG44" s="15">
        <v>640</v>
      </c>
      <c r="CH44" s="15">
        <v>3185</v>
      </c>
      <c r="CI44" s="15">
        <v>540</v>
      </c>
      <c r="CJ44" s="15">
        <v>3161</v>
      </c>
      <c r="CK44" s="15">
        <v>567</v>
      </c>
      <c r="CL44" s="15">
        <v>3030</v>
      </c>
      <c r="CM44" s="26">
        <v>599</v>
      </c>
    </row>
    <row r="45" spans="1:91" ht="17.25" thickBot="1" x14ac:dyDescent="0.25">
      <c r="A45" s="1">
        <v>1993</v>
      </c>
      <c r="B45" s="61"/>
      <c r="C45" s="1">
        <f t="shared" si="2"/>
        <v>56</v>
      </c>
      <c r="D45" s="1">
        <v>1</v>
      </c>
      <c r="E45" s="44">
        <v>3197</v>
      </c>
      <c r="F45" s="44">
        <v>15</v>
      </c>
      <c r="G45" s="44">
        <v>3182</v>
      </c>
      <c r="H45" s="44">
        <v>3111</v>
      </c>
      <c r="I45" s="33">
        <f t="shared" si="0"/>
        <v>97.768698931489624</v>
      </c>
      <c r="J45" s="1">
        <f t="shared" si="1"/>
        <v>71</v>
      </c>
      <c r="K45" s="3">
        <f t="shared" si="5"/>
        <v>86</v>
      </c>
      <c r="L45" s="4">
        <f t="shared" si="3"/>
        <v>49549</v>
      </c>
      <c r="M45" s="5"/>
      <c r="N45" s="6"/>
      <c r="O45" s="6"/>
      <c r="P45" s="6"/>
      <c r="Q45" s="7"/>
      <c r="R45" s="6"/>
      <c r="S45" s="6"/>
      <c r="T45" s="6"/>
      <c r="U45" s="6"/>
      <c r="V45" s="7"/>
      <c r="W45" s="3"/>
      <c r="X45" s="3"/>
      <c r="Y45" s="3"/>
      <c r="Z45" s="3"/>
      <c r="AA45" s="3"/>
      <c r="AB45" s="3"/>
      <c r="AC45" s="8"/>
      <c r="AD45" s="9"/>
      <c r="AE45" s="9"/>
      <c r="AF45" s="9"/>
      <c r="AG45" s="9"/>
      <c r="AH45" s="10"/>
      <c r="AI45" s="3"/>
      <c r="AJ45" s="3"/>
      <c r="AK45" s="3"/>
      <c r="AL45" s="3"/>
      <c r="AM45" s="3"/>
      <c r="AN45" s="3"/>
      <c r="AO45" s="4"/>
      <c r="AP45" s="4"/>
      <c r="AQ45" s="3"/>
      <c r="AR45" s="3"/>
      <c r="AS45" s="41"/>
      <c r="AT45" s="42"/>
      <c r="AU45" s="35">
        <f t="shared" si="4"/>
        <v>1.0648100217413812</v>
      </c>
      <c r="AV45" s="3">
        <v>51425</v>
      </c>
      <c r="AW45" s="36">
        <v>8649</v>
      </c>
      <c r="AX45" s="62"/>
      <c r="AY45" s="63"/>
      <c r="AZ45" s="64"/>
      <c r="BA45" s="2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2"/>
      <c r="BO45" s="2"/>
      <c r="BP45" s="1">
        <v>2982</v>
      </c>
      <c r="BQ45" s="13">
        <v>688</v>
      </c>
      <c r="BR45" s="1"/>
      <c r="BS45" s="1"/>
      <c r="BT45" s="13"/>
      <c r="BU45" s="1">
        <v>2727</v>
      </c>
      <c r="BV45" s="1">
        <v>557</v>
      </c>
      <c r="BW45" s="14">
        <v>93</v>
      </c>
      <c r="BX45" s="14">
        <v>3179</v>
      </c>
      <c r="BY45" s="1">
        <v>696</v>
      </c>
      <c r="BZ45" s="1">
        <v>3036</v>
      </c>
      <c r="CA45" s="1">
        <v>628</v>
      </c>
      <c r="CB45" s="1"/>
      <c r="CC45" s="1"/>
      <c r="CD45" s="1"/>
      <c r="CE45" s="1"/>
      <c r="CF45" s="14">
        <v>3405</v>
      </c>
      <c r="CG45" s="1">
        <v>596</v>
      </c>
      <c r="CH45" s="1">
        <v>3187</v>
      </c>
      <c r="CI45" s="1">
        <v>609</v>
      </c>
      <c r="CJ45" s="1">
        <v>3060</v>
      </c>
      <c r="CK45" s="1">
        <v>531</v>
      </c>
      <c r="CL45" s="1">
        <v>2968</v>
      </c>
      <c r="CM45" s="12">
        <v>549</v>
      </c>
    </row>
    <row r="46" spans="1:91" ht="17.25" thickBot="1" x14ac:dyDescent="0.25">
      <c r="A46" s="15">
        <v>1994</v>
      </c>
      <c r="B46" s="54"/>
      <c r="C46" s="15">
        <f t="shared" si="2"/>
        <v>57</v>
      </c>
      <c r="D46" s="15">
        <v>1</v>
      </c>
      <c r="E46" s="43">
        <v>3007</v>
      </c>
      <c r="F46" s="43">
        <v>26</v>
      </c>
      <c r="G46" s="43">
        <v>2981</v>
      </c>
      <c r="H46" s="43">
        <v>2905</v>
      </c>
      <c r="I46" s="30">
        <f t="shared" si="0"/>
        <v>97.450519959745051</v>
      </c>
      <c r="J46" s="15">
        <f t="shared" si="1"/>
        <v>76</v>
      </c>
      <c r="K46" s="17">
        <f t="shared" si="5"/>
        <v>102</v>
      </c>
      <c r="L46" s="18">
        <f t="shared" si="3"/>
        <v>52454</v>
      </c>
      <c r="M46" s="19"/>
      <c r="N46" s="20"/>
      <c r="O46" s="20"/>
      <c r="P46" s="20"/>
      <c r="Q46" s="21"/>
      <c r="R46" s="20"/>
      <c r="S46" s="20"/>
      <c r="T46" s="20"/>
      <c r="U46" s="20"/>
      <c r="V46" s="21"/>
      <c r="W46" s="17"/>
      <c r="X46" s="17"/>
      <c r="Y46" s="17"/>
      <c r="Z46" s="17"/>
      <c r="AA46" s="17"/>
      <c r="AB46" s="17"/>
      <c r="AC46" s="22"/>
      <c r="AD46" s="23"/>
      <c r="AE46" s="23"/>
      <c r="AF46" s="23"/>
      <c r="AG46" s="23"/>
      <c r="AH46" s="24"/>
      <c r="AI46" s="17"/>
      <c r="AJ46" s="17"/>
      <c r="AK46" s="17"/>
      <c r="AL46" s="17"/>
      <c r="AM46" s="17"/>
      <c r="AN46" s="17"/>
      <c r="AO46" s="18"/>
      <c r="AP46" s="18"/>
      <c r="AQ46" s="17"/>
      <c r="AR46" s="17"/>
      <c r="AS46" s="37"/>
      <c r="AT46" s="38"/>
      <c r="AU46" s="39">
        <f t="shared" si="4"/>
        <v>1.0561789013125911</v>
      </c>
      <c r="AV46" s="17">
        <v>54314</v>
      </c>
      <c r="AW46" s="40">
        <v>9596</v>
      </c>
      <c r="AX46" s="58"/>
      <c r="AY46" s="59"/>
      <c r="AZ46" s="60"/>
      <c r="BA46" s="1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26"/>
      <c r="BO46" s="16"/>
      <c r="BP46" s="132">
        <v>2933</v>
      </c>
      <c r="BQ46" s="133">
        <v>624</v>
      </c>
      <c r="BR46" s="134"/>
      <c r="BS46" s="134"/>
      <c r="BT46" s="135"/>
      <c r="BU46" s="132">
        <v>2811</v>
      </c>
      <c r="BV46" s="133">
        <v>523</v>
      </c>
      <c r="BW46" s="133">
        <v>121</v>
      </c>
      <c r="BX46" s="132">
        <v>3135</v>
      </c>
      <c r="BY46" s="133">
        <v>647</v>
      </c>
      <c r="BZ46" s="132">
        <v>3178</v>
      </c>
      <c r="CA46" s="133">
        <v>681</v>
      </c>
      <c r="CB46" s="133">
        <v>0</v>
      </c>
      <c r="CC46" s="133">
        <v>0</v>
      </c>
      <c r="CD46" s="133">
        <v>0</v>
      </c>
      <c r="CE46" s="133">
        <v>0</v>
      </c>
      <c r="CF46" s="132">
        <v>3422</v>
      </c>
      <c r="CG46" s="133">
        <v>687</v>
      </c>
      <c r="CH46" s="132">
        <v>3079</v>
      </c>
      <c r="CI46" s="133">
        <v>562</v>
      </c>
      <c r="CJ46" s="132">
        <v>3054</v>
      </c>
      <c r="CK46" s="133">
        <v>598</v>
      </c>
      <c r="CL46" s="132">
        <v>2932</v>
      </c>
      <c r="CM46" s="133">
        <v>522</v>
      </c>
    </row>
    <row r="47" spans="1:91" x14ac:dyDescent="0.2">
      <c r="A47" s="1">
        <v>1995</v>
      </c>
      <c r="B47" s="61" t="s">
        <v>1</v>
      </c>
      <c r="C47" s="1">
        <f t="shared" si="2"/>
        <v>59</v>
      </c>
      <c r="D47" s="1">
        <v>2</v>
      </c>
      <c r="E47" s="44">
        <f>2984+1059</f>
        <v>4043</v>
      </c>
      <c r="F47" s="44">
        <f>13+11</f>
        <v>24</v>
      </c>
      <c r="G47" s="44">
        <f>2971+1048</f>
        <v>4019</v>
      </c>
      <c r="H47" s="44">
        <v>2807</v>
      </c>
      <c r="I47" s="33">
        <f t="shared" si="0"/>
        <v>69.843244588206019</v>
      </c>
      <c r="J47" s="1">
        <f t="shared" si="1"/>
        <v>1212</v>
      </c>
      <c r="K47" s="3">
        <f t="shared" si="5"/>
        <v>1236</v>
      </c>
      <c r="L47" s="4">
        <f t="shared" si="3"/>
        <v>55261</v>
      </c>
      <c r="M47" s="5"/>
      <c r="N47" s="6"/>
      <c r="O47" s="6"/>
      <c r="P47" s="6"/>
      <c r="Q47" s="7"/>
      <c r="R47" s="6"/>
      <c r="S47" s="6"/>
      <c r="T47" s="6"/>
      <c r="U47" s="6"/>
      <c r="V47" s="7"/>
      <c r="W47" s="3">
        <f>34058+AC47</f>
        <v>40323</v>
      </c>
      <c r="X47" s="3"/>
      <c r="Y47" s="3"/>
      <c r="Z47" s="3"/>
      <c r="AA47" s="3"/>
      <c r="AB47" s="3"/>
      <c r="AC47" s="8">
        <v>6265</v>
      </c>
      <c r="AD47" s="9"/>
      <c r="AE47" s="9"/>
      <c r="AF47" s="9"/>
      <c r="AG47" s="9"/>
      <c r="AH47" s="10"/>
      <c r="AI47" s="3"/>
      <c r="AJ47" s="3"/>
      <c r="AK47" s="3"/>
      <c r="AL47" s="3"/>
      <c r="AM47" s="3"/>
      <c r="AN47" s="3"/>
      <c r="AO47" s="4"/>
      <c r="AP47" s="4"/>
      <c r="AQ47" s="3"/>
      <c r="AR47" s="3"/>
      <c r="AS47" s="41"/>
      <c r="AT47" s="42"/>
      <c r="AU47" s="35">
        <f t="shared" si="4"/>
        <v>1.051220679751077</v>
      </c>
      <c r="AV47" s="36">
        <v>57096</v>
      </c>
      <c r="AW47" s="36">
        <v>10185</v>
      </c>
      <c r="AX47" s="62"/>
      <c r="AY47" s="63"/>
      <c r="AZ47" s="64"/>
      <c r="BA47" s="2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2"/>
      <c r="BO47" s="2"/>
      <c r="BP47" s="1">
        <v>2975</v>
      </c>
      <c r="BQ47" s="13">
        <v>779</v>
      </c>
      <c r="BR47" s="1"/>
      <c r="BS47" s="1">
        <v>163</v>
      </c>
      <c r="BT47" s="13">
        <v>32</v>
      </c>
      <c r="BU47" s="1">
        <v>2843</v>
      </c>
      <c r="BV47" s="1">
        <v>515</v>
      </c>
      <c r="BW47" s="14">
        <v>74</v>
      </c>
      <c r="BX47" s="14">
        <v>3166</v>
      </c>
      <c r="BY47" s="1">
        <v>795</v>
      </c>
      <c r="BZ47" s="1">
        <v>3017</v>
      </c>
      <c r="CA47" s="1">
        <v>623</v>
      </c>
      <c r="CB47" s="1"/>
      <c r="CC47" s="1"/>
      <c r="CD47" s="1"/>
      <c r="CE47" s="1"/>
      <c r="CF47" s="14">
        <v>3571</v>
      </c>
      <c r="CG47" s="1">
        <v>746</v>
      </c>
      <c r="CH47" s="1">
        <v>3264</v>
      </c>
      <c r="CI47" s="1">
        <v>669</v>
      </c>
      <c r="CJ47" s="1">
        <v>2942</v>
      </c>
      <c r="CK47" s="1">
        <v>561</v>
      </c>
      <c r="CL47" s="1">
        <v>2949</v>
      </c>
      <c r="CM47" s="12">
        <v>582</v>
      </c>
    </row>
    <row r="48" spans="1:91" x14ac:dyDescent="0.2">
      <c r="A48" s="15">
        <v>1996</v>
      </c>
      <c r="B48" s="54"/>
      <c r="C48" s="15">
        <f t="shared" si="2"/>
        <v>60</v>
      </c>
      <c r="D48" s="15">
        <v>1</v>
      </c>
      <c r="E48" s="43">
        <v>3077</v>
      </c>
      <c r="F48" s="43">
        <v>23</v>
      </c>
      <c r="G48" s="43">
        <v>3054</v>
      </c>
      <c r="H48" s="43">
        <v>2193</v>
      </c>
      <c r="I48" s="30">
        <f t="shared" si="0"/>
        <v>71.807465618860505</v>
      </c>
      <c r="J48" s="15">
        <f t="shared" si="1"/>
        <v>861</v>
      </c>
      <c r="K48" s="17">
        <f t="shared" si="5"/>
        <v>884</v>
      </c>
      <c r="L48" s="18">
        <f t="shared" si="3"/>
        <v>57454</v>
      </c>
      <c r="M48" s="19"/>
      <c r="N48" s="20"/>
      <c r="O48" s="20"/>
      <c r="P48" s="20"/>
      <c r="Q48" s="21"/>
      <c r="R48" s="20"/>
      <c r="S48" s="20"/>
      <c r="T48" s="20"/>
      <c r="U48" s="20"/>
      <c r="V48" s="21"/>
      <c r="W48" s="17">
        <f>36724+AC48</f>
        <v>43534</v>
      </c>
      <c r="X48" s="17"/>
      <c r="Y48" s="17"/>
      <c r="Z48" s="17"/>
      <c r="AA48" s="17"/>
      <c r="AB48" s="17"/>
      <c r="AC48" s="22">
        <v>6810</v>
      </c>
      <c r="AD48" s="23"/>
      <c r="AE48" s="23"/>
      <c r="AF48" s="23"/>
      <c r="AG48" s="23"/>
      <c r="AH48" s="24"/>
      <c r="AI48" s="17"/>
      <c r="AJ48" s="17"/>
      <c r="AK48" s="17"/>
      <c r="AL48" s="17"/>
      <c r="AM48" s="17"/>
      <c r="AN48" s="17"/>
      <c r="AO48" s="18"/>
      <c r="AP48" s="18"/>
      <c r="AQ48" s="17"/>
      <c r="AR48" s="17"/>
      <c r="AS48" s="37"/>
      <c r="AT48" s="38"/>
      <c r="AU48" s="39">
        <f t="shared" si="4"/>
        <v>1.0387242538881882</v>
      </c>
      <c r="AV48" s="17">
        <v>59307</v>
      </c>
      <c r="AW48" s="40">
        <v>10694</v>
      </c>
      <c r="AX48" s="58"/>
      <c r="AY48" s="59"/>
      <c r="AZ48" s="60"/>
      <c r="BA48" s="1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26"/>
      <c r="BO48" s="16"/>
      <c r="BP48" s="15">
        <v>3151</v>
      </c>
      <c r="BQ48" s="27">
        <v>826</v>
      </c>
      <c r="BR48" s="15"/>
      <c r="BS48" s="15">
        <v>50</v>
      </c>
      <c r="BT48" s="27">
        <v>14</v>
      </c>
      <c r="BU48" s="15">
        <v>2739</v>
      </c>
      <c r="BV48" s="15">
        <v>557</v>
      </c>
      <c r="BW48" s="28">
        <v>86</v>
      </c>
      <c r="BX48" s="28">
        <v>3488</v>
      </c>
      <c r="BY48" s="15">
        <v>872</v>
      </c>
      <c r="BZ48" s="15">
        <v>3322</v>
      </c>
      <c r="CA48" s="15">
        <v>809</v>
      </c>
      <c r="CB48" s="15"/>
      <c r="CC48" s="15"/>
      <c r="CD48" s="15"/>
      <c r="CE48" s="15"/>
      <c r="CF48" s="28">
        <v>3429</v>
      </c>
      <c r="CG48" s="15">
        <v>705</v>
      </c>
      <c r="CH48" s="15">
        <v>3112</v>
      </c>
      <c r="CI48" s="15">
        <v>676</v>
      </c>
      <c r="CJ48" s="15">
        <v>2930</v>
      </c>
      <c r="CK48" s="15">
        <v>644</v>
      </c>
      <c r="CL48" s="15">
        <v>2829</v>
      </c>
      <c r="CM48" s="26">
        <v>541</v>
      </c>
    </row>
    <row r="49" spans="1:91" x14ac:dyDescent="0.2">
      <c r="A49" s="1">
        <v>1997</v>
      </c>
      <c r="B49" s="12" t="s">
        <v>4</v>
      </c>
      <c r="C49" s="1">
        <f t="shared" si="2"/>
        <v>61</v>
      </c>
      <c r="D49" s="1">
        <v>1</v>
      </c>
      <c r="E49" s="44">
        <f>3652</f>
        <v>3652</v>
      </c>
      <c r="F49" s="44">
        <f>30</f>
        <v>30</v>
      </c>
      <c r="G49" s="44">
        <f>3622</f>
        <v>3622</v>
      </c>
      <c r="H49" s="44">
        <v>3239</v>
      </c>
      <c r="I49" s="33">
        <f t="shared" si="0"/>
        <v>89.425731639977911</v>
      </c>
      <c r="J49" s="1">
        <f t="shared" si="1"/>
        <v>383</v>
      </c>
      <c r="K49" s="3">
        <f t="shared" si="5"/>
        <v>413</v>
      </c>
      <c r="L49" s="4">
        <f t="shared" si="3"/>
        <v>60693</v>
      </c>
      <c r="M49" s="5"/>
      <c r="N49" s="6"/>
      <c r="O49" s="6"/>
      <c r="P49" s="6"/>
      <c r="Q49" s="7"/>
      <c r="R49" s="6"/>
      <c r="S49" s="6"/>
      <c r="T49" s="6"/>
      <c r="U49" s="6"/>
      <c r="V49" s="7"/>
      <c r="W49" s="3">
        <f>38641+AC49</f>
        <v>45870</v>
      </c>
      <c r="X49" s="3"/>
      <c r="Y49" s="3"/>
      <c r="Z49" s="3"/>
      <c r="AA49" s="3"/>
      <c r="AB49" s="3"/>
      <c r="AC49" s="8">
        <v>7229</v>
      </c>
      <c r="AD49" s="9"/>
      <c r="AE49" s="9"/>
      <c r="AF49" s="9"/>
      <c r="AG49" s="9"/>
      <c r="AH49" s="10"/>
      <c r="AI49" s="3"/>
      <c r="AJ49" s="3"/>
      <c r="AK49" s="3"/>
      <c r="AL49" s="3"/>
      <c r="AM49" s="3"/>
      <c r="AN49" s="3"/>
      <c r="AO49" s="4"/>
      <c r="AP49" s="4"/>
      <c r="AQ49" s="3"/>
      <c r="AR49" s="3"/>
      <c r="AS49" s="41"/>
      <c r="AT49" s="42"/>
      <c r="AU49" s="35">
        <f t="shared" si="4"/>
        <v>1.0541251454297131</v>
      </c>
      <c r="AV49" s="3">
        <v>62517</v>
      </c>
      <c r="AW49" s="36">
        <v>11274</v>
      </c>
      <c r="AX49" s="62"/>
      <c r="AY49" s="63"/>
      <c r="AZ49" s="64"/>
      <c r="BA49" s="2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2"/>
      <c r="BO49" s="2"/>
      <c r="BP49" s="1">
        <v>3165</v>
      </c>
      <c r="BQ49" s="13">
        <v>870</v>
      </c>
      <c r="BR49" s="1"/>
      <c r="BS49" s="1">
        <v>185</v>
      </c>
      <c r="BT49" s="13">
        <v>58</v>
      </c>
      <c r="BU49" s="1">
        <v>2765</v>
      </c>
      <c r="BV49" s="1">
        <v>534</v>
      </c>
      <c r="BW49" s="14">
        <v>127</v>
      </c>
      <c r="BX49" s="14">
        <v>3395</v>
      </c>
      <c r="BY49" s="1">
        <v>905</v>
      </c>
      <c r="BZ49" s="1">
        <v>3445</v>
      </c>
      <c r="CA49" s="1">
        <v>829</v>
      </c>
      <c r="CB49" s="1"/>
      <c r="CC49" s="1"/>
      <c r="CD49" s="1"/>
      <c r="CE49" s="1"/>
      <c r="CF49" s="14">
        <v>3874</v>
      </c>
      <c r="CG49" s="1">
        <v>958</v>
      </c>
      <c r="CH49" s="1">
        <v>3156</v>
      </c>
      <c r="CI49" s="1">
        <v>701</v>
      </c>
      <c r="CJ49" s="1">
        <v>2983</v>
      </c>
      <c r="CK49" s="1">
        <v>676</v>
      </c>
      <c r="CL49" s="1">
        <v>2893</v>
      </c>
      <c r="CM49" s="12">
        <v>631</v>
      </c>
    </row>
    <row r="50" spans="1:91" x14ac:dyDescent="0.2">
      <c r="A50" s="15">
        <v>1998</v>
      </c>
      <c r="B50" s="26" t="s">
        <v>5</v>
      </c>
      <c r="C50" s="15">
        <f t="shared" si="2"/>
        <v>62</v>
      </c>
      <c r="D50" s="15">
        <v>1</v>
      </c>
      <c r="E50" s="136">
        <v>3216</v>
      </c>
      <c r="F50" s="43">
        <v>39</v>
      </c>
      <c r="G50" s="136">
        <v>3177</v>
      </c>
      <c r="H50" s="136">
        <v>2842</v>
      </c>
      <c r="I50" s="30">
        <f>H51/G51*100</f>
        <v>92.882562277580078</v>
      </c>
      <c r="J50" s="15">
        <f>G51-H51</f>
        <v>220</v>
      </c>
      <c r="K50" s="17">
        <f>F51+J50</f>
        <v>259</v>
      </c>
      <c r="L50" s="18">
        <f>H51+L49</f>
        <v>63564</v>
      </c>
      <c r="M50" s="19"/>
      <c r="N50" s="20"/>
      <c r="O50" s="20"/>
      <c r="P50" s="20"/>
      <c r="Q50" s="21"/>
      <c r="R50" s="20"/>
      <c r="S50" s="20"/>
      <c r="T50" s="20"/>
      <c r="U50" s="20"/>
      <c r="V50" s="21"/>
      <c r="W50" s="40">
        <f>40668+AC50</f>
        <v>48366</v>
      </c>
      <c r="X50" s="40"/>
      <c r="Y50" s="40"/>
      <c r="Z50" s="40"/>
      <c r="AA50" s="40"/>
      <c r="AB50" s="40"/>
      <c r="AC50" s="22">
        <v>7698</v>
      </c>
      <c r="AD50" s="23"/>
      <c r="AE50" s="23"/>
      <c r="AF50" s="23"/>
      <c r="AG50" s="23"/>
      <c r="AH50" s="24"/>
      <c r="AI50" s="40">
        <v>1421</v>
      </c>
      <c r="AJ50" s="40">
        <v>1420</v>
      </c>
      <c r="AK50" s="40">
        <v>1334</v>
      </c>
      <c r="AL50" s="40">
        <f t="shared" ref="AL50:AL58" si="6">AK50-(AM50+AN50)</f>
        <v>635</v>
      </c>
      <c r="AM50" s="65">
        <v>281</v>
      </c>
      <c r="AN50" s="65">
        <v>418</v>
      </c>
      <c r="AO50" s="66"/>
      <c r="AP50" s="18"/>
      <c r="AQ50" s="17"/>
      <c r="AR50" s="17"/>
      <c r="AS50" s="37"/>
      <c r="AT50" s="38"/>
      <c r="AU50" s="39">
        <f t="shared" si="4"/>
        <v>1.0451397219956171</v>
      </c>
      <c r="AV50" s="17">
        <v>65339</v>
      </c>
      <c r="AW50" s="40">
        <v>11879</v>
      </c>
      <c r="AX50" s="58"/>
      <c r="AY50" s="59"/>
      <c r="AZ50" s="60"/>
      <c r="BA50" s="1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26"/>
      <c r="BO50" s="16">
        <v>3050</v>
      </c>
      <c r="BP50" s="15">
        <v>3287</v>
      </c>
      <c r="BQ50" s="27">
        <v>924</v>
      </c>
      <c r="BR50" s="15">
        <v>130</v>
      </c>
      <c r="BS50" s="15">
        <v>188</v>
      </c>
      <c r="BT50" s="27">
        <v>58</v>
      </c>
      <c r="BU50" s="15">
        <v>2797</v>
      </c>
      <c r="BV50" s="15">
        <v>615</v>
      </c>
      <c r="BW50" s="28">
        <v>65</v>
      </c>
      <c r="BX50" s="28">
        <v>3492</v>
      </c>
      <c r="BY50" s="15">
        <v>960</v>
      </c>
      <c r="BZ50" s="15">
        <v>3511</v>
      </c>
      <c r="CA50" s="15">
        <v>908</v>
      </c>
      <c r="CB50" s="15">
        <v>6</v>
      </c>
      <c r="CC50" s="15"/>
      <c r="CD50" s="15"/>
      <c r="CE50" s="15"/>
      <c r="CF50" s="28">
        <v>4110</v>
      </c>
      <c r="CG50" s="15">
        <v>1011</v>
      </c>
      <c r="CH50" s="15">
        <v>3522</v>
      </c>
      <c r="CI50" s="15">
        <v>909</v>
      </c>
      <c r="CJ50" s="15">
        <v>2896</v>
      </c>
      <c r="CK50" s="15">
        <v>666</v>
      </c>
      <c r="CL50" s="15">
        <v>2857</v>
      </c>
      <c r="CM50" s="26">
        <v>660</v>
      </c>
    </row>
    <row r="51" spans="1:91" x14ac:dyDescent="0.2">
      <c r="A51" s="1">
        <v>1999</v>
      </c>
      <c r="B51" s="12" t="s">
        <v>6</v>
      </c>
      <c r="C51" s="1">
        <f t="shared" si="2"/>
        <v>63</v>
      </c>
      <c r="D51" s="1">
        <v>1</v>
      </c>
      <c r="E51" s="43">
        <v>3130</v>
      </c>
      <c r="F51" s="43">
        <v>39</v>
      </c>
      <c r="G51" s="43">
        <v>3091</v>
      </c>
      <c r="H51" s="43">
        <v>2871</v>
      </c>
      <c r="I51" s="33">
        <f>H52/G52*100</f>
        <v>93.61702127659575</v>
      </c>
      <c r="J51" s="1">
        <f>G52-H52</f>
        <v>189</v>
      </c>
      <c r="K51" s="3">
        <f>F52+J51</f>
        <v>227</v>
      </c>
      <c r="L51" s="4">
        <f>H52+L50</f>
        <v>66336</v>
      </c>
      <c r="M51" s="5"/>
      <c r="N51" s="6"/>
      <c r="O51" s="6"/>
      <c r="P51" s="6"/>
      <c r="Q51" s="7"/>
      <c r="R51" s="6"/>
      <c r="S51" s="6"/>
      <c r="T51" s="6"/>
      <c r="U51" s="6"/>
      <c r="V51" s="7"/>
      <c r="W51" s="36">
        <f>42292+AC51</f>
        <v>50625</v>
      </c>
      <c r="X51" s="36"/>
      <c r="Y51" s="36"/>
      <c r="Z51" s="36"/>
      <c r="AA51" s="36"/>
      <c r="AB51" s="36"/>
      <c r="AC51" s="8">
        <v>8333</v>
      </c>
      <c r="AD51" s="9"/>
      <c r="AE51" s="9"/>
      <c r="AF51" s="9"/>
      <c r="AG51" s="9"/>
      <c r="AH51" s="10"/>
      <c r="AI51" s="36">
        <v>1392</v>
      </c>
      <c r="AJ51" s="36">
        <v>1391</v>
      </c>
      <c r="AK51" s="36">
        <v>1296</v>
      </c>
      <c r="AL51" s="36">
        <f t="shared" si="6"/>
        <v>629</v>
      </c>
      <c r="AM51" s="67">
        <v>259</v>
      </c>
      <c r="AN51" s="67">
        <v>408</v>
      </c>
      <c r="AO51" s="68"/>
      <c r="AP51" s="4"/>
      <c r="AQ51" s="3"/>
      <c r="AR51" s="3"/>
      <c r="AS51" s="41"/>
      <c r="AT51" s="42"/>
      <c r="AU51" s="35">
        <f t="shared" si="4"/>
        <v>1.0657034849018197</v>
      </c>
      <c r="AV51" s="3">
        <v>69632</v>
      </c>
      <c r="AW51" s="36">
        <v>12098</v>
      </c>
      <c r="AX51" s="62"/>
      <c r="AY51" s="63"/>
      <c r="AZ51" s="64"/>
      <c r="BA51" s="2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2"/>
      <c r="BO51" s="2">
        <v>3003</v>
      </c>
      <c r="BP51" s="1">
        <v>3322</v>
      </c>
      <c r="BQ51" s="13">
        <v>1016</v>
      </c>
      <c r="BR51" s="1">
        <v>270</v>
      </c>
      <c r="BS51" s="1">
        <f>135+54</f>
        <v>189</v>
      </c>
      <c r="BT51" s="13">
        <f>54+59</f>
        <v>113</v>
      </c>
      <c r="BU51" s="1">
        <f>2731+36</f>
        <v>2767</v>
      </c>
      <c r="BV51" s="1">
        <f>653</f>
        <v>653</v>
      </c>
      <c r="BW51" s="14">
        <v>50</v>
      </c>
      <c r="BX51" s="14">
        <v>3554</v>
      </c>
      <c r="BY51" s="1">
        <v>1045</v>
      </c>
      <c r="BZ51" s="1">
        <v>3514</v>
      </c>
      <c r="CA51" s="1">
        <v>945</v>
      </c>
      <c r="CB51" s="1">
        <v>8</v>
      </c>
      <c r="CC51" s="1">
        <v>1</v>
      </c>
      <c r="CD51" s="1"/>
      <c r="CE51" s="1"/>
      <c r="CF51" s="14">
        <v>4172</v>
      </c>
      <c r="CG51" s="1">
        <v>1092</v>
      </c>
      <c r="CH51" s="1">
        <f>3499+182</f>
        <v>3681</v>
      </c>
      <c r="CI51" s="1">
        <f>907+54</f>
        <v>961</v>
      </c>
      <c r="CJ51" s="1">
        <f>3160+131</f>
        <v>3291</v>
      </c>
      <c r="CK51" s="1">
        <f>839+29</f>
        <v>868</v>
      </c>
      <c r="CL51" s="1">
        <f>2823+28</f>
        <v>2851</v>
      </c>
      <c r="CM51" s="12">
        <f>641+10</f>
        <v>651</v>
      </c>
    </row>
    <row r="52" spans="1:91" ht="24" x14ac:dyDescent="0.2">
      <c r="A52" s="15">
        <v>2000</v>
      </c>
      <c r="B52" s="54" t="s">
        <v>7</v>
      </c>
      <c r="C52" s="15">
        <v>64</v>
      </c>
      <c r="D52" s="15">
        <v>1</v>
      </c>
      <c r="E52" s="44">
        <v>2999</v>
      </c>
      <c r="F52" s="44">
        <v>38</v>
      </c>
      <c r="G52" s="44">
        <v>2961</v>
      </c>
      <c r="H52" s="44">
        <v>2772</v>
      </c>
      <c r="I52" s="30"/>
      <c r="J52" s="15"/>
      <c r="K52" s="17"/>
      <c r="L52" s="18" t="e">
        <f>#REF!+L51</f>
        <v>#REF!</v>
      </c>
      <c r="M52" s="19"/>
      <c r="N52" s="20"/>
      <c r="O52" s="20"/>
      <c r="P52" s="20"/>
      <c r="Q52" s="21"/>
      <c r="R52" s="20"/>
      <c r="S52" s="20"/>
      <c r="T52" s="20"/>
      <c r="U52" s="20"/>
      <c r="V52" s="21"/>
      <c r="W52" s="40"/>
      <c r="X52" s="40"/>
      <c r="Y52" s="40"/>
      <c r="Z52" s="40"/>
      <c r="AA52" s="40"/>
      <c r="AB52" s="40"/>
      <c r="AC52" s="58"/>
      <c r="AD52" s="23"/>
      <c r="AE52" s="23"/>
      <c r="AF52" s="23"/>
      <c r="AG52" s="23"/>
      <c r="AH52" s="24"/>
      <c r="AI52" s="40">
        <v>1325</v>
      </c>
      <c r="AJ52" s="40">
        <v>1325</v>
      </c>
      <c r="AK52" s="40">
        <v>1259</v>
      </c>
      <c r="AL52" s="40">
        <f t="shared" si="6"/>
        <v>612</v>
      </c>
      <c r="AM52" s="65">
        <v>246</v>
      </c>
      <c r="AN52" s="65">
        <v>401</v>
      </c>
      <c r="AO52" s="66">
        <f t="shared" ref="AO52:AO71" si="7">SUM(AK50:AK52)</f>
        <v>3889</v>
      </c>
      <c r="AP52" s="18"/>
      <c r="AQ52" s="17"/>
      <c r="AR52" s="17"/>
      <c r="AS52" s="37"/>
      <c r="AT52" s="38"/>
      <c r="AU52" s="39">
        <f t="shared" si="4"/>
        <v>1.0399098115808822</v>
      </c>
      <c r="AV52" s="40">
        <v>72411</v>
      </c>
      <c r="AW52" s="40">
        <v>12755</v>
      </c>
      <c r="AX52" s="58"/>
      <c r="AY52" s="25"/>
      <c r="AZ52" s="53"/>
      <c r="BA52" s="1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26"/>
      <c r="BO52" s="16">
        <v>3003</v>
      </c>
      <c r="BP52" s="15">
        <v>3113</v>
      </c>
      <c r="BQ52" s="27">
        <v>1202</v>
      </c>
      <c r="BR52" s="15">
        <v>270</v>
      </c>
      <c r="BS52" s="15">
        <v>247</v>
      </c>
      <c r="BT52" s="27">
        <v>104</v>
      </c>
      <c r="BU52" s="15">
        <f>2668+28</f>
        <v>2696</v>
      </c>
      <c r="BV52" s="15">
        <f>618+10</f>
        <v>628</v>
      </c>
      <c r="BW52" s="28">
        <v>64</v>
      </c>
      <c r="BX52" s="28">
        <v>3579</v>
      </c>
      <c r="BY52" s="15">
        <v>1328</v>
      </c>
      <c r="BZ52" s="15">
        <v>3427</v>
      </c>
      <c r="CA52" s="15">
        <v>987</v>
      </c>
      <c r="CB52" s="15">
        <v>8</v>
      </c>
      <c r="CC52" s="15">
        <v>1</v>
      </c>
      <c r="CD52" s="15"/>
      <c r="CE52" s="15"/>
      <c r="CF52" s="28">
        <v>4235</v>
      </c>
      <c r="CG52" s="15">
        <v>1123</v>
      </c>
      <c r="CH52" s="15">
        <f>3608+186</f>
        <v>3794</v>
      </c>
      <c r="CI52" s="15">
        <f>988+69</f>
        <v>1057</v>
      </c>
      <c r="CJ52" s="15">
        <f>3301+141</f>
        <v>3442</v>
      </c>
      <c r="CK52" s="15">
        <f>885+47</f>
        <v>932</v>
      </c>
      <c r="CL52" s="15">
        <f>3119+835</f>
        <v>3954</v>
      </c>
      <c r="CM52" s="26">
        <f>835+28</f>
        <v>863</v>
      </c>
    </row>
    <row r="53" spans="1:91" x14ac:dyDescent="0.2">
      <c r="A53" s="1">
        <v>2001</v>
      </c>
      <c r="B53" s="61"/>
      <c r="C53" s="1">
        <v>65</v>
      </c>
      <c r="D53" s="1">
        <v>1</v>
      </c>
      <c r="E53" s="44">
        <v>3302</v>
      </c>
      <c r="F53" s="44">
        <v>40</v>
      </c>
      <c r="G53" s="44">
        <v>3262</v>
      </c>
      <c r="H53" s="44">
        <v>2796</v>
      </c>
      <c r="I53" s="33">
        <f t="shared" ref="I53:I72" si="8">H53/G53*100</f>
        <v>85.714285714285708</v>
      </c>
      <c r="J53" s="1">
        <f t="shared" ref="J53:J72" si="9">G53-H53</f>
        <v>466</v>
      </c>
      <c r="K53" s="3">
        <f t="shared" ref="K53:K72" si="10">F53+J53</f>
        <v>506</v>
      </c>
      <c r="L53" s="3" t="e">
        <f t="shared" si="3"/>
        <v>#REF!</v>
      </c>
      <c r="M53" s="5"/>
      <c r="N53" s="6"/>
      <c r="O53" s="6"/>
      <c r="P53" s="6"/>
      <c r="Q53" s="7"/>
      <c r="R53" s="6"/>
      <c r="S53" s="6"/>
      <c r="T53" s="6"/>
      <c r="U53" s="6"/>
      <c r="V53" s="7"/>
      <c r="W53" s="69">
        <f>45564+AC53</f>
        <v>55199</v>
      </c>
      <c r="X53" s="69"/>
      <c r="Y53" s="69"/>
      <c r="Z53" s="69"/>
      <c r="AA53" s="69"/>
      <c r="AB53" s="69"/>
      <c r="AC53" s="8">
        <v>9635</v>
      </c>
      <c r="AD53" s="34"/>
      <c r="AE53" s="34"/>
      <c r="AF53" s="34"/>
      <c r="AG53" s="34"/>
      <c r="AH53" s="70"/>
      <c r="AI53" s="36">
        <v>1670</v>
      </c>
      <c r="AJ53" s="36">
        <v>1668</v>
      </c>
      <c r="AK53" s="36">
        <v>1580</v>
      </c>
      <c r="AL53" s="36">
        <f t="shared" si="6"/>
        <v>868</v>
      </c>
      <c r="AM53" s="67">
        <v>266</v>
      </c>
      <c r="AN53" s="67">
        <v>446</v>
      </c>
      <c r="AO53" s="68">
        <f t="shared" si="7"/>
        <v>4135</v>
      </c>
      <c r="AP53" s="4">
        <v>1340</v>
      </c>
      <c r="AQ53" s="3"/>
      <c r="AR53" s="3"/>
      <c r="AS53" s="71"/>
      <c r="AT53" s="42"/>
      <c r="AU53" s="35">
        <f t="shared" si="4"/>
        <v>1.0385576777009018</v>
      </c>
      <c r="AV53" s="36">
        <v>75203</v>
      </c>
      <c r="AW53" s="36">
        <v>13545</v>
      </c>
      <c r="AX53" s="62"/>
      <c r="AY53" s="63"/>
      <c r="AZ53" s="64"/>
      <c r="BA53" s="2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2"/>
      <c r="BO53" s="2">
        <v>3083</v>
      </c>
      <c r="BP53" s="1">
        <v>3081</v>
      </c>
      <c r="BQ53" s="13">
        <v>1012</v>
      </c>
      <c r="BR53" s="1">
        <v>170</v>
      </c>
      <c r="BS53" s="1">
        <f>203+137</f>
        <v>340</v>
      </c>
      <c r="BT53" s="13">
        <f>69+55</f>
        <v>124</v>
      </c>
      <c r="BU53" s="1">
        <f>3035+29</f>
        <v>3064</v>
      </c>
      <c r="BV53" s="1">
        <f>924</f>
        <v>924</v>
      </c>
      <c r="BW53" s="14">
        <v>74</v>
      </c>
      <c r="BX53" s="14">
        <v>3521</v>
      </c>
      <c r="BY53" s="1">
        <v>1137</v>
      </c>
      <c r="BZ53" s="1">
        <v>3474</v>
      </c>
      <c r="CA53" s="1">
        <v>1263</v>
      </c>
      <c r="CB53" s="1">
        <v>53</v>
      </c>
      <c r="CC53" s="1">
        <v>15</v>
      </c>
      <c r="CD53" s="1">
        <v>38</v>
      </c>
      <c r="CE53" s="1">
        <v>11</v>
      </c>
      <c r="CF53" s="14">
        <f>3977+294</f>
        <v>4271</v>
      </c>
      <c r="CG53" s="1">
        <f>1140+110</f>
        <v>1250</v>
      </c>
      <c r="CH53" s="1">
        <f>3655+172</f>
        <v>3827</v>
      </c>
      <c r="CI53" s="1">
        <f>993+53</f>
        <v>1046</v>
      </c>
      <c r="CJ53" s="1">
        <f>3324+145</f>
        <v>3469</v>
      </c>
      <c r="CK53" s="1">
        <f>944+45</f>
        <v>989</v>
      </c>
      <c r="CL53" s="1">
        <f>3240+140</f>
        <v>3380</v>
      </c>
      <c r="CM53" s="12">
        <f>866+48</f>
        <v>914</v>
      </c>
    </row>
    <row r="54" spans="1:91" x14ac:dyDescent="0.2">
      <c r="A54" s="15">
        <v>2002</v>
      </c>
      <c r="B54" s="54"/>
      <c r="C54" s="15">
        <f t="shared" ref="C54:C72" si="11">D54+C53</f>
        <v>66</v>
      </c>
      <c r="D54" s="15">
        <v>1</v>
      </c>
      <c r="E54" s="43">
        <v>3613</v>
      </c>
      <c r="F54" s="43">
        <v>335</v>
      </c>
      <c r="G54" s="43">
        <v>3578</v>
      </c>
      <c r="H54" s="43">
        <v>3314</v>
      </c>
      <c r="I54" s="30">
        <f t="shared" si="8"/>
        <v>92.621576299608719</v>
      </c>
      <c r="J54" s="15">
        <f t="shared" si="9"/>
        <v>264</v>
      </c>
      <c r="K54" s="17">
        <f t="shared" si="10"/>
        <v>599</v>
      </c>
      <c r="L54" s="17" t="e">
        <f t="shared" si="3"/>
        <v>#REF!</v>
      </c>
      <c r="M54" s="19"/>
      <c r="N54" s="20"/>
      <c r="O54" s="20"/>
      <c r="P54" s="20"/>
      <c r="Q54" s="21"/>
      <c r="R54" s="20"/>
      <c r="S54" s="20"/>
      <c r="T54" s="20"/>
      <c r="U54" s="20"/>
      <c r="V54" s="21"/>
      <c r="W54" s="72">
        <f>47890+AC54</f>
        <v>58233</v>
      </c>
      <c r="X54" s="72"/>
      <c r="Y54" s="72"/>
      <c r="Z54" s="72"/>
      <c r="AA54" s="72"/>
      <c r="AB54" s="72"/>
      <c r="AC54" s="73">
        <v>10343</v>
      </c>
      <c r="AD54" s="31"/>
      <c r="AE54" s="31"/>
      <c r="AF54" s="31"/>
      <c r="AG54" s="31"/>
      <c r="AH54" s="74"/>
      <c r="AI54" s="40">
        <v>1691</v>
      </c>
      <c r="AJ54" s="40">
        <v>1690</v>
      </c>
      <c r="AK54" s="40">
        <v>1573</v>
      </c>
      <c r="AL54" s="40">
        <f t="shared" si="6"/>
        <v>861</v>
      </c>
      <c r="AM54" s="65">
        <v>261</v>
      </c>
      <c r="AN54" s="65">
        <v>451</v>
      </c>
      <c r="AO54" s="66">
        <f t="shared" si="7"/>
        <v>4412</v>
      </c>
      <c r="AP54" s="18">
        <v>1688</v>
      </c>
      <c r="AQ54" s="17"/>
      <c r="AR54" s="17"/>
      <c r="AS54" s="75"/>
      <c r="AT54" s="38"/>
      <c r="AU54" s="39">
        <f t="shared" si="4"/>
        <v>1.0440673909285534</v>
      </c>
      <c r="AV54" s="40">
        <v>78517</v>
      </c>
      <c r="AW54" s="40">
        <v>14438</v>
      </c>
      <c r="AX54" s="58"/>
      <c r="AY54" s="59"/>
      <c r="AZ54" s="60"/>
      <c r="BA54" s="1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26"/>
      <c r="BO54" s="16">
        <v>3123</v>
      </c>
      <c r="BP54" s="15">
        <v>3072</v>
      </c>
      <c r="BQ54" s="27">
        <v>1068</v>
      </c>
      <c r="BR54" s="15">
        <v>130</v>
      </c>
      <c r="BS54" s="15">
        <f>155+138</f>
        <v>293</v>
      </c>
      <c r="BT54" s="27">
        <f>47+47</f>
        <v>94</v>
      </c>
      <c r="BU54" s="15">
        <f>3014+131</f>
        <v>3145</v>
      </c>
      <c r="BV54" s="15">
        <f>814+40</f>
        <v>854</v>
      </c>
      <c r="BW54" s="28">
        <v>74</v>
      </c>
      <c r="BX54" s="28">
        <v>3451</v>
      </c>
      <c r="BY54" s="15">
        <v>1151</v>
      </c>
      <c r="BZ54" s="15">
        <v>3411</v>
      </c>
      <c r="CA54" s="15">
        <v>1102</v>
      </c>
      <c r="CB54" s="15">
        <v>1</v>
      </c>
      <c r="CC54" s="15"/>
      <c r="CD54" s="15"/>
      <c r="CE54" s="15"/>
      <c r="CF54" s="28">
        <f>4010+283</f>
        <v>4293</v>
      </c>
      <c r="CG54" s="15">
        <f>1409+94</f>
        <v>1503</v>
      </c>
      <c r="CH54" s="15">
        <f>3607+305</f>
        <v>3912</v>
      </c>
      <c r="CI54" s="15">
        <f>1056+117</f>
        <v>1173</v>
      </c>
      <c r="CJ54" s="15">
        <f>3483+139</f>
        <v>3622</v>
      </c>
      <c r="CK54" s="15">
        <f>995+44</f>
        <v>1039</v>
      </c>
      <c r="CL54" s="15">
        <f>3370+122</f>
        <v>3492</v>
      </c>
      <c r="CM54" s="26">
        <f>950+32</f>
        <v>982</v>
      </c>
    </row>
    <row r="55" spans="1:91" x14ac:dyDescent="0.3">
      <c r="A55" s="1">
        <v>2003</v>
      </c>
      <c r="B55" s="12" t="s">
        <v>8</v>
      </c>
      <c r="C55" s="1">
        <f t="shared" si="11"/>
        <v>67</v>
      </c>
      <c r="D55" s="1">
        <v>1</v>
      </c>
      <c r="E55" s="44">
        <v>3709</v>
      </c>
      <c r="F55" s="44">
        <v>62</v>
      </c>
      <c r="G55" s="44">
        <v>3647</v>
      </c>
      <c r="H55" s="44">
        <v>3159</v>
      </c>
      <c r="I55" s="33">
        <f t="shared" si="8"/>
        <v>86.619139018371257</v>
      </c>
      <c r="J55" s="1">
        <f t="shared" si="9"/>
        <v>488</v>
      </c>
      <c r="K55" s="3">
        <f t="shared" si="10"/>
        <v>550</v>
      </c>
      <c r="L55" s="3" t="e">
        <f t="shared" si="3"/>
        <v>#REF!</v>
      </c>
      <c r="M55" s="5"/>
      <c r="N55" s="6"/>
      <c r="O55" s="6"/>
      <c r="P55" s="6"/>
      <c r="Q55" s="7"/>
      <c r="R55" s="6"/>
      <c r="S55" s="6"/>
      <c r="T55" s="6"/>
      <c r="U55" s="6"/>
      <c r="V55" s="7"/>
      <c r="W55" s="69">
        <f>49261+AC55</f>
        <v>60206</v>
      </c>
      <c r="X55" s="69"/>
      <c r="Y55" s="69"/>
      <c r="Z55" s="69"/>
      <c r="AA55" s="69"/>
      <c r="AB55" s="69"/>
      <c r="AC55" s="76">
        <v>10945</v>
      </c>
      <c r="AD55" s="34"/>
      <c r="AE55" s="34"/>
      <c r="AF55" s="34"/>
      <c r="AG55" s="34"/>
      <c r="AH55" s="70"/>
      <c r="AI55" s="36">
        <v>1636</v>
      </c>
      <c r="AJ55" s="36">
        <v>1636</v>
      </c>
      <c r="AK55" s="36">
        <v>1537</v>
      </c>
      <c r="AL55" s="36">
        <f t="shared" si="6"/>
        <v>844</v>
      </c>
      <c r="AM55" s="67">
        <v>234</v>
      </c>
      <c r="AN55" s="67">
        <v>459</v>
      </c>
      <c r="AO55" s="68">
        <f t="shared" si="7"/>
        <v>4690</v>
      </c>
      <c r="AP55" s="4">
        <v>1663</v>
      </c>
      <c r="AQ55" s="3"/>
      <c r="AR55" s="3"/>
      <c r="AS55" s="44"/>
      <c r="AT55" s="77"/>
      <c r="AU55" s="35">
        <f t="shared" si="4"/>
        <v>1.0347822764496861</v>
      </c>
      <c r="AV55" s="36">
        <v>81248</v>
      </c>
      <c r="AW55" s="36">
        <v>14949</v>
      </c>
      <c r="AX55" s="62">
        <f t="shared" ref="AX55:AX70" si="12">AZ55/AV55</f>
        <v>0.74497833792831825</v>
      </c>
      <c r="AY55" s="63"/>
      <c r="AZ55" s="64">
        <v>60528</v>
      </c>
      <c r="BA55" s="2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2"/>
      <c r="BO55" s="2">
        <v>3088</v>
      </c>
      <c r="BP55" s="1">
        <v>3082</v>
      </c>
      <c r="BQ55" s="13">
        <v>1085</v>
      </c>
      <c r="BR55" s="1"/>
      <c r="BS55" s="1"/>
      <c r="BT55" s="13"/>
      <c r="BU55" s="1">
        <v>3374</v>
      </c>
      <c r="BV55" s="1">
        <v>955</v>
      </c>
      <c r="BW55" s="14">
        <v>60</v>
      </c>
      <c r="BX55" s="14"/>
      <c r="BY55" s="1"/>
      <c r="BZ55" s="1"/>
      <c r="CA55" s="1"/>
      <c r="CB55" s="1"/>
      <c r="CC55" s="1"/>
      <c r="CD55" s="1"/>
      <c r="CE55" s="1"/>
      <c r="CF55" s="14">
        <v>7497</v>
      </c>
      <c r="CG55" s="1">
        <v>2475</v>
      </c>
      <c r="CH55" s="1">
        <v>7320</v>
      </c>
      <c r="CI55" s="1">
        <v>2525</v>
      </c>
      <c r="CJ55" s="1">
        <v>3642</v>
      </c>
      <c r="CK55" s="1">
        <v>1113</v>
      </c>
      <c r="CL55" s="1">
        <v>3568</v>
      </c>
      <c r="CM55" s="12">
        <v>1016</v>
      </c>
    </row>
    <row r="56" spans="1:91" ht="48" x14ac:dyDescent="0.3">
      <c r="A56" s="15">
        <v>2004</v>
      </c>
      <c r="B56" s="54" t="s">
        <v>9</v>
      </c>
      <c r="C56" s="15">
        <f t="shared" si="11"/>
        <v>68</v>
      </c>
      <c r="D56" s="15">
        <v>1</v>
      </c>
      <c r="E56" s="43">
        <v>3988</v>
      </c>
      <c r="F56" s="43">
        <v>107</v>
      </c>
      <c r="G56" s="43">
        <v>3881</v>
      </c>
      <c r="H56" s="43">
        <v>3760</v>
      </c>
      <c r="I56" s="30">
        <f t="shared" si="8"/>
        <v>96.882246843597002</v>
      </c>
      <c r="J56" s="15">
        <f t="shared" si="9"/>
        <v>121</v>
      </c>
      <c r="K56" s="17">
        <f t="shared" si="10"/>
        <v>228</v>
      </c>
      <c r="L56" s="17" t="e">
        <f t="shared" si="3"/>
        <v>#REF!</v>
      </c>
      <c r="M56" s="19"/>
      <c r="N56" s="20"/>
      <c r="O56" s="20"/>
      <c r="P56" s="20"/>
      <c r="Q56" s="21"/>
      <c r="R56" s="20"/>
      <c r="S56" s="20"/>
      <c r="T56" s="20"/>
      <c r="U56" s="20"/>
      <c r="V56" s="21"/>
      <c r="W56" s="72">
        <f>55566+AC56</f>
        <v>68346</v>
      </c>
      <c r="X56" s="72"/>
      <c r="Y56" s="72"/>
      <c r="Z56" s="72"/>
      <c r="AA56" s="72"/>
      <c r="AB56" s="72"/>
      <c r="AC56" s="73">
        <v>12780</v>
      </c>
      <c r="AD56" s="31"/>
      <c r="AE56" s="31"/>
      <c r="AF56" s="31"/>
      <c r="AG56" s="31"/>
      <c r="AH56" s="74"/>
      <c r="AI56" s="40">
        <v>1633</v>
      </c>
      <c r="AJ56" s="40">
        <v>1631</v>
      </c>
      <c r="AK56" s="40">
        <v>1524</v>
      </c>
      <c r="AL56" s="40">
        <f t="shared" si="6"/>
        <v>838</v>
      </c>
      <c r="AM56" s="65">
        <v>263</v>
      </c>
      <c r="AN56" s="65">
        <v>423</v>
      </c>
      <c r="AO56" s="66">
        <f t="shared" si="7"/>
        <v>4634</v>
      </c>
      <c r="AP56" s="18">
        <v>1848</v>
      </c>
      <c r="AQ56" s="17"/>
      <c r="AR56" s="17"/>
      <c r="AS56" s="43"/>
      <c r="AT56" s="77"/>
      <c r="AU56" s="39">
        <f t="shared" si="4"/>
        <v>1.008246356833399</v>
      </c>
      <c r="AV56" s="40">
        <v>81918</v>
      </c>
      <c r="AW56" s="40">
        <v>15768</v>
      </c>
      <c r="AX56" s="58">
        <f t="shared" si="12"/>
        <v>0.77151541785688127</v>
      </c>
      <c r="AY56" s="39">
        <f t="shared" ref="AY56:AY70" si="13">AZ56/AZ55</f>
        <v>1.0441613798572562</v>
      </c>
      <c r="AZ56" s="60">
        <v>63201</v>
      </c>
      <c r="BA56" s="1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26"/>
      <c r="BO56" s="16">
        <v>2438</v>
      </c>
      <c r="BP56" s="15">
        <v>2558</v>
      </c>
      <c r="BQ56" s="27">
        <v>767</v>
      </c>
      <c r="BR56" s="15"/>
      <c r="BS56" s="15"/>
      <c r="BT56" s="27"/>
      <c r="BU56" s="15">
        <v>3395</v>
      </c>
      <c r="BV56" s="15">
        <v>1006</v>
      </c>
      <c r="BW56" s="28">
        <v>96</v>
      </c>
      <c r="BX56" s="28"/>
      <c r="BY56" s="15"/>
      <c r="BZ56" s="15"/>
      <c r="CA56" s="15"/>
      <c r="CB56" s="15"/>
      <c r="CC56" s="15"/>
      <c r="CD56" s="15"/>
      <c r="CE56" s="15"/>
      <c r="CF56" s="28">
        <v>6890</v>
      </c>
      <c r="CG56" s="15">
        <v>2165</v>
      </c>
      <c r="CH56" s="15">
        <v>7139</v>
      </c>
      <c r="CI56" s="15">
        <v>2405</v>
      </c>
      <c r="CJ56" s="15">
        <v>3614</v>
      </c>
      <c r="CK56" s="15">
        <v>1344</v>
      </c>
      <c r="CL56" s="15">
        <v>3636</v>
      </c>
      <c r="CM56" s="26">
        <v>1089</v>
      </c>
    </row>
    <row r="57" spans="1:91" x14ac:dyDescent="0.3">
      <c r="A57" s="1">
        <v>2005</v>
      </c>
      <c r="B57" s="61" t="s">
        <v>10</v>
      </c>
      <c r="C57" s="1">
        <f t="shared" si="11"/>
        <v>69</v>
      </c>
      <c r="D57" s="1">
        <v>1</v>
      </c>
      <c r="E57" s="44">
        <v>3717</v>
      </c>
      <c r="F57" s="44">
        <v>99</v>
      </c>
      <c r="G57" s="44">
        <v>3618</v>
      </c>
      <c r="H57" s="44">
        <v>3372</v>
      </c>
      <c r="I57" s="33">
        <f t="shared" si="8"/>
        <v>93.200663349917079</v>
      </c>
      <c r="J57" s="1">
        <f t="shared" si="9"/>
        <v>246</v>
      </c>
      <c r="K57" s="3">
        <f t="shared" si="10"/>
        <v>345</v>
      </c>
      <c r="L57" s="3" t="e">
        <f t="shared" si="3"/>
        <v>#REF!</v>
      </c>
      <c r="M57" s="5"/>
      <c r="N57" s="6"/>
      <c r="O57" s="6"/>
      <c r="P57" s="6"/>
      <c r="Q57" s="7"/>
      <c r="R57" s="6"/>
      <c r="S57" s="6"/>
      <c r="T57" s="6"/>
      <c r="U57" s="6"/>
      <c r="V57" s="7"/>
      <c r="W57" s="69">
        <f>56014+AC57</f>
        <v>69097</v>
      </c>
      <c r="X57" s="69"/>
      <c r="Y57" s="69"/>
      <c r="Z57" s="69"/>
      <c r="AA57" s="69"/>
      <c r="AB57" s="69"/>
      <c r="AC57" s="76">
        <v>13083</v>
      </c>
      <c r="AD57" s="34"/>
      <c r="AE57" s="34"/>
      <c r="AF57" s="34"/>
      <c r="AG57" s="34"/>
      <c r="AH57" s="70"/>
      <c r="AI57" s="36">
        <v>1566</v>
      </c>
      <c r="AJ57" s="36">
        <v>1564</v>
      </c>
      <c r="AK57" s="36">
        <v>1492</v>
      </c>
      <c r="AL57" s="36">
        <f t="shared" si="6"/>
        <v>770</v>
      </c>
      <c r="AM57" s="67">
        <v>289</v>
      </c>
      <c r="AN57" s="67">
        <v>433</v>
      </c>
      <c r="AO57" s="68">
        <f t="shared" si="7"/>
        <v>4553</v>
      </c>
      <c r="AP57" s="4">
        <v>1712</v>
      </c>
      <c r="AQ57" s="3"/>
      <c r="AR57" s="3"/>
      <c r="AS57" s="44"/>
      <c r="AT57" s="77"/>
      <c r="AU57" s="35">
        <f t="shared" si="4"/>
        <v>1.0411509070045655</v>
      </c>
      <c r="AV57" s="36">
        <v>85289</v>
      </c>
      <c r="AW57" s="36">
        <v>16844</v>
      </c>
      <c r="AX57" s="62">
        <f t="shared" si="12"/>
        <v>0.76837575771787692</v>
      </c>
      <c r="AY57" s="35">
        <f t="shared" si="13"/>
        <v>1.0369139728801759</v>
      </c>
      <c r="AZ57" s="78">
        <v>65534</v>
      </c>
      <c r="BA57" s="2">
        <v>159</v>
      </c>
      <c r="BB57" s="1"/>
      <c r="BC57" s="1"/>
      <c r="BD57" s="1"/>
      <c r="BE57" s="1"/>
      <c r="BF57" s="1"/>
      <c r="BG57" s="1">
        <v>159</v>
      </c>
      <c r="BH57" s="1">
        <v>96</v>
      </c>
      <c r="BI57" s="1"/>
      <c r="BJ57" s="1"/>
      <c r="BK57" s="1"/>
      <c r="BL57" s="1"/>
      <c r="BM57" s="1"/>
      <c r="BN57" s="12"/>
      <c r="BO57" s="2">
        <v>2362</v>
      </c>
      <c r="BP57" s="1">
        <v>2436</v>
      </c>
      <c r="BQ57" s="13">
        <v>682</v>
      </c>
      <c r="BR57" s="1"/>
      <c r="BS57" s="1"/>
      <c r="BT57" s="13"/>
      <c r="BU57" s="1">
        <v>3489</v>
      </c>
      <c r="BV57" s="1">
        <v>1069</v>
      </c>
      <c r="BW57" s="14">
        <v>61</v>
      </c>
      <c r="BX57" s="14"/>
      <c r="BY57" s="1"/>
      <c r="BZ57" s="1"/>
      <c r="CA57" s="1"/>
      <c r="CB57" s="1"/>
      <c r="CC57" s="1"/>
      <c r="CD57" s="1"/>
      <c r="CE57" s="1"/>
      <c r="CF57" s="14">
        <v>6549</v>
      </c>
      <c r="CG57" s="1">
        <v>2006</v>
      </c>
      <c r="CH57" s="1">
        <v>6492</v>
      </c>
      <c r="CI57" s="1">
        <v>2085</v>
      </c>
      <c r="CJ57" s="1">
        <v>3641</v>
      </c>
      <c r="CK57" s="1">
        <v>1263</v>
      </c>
      <c r="CL57" s="1">
        <v>3627</v>
      </c>
      <c r="CM57" s="12">
        <v>1333</v>
      </c>
    </row>
    <row r="58" spans="1:91" x14ac:dyDescent="0.3">
      <c r="A58" s="15">
        <v>2006</v>
      </c>
      <c r="B58" s="54"/>
      <c r="C58" s="15">
        <f t="shared" si="11"/>
        <v>70</v>
      </c>
      <c r="D58" s="15">
        <v>1</v>
      </c>
      <c r="E58" s="43">
        <v>3816</v>
      </c>
      <c r="F58" s="43">
        <v>73</v>
      </c>
      <c r="G58" s="43">
        <v>3743</v>
      </c>
      <c r="H58" s="43">
        <v>3489</v>
      </c>
      <c r="I58" s="30">
        <f t="shared" si="8"/>
        <v>93.213999465669247</v>
      </c>
      <c r="J58" s="15">
        <f t="shared" si="9"/>
        <v>254</v>
      </c>
      <c r="K58" s="17">
        <f t="shared" si="10"/>
        <v>327</v>
      </c>
      <c r="L58" s="17" t="e">
        <f t="shared" si="3"/>
        <v>#REF!</v>
      </c>
      <c r="M58" s="19"/>
      <c r="N58" s="20"/>
      <c r="O58" s="20"/>
      <c r="P58" s="20"/>
      <c r="Q58" s="21"/>
      <c r="R58" s="20"/>
      <c r="S58" s="20"/>
      <c r="T58" s="20"/>
      <c r="U58" s="20"/>
      <c r="V58" s="21"/>
      <c r="W58" s="72">
        <f>57564+AC58</f>
        <v>71940</v>
      </c>
      <c r="X58" s="72"/>
      <c r="Y58" s="72"/>
      <c r="Z58" s="72"/>
      <c r="AA58" s="72"/>
      <c r="AB58" s="72"/>
      <c r="AC58" s="73">
        <v>14376</v>
      </c>
      <c r="AD58" s="79"/>
      <c r="AE58" s="31"/>
      <c r="AF58" s="31"/>
      <c r="AG58" s="31"/>
      <c r="AH58" s="74"/>
      <c r="AI58" s="40">
        <v>1533</v>
      </c>
      <c r="AJ58" s="40">
        <v>1528</v>
      </c>
      <c r="AK58" s="40">
        <v>1417</v>
      </c>
      <c r="AL58" s="40">
        <f t="shared" si="6"/>
        <v>754</v>
      </c>
      <c r="AM58" s="65">
        <v>263</v>
      </c>
      <c r="AN58" s="65">
        <v>400</v>
      </c>
      <c r="AO58" s="66">
        <f t="shared" si="7"/>
        <v>4433</v>
      </c>
      <c r="AP58" s="18">
        <v>1513</v>
      </c>
      <c r="AQ58" s="17"/>
      <c r="AR58" s="17"/>
      <c r="AS58" s="43"/>
      <c r="AT58" s="77"/>
      <c r="AU58" s="39">
        <f t="shared" si="4"/>
        <v>1.0334157980513314</v>
      </c>
      <c r="AV58" s="40">
        <v>88139</v>
      </c>
      <c r="AW58" s="40">
        <v>18065</v>
      </c>
      <c r="AX58" s="58">
        <f t="shared" si="12"/>
        <v>0.7731310770487525</v>
      </c>
      <c r="AY58" s="39">
        <f t="shared" si="13"/>
        <v>1.0398113956114383</v>
      </c>
      <c r="AZ58" s="60">
        <v>68143</v>
      </c>
      <c r="BA58" s="16">
        <v>618</v>
      </c>
      <c r="BB58" s="80">
        <v>2</v>
      </c>
      <c r="BC58" s="80"/>
      <c r="BD58" s="80"/>
      <c r="BE58" s="80"/>
      <c r="BF58" s="80"/>
      <c r="BG58" s="80">
        <v>763</v>
      </c>
      <c r="BH58" s="80">
        <v>431</v>
      </c>
      <c r="BI58" s="80">
        <v>2</v>
      </c>
      <c r="BJ58" s="80">
        <v>1</v>
      </c>
      <c r="BK58" s="15"/>
      <c r="BL58" s="15"/>
      <c r="BM58" s="15"/>
      <c r="BN58" s="26"/>
      <c r="BO58" s="16">
        <v>2218</v>
      </c>
      <c r="BP58" s="15">
        <v>2322</v>
      </c>
      <c r="BQ58" s="27">
        <v>558</v>
      </c>
      <c r="BR58" s="15"/>
      <c r="BS58" s="15"/>
      <c r="BT58" s="27"/>
      <c r="BU58" s="15">
        <v>3508</v>
      </c>
      <c r="BV58" s="15">
        <v>1319</v>
      </c>
      <c r="BW58" s="28">
        <v>50</v>
      </c>
      <c r="BX58" s="28"/>
      <c r="BY58" s="15"/>
      <c r="BZ58" s="15"/>
      <c r="CA58" s="15"/>
      <c r="CB58" s="15"/>
      <c r="CC58" s="15"/>
      <c r="CD58" s="15"/>
      <c r="CE58" s="15"/>
      <c r="CF58" s="28">
        <v>5655</v>
      </c>
      <c r="CG58" s="15">
        <v>1518</v>
      </c>
      <c r="CH58" s="15">
        <v>6135</v>
      </c>
      <c r="CI58" s="15">
        <v>1941</v>
      </c>
      <c r="CJ58" s="15">
        <v>3706</v>
      </c>
      <c r="CK58" s="15">
        <v>1268</v>
      </c>
      <c r="CL58" s="15">
        <v>3631</v>
      </c>
      <c r="CM58" s="26">
        <v>1254</v>
      </c>
    </row>
    <row r="59" spans="1:91" x14ac:dyDescent="0.3">
      <c r="A59" s="1">
        <v>2007</v>
      </c>
      <c r="B59" s="61"/>
      <c r="C59" s="1">
        <f t="shared" si="11"/>
        <v>71</v>
      </c>
      <c r="D59" s="1">
        <v>1</v>
      </c>
      <c r="E59" s="44">
        <v>3765</v>
      </c>
      <c r="F59" s="44">
        <v>30</v>
      </c>
      <c r="G59" s="44">
        <v>3735</v>
      </c>
      <c r="H59" s="44">
        <v>3305</v>
      </c>
      <c r="I59" s="33">
        <f t="shared" si="8"/>
        <v>88.487282463186077</v>
      </c>
      <c r="J59" s="1">
        <f t="shared" si="9"/>
        <v>430</v>
      </c>
      <c r="K59" s="3">
        <f t="shared" si="10"/>
        <v>460</v>
      </c>
      <c r="L59" s="3" t="e">
        <f t="shared" si="3"/>
        <v>#REF!</v>
      </c>
      <c r="M59" s="81">
        <f t="shared" ref="M59:Q59" si="14">X59/75476*100</f>
        <v>11.491070009009487</v>
      </c>
      <c r="N59" s="82">
        <f t="shared" si="14"/>
        <v>34.587153532248664</v>
      </c>
      <c r="O59" s="82">
        <f t="shared" si="14"/>
        <v>31.635221792357836</v>
      </c>
      <c r="P59" s="82">
        <f t="shared" si="14"/>
        <v>13.866659600402778</v>
      </c>
      <c r="Q59" s="83">
        <f t="shared" si="14"/>
        <v>8.4198950659812386</v>
      </c>
      <c r="R59" s="6"/>
      <c r="S59" s="6"/>
      <c r="T59" s="6"/>
      <c r="U59" s="6"/>
      <c r="V59" s="7"/>
      <c r="W59" s="34">
        <f>SUM(X59:AB59)</f>
        <v>75476</v>
      </c>
      <c r="X59" s="84">
        <v>8673</v>
      </c>
      <c r="Y59" s="84">
        <v>26105</v>
      </c>
      <c r="Z59" s="84">
        <v>23877</v>
      </c>
      <c r="AA59" s="84">
        <v>10466</v>
      </c>
      <c r="AB59" s="84">
        <v>6355</v>
      </c>
      <c r="AC59" s="76">
        <v>15376</v>
      </c>
      <c r="AD59" s="34"/>
      <c r="AE59" s="34"/>
      <c r="AF59" s="34"/>
      <c r="AG59" s="34"/>
      <c r="AH59" s="70"/>
      <c r="AI59" s="36">
        <v>1570</v>
      </c>
      <c r="AJ59" s="36">
        <v>1569</v>
      </c>
      <c r="AK59" s="36">
        <v>1487</v>
      </c>
      <c r="AL59" s="36"/>
      <c r="AM59" s="36"/>
      <c r="AN59" s="36"/>
      <c r="AO59" s="68">
        <f t="shared" si="7"/>
        <v>4396</v>
      </c>
      <c r="AP59" s="4">
        <v>1613</v>
      </c>
      <c r="AQ59" s="3"/>
      <c r="AR59" s="3"/>
      <c r="AS59" s="44"/>
      <c r="AT59" s="77"/>
      <c r="AU59" s="35">
        <f t="shared" si="4"/>
        <v>1.0369983775627134</v>
      </c>
      <c r="AV59" s="85">
        <v>91400</v>
      </c>
      <c r="AW59" s="85">
        <v>19253</v>
      </c>
      <c r="AX59" s="62">
        <f t="shared" si="12"/>
        <v>0.76974835886214443</v>
      </c>
      <c r="AY59" s="35">
        <f t="shared" si="13"/>
        <v>1.0324611478801931</v>
      </c>
      <c r="AZ59" s="64">
        <v>70355</v>
      </c>
      <c r="BA59" s="86">
        <v>734</v>
      </c>
      <c r="BB59" s="87">
        <v>27</v>
      </c>
      <c r="BC59" s="69"/>
      <c r="BD59" s="69"/>
      <c r="BE59" s="69"/>
      <c r="BF59" s="69"/>
      <c r="BG59" s="69">
        <v>1457</v>
      </c>
      <c r="BH59" s="87">
        <v>811</v>
      </c>
      <c r="BI59" s="87">
        <v>12</v>
      </c>
      <c r="BJ59" s="87">
        <v>5</v>
      </c>
      <c r="BK59" s="1"/>
      <c r="BL59" s="1"/>
      <c r="BM59" s="1"/>
      <c r="BN59" s="12"/>
      <c r="BO59" s="2">
        <v>1457</v>
      </c>
      <c r="BP59" s="1">
        <v>1569</v>
      </c>
      <c r="BQ59" s="13">
        <v>407</v>
      </c>
      <c r="BR59" s="1"/>
      <c r="BS59" s="1"/>
      <c r="BT59" s="13"/>
      <c r="BU59" s="1">
        <v>3487</v>
      </c>
      <c r="BV59" s="1">
        <v>1241</v>
      </c>
      <c r="BW59" s="14">
        <v>53</v>
      </c>
      <c r="BX59" s="14"/>
      <c r="BY59" s="1"/>
      <c r="BZ59" s="1"/>
      <c r="CA59" s="1"/>
      <c r="CB59" s="1"/>
      <c r="CC59" s="1"/>
      <c r="CD59" s="1"/>
      <c r="CE59" s="1"/>
      <c r="CF59" s="14">
        <v>4563</v>
      </c>
      <c r="CG59" s="1">
        <v>1184</v>
      </c>
      <c r="CH59" s="1">
        <v>5337</v>
      </c>
      <c r="CI59" s="1">
        <v>1468</v>
      </c>
      <c r="CJ59" s="1">
        <v>3517</v>
      </c>
      <c r="CK59" s="1">
        <v>1240</v>
      </c>
      <c r="CL59" s="1">
        <v>3710</v>
      </c>
      <c r="CM59" s="12">
        <v>1250</v>
      </c>
    </row>
    <row r="60" spans="1:91" x14ac:dyDescent="0.3">
      <c r="A60" s="15">
        <v>2008</v>
      </c>
      <c r="B60" s="54"/>
      <c r="C60" s="15">
        <f t="shared" si="11"/>
        <v>72</v>
      </c>
      <c r="D60" s="15">
        <v>1</v>
      </c>
      <c r="E60" s="43">
        <v>4059</v>
      </c>
      <c r="F60" s="43">
        <v>31</v>
      </c>
      <c r="G60" s="43">
        <v>4028</v>
      </c>
      <c r="H60" s="43">
        <v>3887</v>
      </c>
      <c r="I60" s="30">
        <f t="shared" si="8"/>
        <v>96.499503475670309</v>
      </c>
      <c r="J60" s="15">
        <f t="shared" si="9"/>
        <v>141</v>
      </c>
      <c r="K60" s="17">
        <f t="shared" si="10"/>
        <v>172</v>
      </c>
      <c r="L60" s="17" t="e">
        <f t="shared" si="3"/>
        <v>#REF!</v>
      </c>
      <c r="M60" s="19"/>
      <c r="N60" s="20"/>
      <c r="O60" s="20"/>
      <c r="P60" s="20"/>
      <c r="Q60" s="21"/>
      <c r="R60" s="20"/>
      <c r="S60" s="20"/>
      <c r="T60" s="20"/>
      <c r="U60" s="20"/>
      <c r="V60" s="21"/>
      <c r="W60" s="72"/>
      <c r="X60" s="72"/>
      <c r="Y60" s="72"/>
      <c r="Z60" s="72"/>
      <c r="AA60" s="72"/>
      <c r="AB60" s="72"/>
      <c r="AC60" s="73"/>
      <c r="AD60" s="31"/>
      <c r="AE60" s="31"/>
      <c r="AF60" s="31"/>
      <c r="AG60" s="31"/>
      <c r="AH60" s="74"/>
      <c r="AI60" s="40">
        <v>1516</v>
      </c>
      <c r="AJ60" s="40">
        <v>1506</v>
      </c>
      <c r="AK60" s="40">
        <v>1451</v>
      </c>
      <c r="AL60" s="40"/>
      <c r="AM60" s="40"/>
      <c r="AN60" s="40"/>
      <c r="AO60" s="66">
        <f t="shared" si="7"/>
        <v>4355</v>
      </c>
      <c r="AP60" s="18">
        <v>1962</v>
      </c>
      <c r="AQ60" s="17"/>
      <c r="AR60" s="17"/>
      <c r="AS60" s="43"/>
      <c r="AT60" s="77"/>
      <c r="AU60" s="39">
        <f t="shared" si="4"/>
        <v>1.0395404814004376</v>
      </c>
      <c r="AV60" s="88">
        <v>95014</v>
      </c>
      <c r="AW60" s="88">
        <v>20523</v>
      </c>
      <c r="AX60" s="58">
        <f t="shared" si="12"/>
        <v>0.79687203990990796</v>
      </c>
      <c r="AY60" s="39">
        <f t="shared" si="13"/>
        <v>1.0761708478430816</v>
      </c>
      <c r="AZ60" s="60">
        <v>75714</v>
      </c>
      <c r="BA60" s="89">
        <v>908</v>
      </c>
      <c r="BB60" s="80">
        <v>54</v>
      </c>
      <c r="BC60" s="72"/>
      <c r="BD60" s="72"/>
      <c r="BE60" s="72"/>
      <c r="BF60" s="72"/>
      <c r="BG60" s="72">
        <v>2318</v>
      </c>
      <c r="BH60" s="72">
        <v>1317</v>
      </c>
      <c r="BI60" s="80">
        <v>46</v>
      </c>
      <c r="BJ60" s="80">
        <v>25</v>
      </c>
      <c r="BK60" s="15"/>
      <c r="BL60" s="15"/>
      <c r="BM60" s="15"/>
      <c r="BN60" s="26"/>
      <c r="BO60" s="16">
        <v>1590</v>
      </c>
      <c r="BP60" s="15">
        <v>1608</v>
      </c>
      <c r="BQ60" s="27">
        <v>405</v>
      </c>
      <c r="BR60" s="15"/>
      <c r="BS60" s="15"/>
      <c r="BT60" s="27"/>
      <c r="BU60" s="15">
        <v>3601</v>
      </c>
      <c r="BV60" s="15">
        <v>1233</v>
      </c>
      <c r="BW60" s="28">
        <v>72</v>
      </c>
      <c r="BX60" s="28"/>
      <c r="BY60" s="15"/>
      <c r="BZ60" s="15"/>
      <c r="CA60" s="15"/>
      <c r="CB60" s="15"/>
      <c r="CC60" s="15"/>
      <c r="CD60" s="15"/>
      <c r="CE60" s="15"/>
      <c r="CF60" s="28">
        <v>4397</v>
      </c>
      <c r="CG60" s="15">
        <v>1049</v>
      </c>
      <c r="CH60" s="15">
        <v>4341</v>
      </c>
      <c r="CI60" s="15">
        <v>1148</v>
      </c>
      <c r="CJ60" s="15">
        <v>2783</v>
      </c>
      <c r="CK60" s="15">
        <v>871</v>
      </c>
      <c r="CL60" s="15">
        <v>3526</v>
      </c>
      <c r="CM60" s="26">
        <v>1235</v>
      </c>
    </row>
    <row r="61" spans="1:91" x14ac:dyDescent="0.3">
      <c r="A61" s="1">
        <v>2009</v>
      </c>
      <c r="B61" s="61"/>
      <c r="C61" s="1">
        <f t="shared" si="11"/>
        <v>73</v>
      </c>
      <c r="D61" s="1">
        <v>1</v>
      </c>
      <c r="E61" s="44">
        <v>3770</v>
      </c>
      <c r="F61" s="44">
        <v>20</v>
      </c>
      <c r="G61" s="44">
        <v>3750</v>
      </c>
      <c r="H61" s="44">
        <v>3510</v>
      </c>
      <c r="I61" s="33">
        <f t="shared" si="8"/>
        <v>93.600000000000009</v>
      </c>
      <c r="J61" s="1">
        <f t="shared" si="9"/>
        <v>240</v>
      </c>
      <c r="K61" s="3">
        <f t="shared" si="10"/>
        <v>260</v>
      </c>
      <c r="L61" s="3" t="e">
        <f t="shared" si="3"/>
        <v>#REF!</v>
      </c>
      <c r="M61" s="5"/>
      <c r="N61" s="6"/>
      <c r="O61" s="6"/>
      <c r="P61" s="6"/>
      <c r="Q61" s="7"/>
      <c r="R61" s="6"/>
      <c r="S61" s="6"/>
      <c r="T61" s="6"/>
      <c r="U61" s="6"/>
      <c r="V61" s="7"/>
      <c r="W61" s="69"/>
      <c r="X61" s="69"/>
      <c r="Y61" s="69"/>
      <c r="Z61" s="69"/>
      <c r="AA61" s="69"/>
      <c r="AB61" s="69"/>
      <c r="AC61" s="76"/>
      <c r="AD61" s="34"/>
      <c r="AE61" s="34"/>
      <c r="AF61" s="34"/>
      <c r="AG61" s="34"/>
      <c r="AH61" s="70"/>
      <c r="AI61" s="36">
        <v>1626</v>
      </c>
      <c r="AJ61" s="36">
        <v>1615</v>
      </c>
      <c r="AK61" s="36">
        <v>1559</v>
      </c>
      <c r="AL61" s="77"/>
      <c r="AM61" s="77"/>
      <c r="AN61" s="77"/>
      <c r="AO61" s="68">
        <f t="shared" si="7"/>
        <v>4497</v>
      </c>
      <c r="AP61" s="4">
        <v>1740</v>
      </c>
      <c r="AQ61" s="3"/>
      <c r="AR61" s="3"/>
      <c r="AS61" s="44"/>
      <c r="AT61" s="77"/>
      <c r="AU61" s="35">
        <f t="shared" si="4"/>
        <v>1.0352158629254635</v>
      </c>
      <c r="AV61" s="85">
        <v>98360</v>
      </c>
      <c r="AW61" s="85">
        <v>21810</v>
      </c>
      <c r="AX61" s="62">
        <f t="shared" si="12"/>
        <v>0.80363969093127285</v>
      </c>
      <c r="AY61" s="35">
        <f t="shared" si="13"/>
        <v>1.0440077132366536</v>
      </c>
      <c r="AZ61" s="64">
        <v>79046</v>
      </c>
      <c r="BA61" s="86">
        <v>1714</v>
      </c>
      <c r="BB61" s="87">
        <v>67</v>
      </c>
      <c r="BC61" s="69"/>
      <c r="BD61" s="69"/>
      <c r="BE61" s="69"/>
      <c r="BF61" s="69"/>
      <c r="BG61" s="69">
        <v>3827</v>
      </c>
      <c r="BH61" s="69">
        <v>2162</v>
      </c>
      <c r="BI61" s="87">
        <v>96</v>
      </c>
      <c r="BJ61" s="87">
        <v>48</v>
      </c>
      <c r="BK61" s="130">
        <v>159</v>
      </c>
      <c r="BL61" s="130">
        <v>96</v>
      </c>
      <c r="BM61" s="1"/>
      <c r="BN61" s="12"/>
      <c r="BO61" s="2">
        <v>1637</v>
      </c>
      <c r="BP61" s="1">
        <v>1686</v>
      </c>
      <c r="BQ61" s="13">
        <v>464</v>
      </c>
      <c r="BR61" s="1"/>
      <c r="BS61" s="1"/>
      <c r="BT61" s="13"/>
      <c r="BU61" s="1">
        <v>3465</v>
      </c>
      <c r="BV61" s="1">
        <v>1230</v>
      </c>
      <c r="BW61" s="14">
        <v>59</v>
      </c>
      <c r="BX61" s="14"/>
      <c r="BY61" s="1"/>
      <c r="BZ61" s="1"/>
      <c r="CA61" s="1"/>
      <c r="CB61" s="1"/>
      <c r="CC61" s="1"/>
      <c r="CD61" s="1"/>
      <c r="CE61" s="1"/>
      <c r="CF61" s="14">
        <v>3570</v>
      </c>
      <c r="CG61" s="1">
        <v>892</v>
      </c>
      <c r="CH61" s="1">
        <v>4211</v>
      </c>
      <c r="CI61" s="1">
        <v>1050</v>
      </c>
      <c r="CJ61" s="1">
        <v>2620</v>
      </c>
      <c r="CK61" s="1">
        <v>724</v>
      </c>
      <c r="CL61" s="1">
        <v>2779</v>
      </c>
      <c r="CM61" s="12">
        <v>871</v>
      </c>
    </row>
    <row r="62" spans="1:91" x14ac:dyDescent="0.3">
      <c r="A62" s="15">
        <v>2010</v>
      </c>
      <c r="B62" s="54"/>
      <c r="C62" s="15">
        <f t="shared" si="11"/>
        <v>74</v>
      </c>
      <c r="D62" s="15">
        <v>1</v>
      </c>
      <c r="E62" s="43">
        <v>3481</v>
      </c>
      <c r="F62" s="43">
        <v>12</v>
      </c>
      <c r="G62" s="43">
        <v>3469</v>
      </c>
      <c r="H62" s="43">
        <v>3224</v>
      </c>
      <c r="I62" s="30">
        <f t="shared" si="8"/>
        <v>92.937445949841461</v>
      </c>
      <c r="J62" s="15">
        <f t="shared" si="9"/>
        <v>245</v>
      </c>
      <c r="K62" s="17">
        <f t="shared" si="10"/>
        <v>257</v>
      </c>
      <c r="L62" s="17" t="e">
        <f t="shared" si="3"/>
        <v>#REF!</v>
      </c>
      <c r="M62" s="19"/>
      <c r="N62" s="20"/>
      <c r="O62" s="20"/>
      <c r="P62" s="20"/>
      <c r="Q62" s="21"/>
      <c r="R62" s="20"/>
      <c r="S62" s="20"/>
      <c r="T62" s="20"/>
      <c r="U62" s="20"/>
      <c r="V62" s="21"/>
      <c r="W62" s="72"/>
      <c r="X62" s="72"/>
      <c r="Y62" s="72"/>
      <c r="Z62" s="72"/>
      <c r="AA62" s="72"/>
      <c r="AB62" s="72"/>
      <c r="AC62" s="73"/>
      <c r="AD62" s="31"/>
      <c r="AE62" s="31"/>
      <c r="AF62" s="31"/>
      <c r="AG62" s="31"/>
      <c r="AH62" s="74"/>
      <c r="AI62" s="40">
        <v>1437</v>
      </c>
      <c r="AJ62" s="40">
        <v>1421</v>
      </c>
      <c r="AK62" s="40">
        <v>1385</v>
      </c>
      <c r="AL62" s="77"/>
      <c r="AM62" s="77"/>
      <c r="AN62" s="77"/>
      <c r="AO62" s="66">
        <f t="shared" si="7"/>
        <v>4395</v>
      </c>
      <c r="AP62" s="18">
        <v>1500</v>
      </c>
      <c r="AQ62" s="17"/>
      <c r="AR62" s="17"/>
      <c r="AS62" s="43"/>
      <c r="AT62" s="77"/>
      <c r="AU62" s="39">
        <f t="shared" si="4"/>
        <v>1.0306120374135828</v>
      </c>
      <c r="AV62" s="88">
        <v>101371</v>
      </c>
      <c r="AW62" s="88">
        <v>22938</v>
      </c>
      <c r="AX62" s="58">
        <f t="shared" si="12"/>
        <v>0.81026131733927853</v>
      </c>
      <c r="AY62" s="39">
        <f t="shared" si="13"/>
        <v>1.0391038129696633</v>
      </c>
      <c r="AZ62" s="60">
        <v>82137</v>
      </c>
      <c r="BA62" s="89">
        <v>1663</v>
      </c>
      <c r="BB62" s="80">
        <v>28</v>
      </c>
      <c r="BC62" s="80"/>
      <c r="BD62" s="80"/>
      <c r="BE62" s="80"/>
      <c r="BF62" s="80"/>
      <c r="BG62" s="80">
        <v>4827</v>
      </c>
      <c r="BH62" s="80">
        <v>2669</v>
      </c>
      <c r="BI62" s="80">
        <v>57</v>
      </c>
      <c r="BJ62" s="80">
        <v>20</v>
      </c>
      <c r="BK62" s="131">
        <f>BG58-BG57</f>
        <v>604</v>
      </c>
      <c r="BL62" s="131">
        <f>BH58-BH57</f>
        <v>335</v>
      </c>
      <c r="BM62" s="15"/>
      <c r="BN62" s="26"/>
      <c r="BO62" s="16">
        <v>1726</v>
      </c>
      <c r="BP62" s="15">
        <v>1792</v>
      </c>
      <c r="BQ62" s="27">
        <v>591</v>
      </c>
      <c r="BR62" s="15"/>
      <c r="BS62" s="15"/>
      <c r="BT62" s="27"/>
      <c r="BU62" s="15">
        <v>2688</v>
      </c>
      <c r="BV62" s="15">
        <v>854</v>
      </c>
      <c r="BW62" s="28">
        <v>3</v>
      </c>
      <c r="BX62" s="28"/>
      <c r="BY62" s="15"/>
      <c r="BZ62" s="15"/>
      <c r="CA62" s="15"/>
      <c r="CB62" s="15"/>
      <c r="CC62" s="15"/>
      <c r="CD62" s="15"/>
      <c r="CE62" s="15"/>
      <c r="CF62" s="28">
        <v>3736</v>
      </c>
      <c r="CG62" s="15">
        <v>1055</v>
      </c>
      <c r="CH62" s="15">
        <v>3368</v>
      </c>
      <c r="CI62" s="15">
        <v>875</v>
      </c>
      <c r="CJ62" s="15">
        <v>2518</v>
      </c>
      <c r="CK62" s="15">
        <v>628</v>
      </c>
      <c r="CL62" s="15">
        <v>2610</v>
      </c>
      <c r="CM62" s="26">
        <v>721</v>
      </c>
    </row>
    <row r="63" spans="1:91" x14ac:dyDescent="0.3">
      <c r="A63" s="1">
        <v>2011</v>
      </c>
      <c r="B63" s="61"/>
      <c r="C63" s="1">
        <f t="shared" si="11"/>
        <v>75</v>
      </c>
      <c r="D63" s="1">
        <v>1</v>
      </c>
      <c r="E63" s="44">
        <v>3391</v>
      </c>
      <c r="F63" s="44">
        <f t="shared" ref="F63:F72" si="15">E63-G63</f>
        <v>15</v>
      </c>
      <c r="G63" s="44">
        <v>3376</v>
      </c>
      <c r="H63" s="44">
        <v>3095</v>
      </c>
      <c r="I63" s="33">
        <f t="shared" si="8"/>
        <v>91.676540284360186</v>
      </c>
      <c r="J63" s="1">
        <f t="shared" si="9"/>
        <v>281</v>
      </c>
      <c r="K63" s="3">
        <f t="shared" si="10"/>
        <v>296</v>
      </c>
      <c r="L63" s="3" t="e">
        <f t="shared" si="3"/>
        <v>#REF!</v>
      </c>
      <c r="M63" s="81">
        <f t="shared" ref="M63:M68" si="16">X63/W63*100</f>
        <v>1.0146943218237892</v>
      </c>
      <c r="N63" s="82">
        <f t="shared" ref="N63:N68" si="17">Y63/W63*100</f>
        <v>28.406603374251677</v>
      </c>
      <c r="O63" s="82">
        <f t="shared" ref="O63:O68" si="18">Z63/W63*100</f>
        <v>33.653020499486004</v>
      </c>
      <c r="P63" s="82">
        <f t="shared" ref="P63:P68" si="19">AA63/W63*100</f>
        <v>23.542359557356232</v>
      </c>
      <c r="Q63" s="83">
        <f t="shared" ref="Q63:Q68" si="20">AB63/W63*100</f>
        <v>13.383322247082299</v>
      </c>
      <c r="R63" s="82">
        <f t="shared" ref="R63:R68" si="21">AD63/AC63*100</f>
        <v>1.5179643988205744</v>
      </c>
      <c r="S63" s="82">
        <f t="shared" ref="S63:S68" si="22">AE63/AC63*100</f>
        <v>47.859560991591131</v>
      </c>
      <c r="T63" s="82">
        <f t="shared" ref="T63:T68" si="23">AF63/AC63*100</f>
        <v>30.479414655454846</v>
      </c>
      <c r="U63" s="82">
        <f t="shared" ref="U63:U68" si="24">AG63/AC63*100</f>
        <v>14.114884787594189</v>
      </c>
      <c r="V63" s="83">
        <f t="shared" ref="V63:V68" si="25">AH63/AC63*100</f>
        <v>6.0281751665392598</v>
      </c>
      <c r="W63" s="1">
        <f t="shared" ref="W63:W68" si="26">SUM(X63:AB63)</f>
        <v>82685</v>
      </c>
      <c r="X63" s="1">
        <v>839</v>
      </c>
      <c r="Y63" s="34">
        <v>23488</v>
      </c>
      <c r="Z63" s="34">
        <v>27826</v>
      </c>
      <c r="AA63" s="34">
        <v>19466</v>
      </c>
      <c r="AB63" s="34">
        <v>11066</v>
      </c>
      <c r="AC63" s="2">
        <f t="shared" ref="AC63:AC68" si="27">SUM(AD63:AH63)</f>
        <v>18314</v>
      </c>
      <c r="AD63" s="1">
        <v>278</v>
      </c>
      <c r="AE63" s="34">
        <v>8765</v>
      </c>
      <c r="AF63" s="34">
        <v>5582</v>
      </c>
      <c r="AG63" s="34">
        <v>2585</v>
      </c>
      <c r="AH63" s="70">
        <v>1104</v>
      </c>
      <c r="AI63" s="36">
        <v>1242</v>
      </c>
      <c r="AJ63" s="36">
        <v>1242</v>
      </c>
      <c r="AK63" s="36">
        <v>1223</v>
      </c>
      <c r="AL63" s="77"/>
      <c r="AM63" s="77"/>
      <c r="AN63" s="77"/>
      <c r="AO63" s="68">
        <f t="shared" si="7"/>
        <v>4167</v>
      </c>
      <c r="AP63" s="4">
        <v>1318</v>
      </c>
      <c r="AQ63" s="3"/>
      <c r="AR63" s="3"/>
      <c r="AS63" s="44"/>
      <c r="AT63" s="77"/>
      <c r="AU63" s="35">
        <f t="shared" si="4"/>
        <v>1.0292095372443795</v>
      </c>
      <c r="AV63" s="85">
        <v>104332</v>
      </c>
      <c r="AW63" s="85">
        <v>23984</v>
      </c>
      <c r="AX63" s="62">
        <f t="shared" si="12"/>
        <v>0.81033623432887325</v>
      </c>
      <c r="AY63" s="35">
        <f t="shared" si="13"/>
        <v>1.0293046982480489</v>
      </c>
      <c r="AZ63" s="64">
        <v>84544</v>
      </c>
      <c r="BA63" s="86">
        <v>1714</v>
      </c>
      <c r="BB63" s="87">
        <v>23</v>
      </c>
      <c r="BC63" s="34">
        <v>1716</v>
      </c>
      <c r="BD63" s="1">
        <v>820</v>
      </c>
      <c r="BE63" s="1">
        <v>22</v>
      </c>
      <c r="BF63" s="1">
        <v>10</v>
      </c>
      <c r="BG63" s="87">
        <v>5814</v>
      </c>
      <c r="BH63" s="87">
        <v>3080</v>
      </c>
      <c r="BI63" s="87">
        <v>85</v>
      </c>
      <c r="BJ63" s="87">
        <v>42</v>
      </c>
      <c r="BK63" s="90">
        <v>654</v>
      </c>
      <c r="BL63" s="90">
        <v>363</v>
      </c>
      <c r="BM63" s="90">
        <v>12</v>
      </c>
      <c r="BN63" s="91">
        <v>8</v>
      </c>
      <c r="BO63" s="2">
        <v>1648</v>
      </c>
      <c r="BP63" s="1">
        <v>1721</v>
      </c>
      <c r="BQ63" s="13">
        <v>509</v>
      </c>
      <c r="BR63" s="1"/>
      <c r="BS63" s="1"/>
      <c r="BT63" s="13"/>
      <c r="BU63" s="1">
        <v>2535</v>
      </c>
      <c r="BV63" s="1">
        <v>722</v>
      </c>
      <c r="BW63" s="14">
        <v>20</v>
      </c>
      <c r="BX63" s="14"/>
      <c r="BY63" s="1"/>
      <c r="BZ63" s="1"/>
      <c r="CA63" s="1"/>
      <c r="CB63" s="1"/>
      <c r="CC63" s="1"/>
      <c r="CD63" s="1"/>
      <c r="CE63" s="1"/>
      <c r="CF63" s="14">
        <v>3503</v>
      </c>
      <c r="CG63" s="1">
        <v>950</v>
      </c>
      <c r="CH63" s="1">
        <v>3579</v>
      </c>
      <c r="CI63" s="1">
        <v>1020</v>
      </c>
      <c r="CJ63" s="1">
        <v>1845</v>
      </c>
      <c r="CK63" s="1">
        <v>521</v>
      </c>
      <c r="CL63" s="1">
        <v>2587</v>
      </c>
      <c r="CM63" s="12">
        <v>680</v>
      </c>
    </row>
    <row r="64" spans="1:91" x14ac:dyDescent="0.3">
      <c r="A64" s="15">
        <v>2012</v>
      </c>
      <c r="B64" s="54"/>
      <c r="C64" s="15">
        <f t="shared" si="11"/>
        <v>76</v>
      </c>
      <c r="D64" s="15">
        <v>1</v>
      </c>
      <c r="E64" s="43">
        <v>3515</v>
      </c>
      <c r="F64" s="43">
        <f t="shared" si="15"/>
        <v>69</v>
      </c>
      <c r="G64" s="43">
        <v>3446</v>
      </c>
      <c r="H64" s="43">
        <v>3208</v>
      </c>
      <c r="I64" s="30">
        <f t="shared" si="8"/>
        <v>93.0934416715032</v>
      </c>
      <c r="J64" s="15">
        <f t="shared" si="9"/>
        <v>238</v>
      </c>
      <c r="K64" s="17">
        <f t="shared" si="10"/>
        <v>307</v>
      </c>
      <c r="L64" s="17" t="e">
        <f t="shared" si="3"/>
        <v>#REF!</v>
      </c>
      <c r="M64" s="55">
        <f t="shared" si="16"/>
        <v>2.3074300894525881</v>
      </c>
      <c r="N64" s="56">
        <f t="shared" si="17"/>
        <v>29.504072972623511</v>
      </c>
      <c r="O64" s="56">
        <f t="shared" si="18"/>
        <v>32.701327095553232</v>
      </c>
      <c r="P64" s="56">
        <f t="shared" si="19"/>
        <v>22.781611086948857</v>
      </c>
      <c r="Q64" s="57">
        <f t="shared" si="20"/>
        <v>12.705558755421814</v>
      </c>
      <c r="R64" s="56">
        <f t="shared" si="21"/>
        <v>3.1806749109201427</v>
      </c>
      <c r="S64" s="56">
        <f t="shared" si="22"/>
        <v>48.543282330748269</v>
      </c>
      <c r="T64" s="56">
        <f t="shared" si="23"/>
        <v>29.081953468874449</v>
      </c>
      <c r="U64" s="56">
        <f t="shared" si="24"/>
        <v>13.545378327394674</v>
      </c>
      <c r="V64" s="57">
        <f t="shared" si="25"/>
        <v>5.6487109620624611</v>
      </c>
      <c r="W64" s="31">
        <f t="shared" si="26"/>
        <v>85073</v>
      </c>
      <c r="X64" s="31">
        <v>1963</v>
      </c>
      <c r="Y64" s="31">
        <v>25100</v>
      </c>
      <c r="Z64" s="31">
        <v>27820</v>
      </c>
      <c r="AA64" s="31">
        <v>19381</v>
      </c>
      <c r="AB64" s="31">
        <v>10809</v>
      </c>
      <c r="AC64" s="16">
        <f t="shared" si="27"/>
        <v>19084</v>
      </c>
      <c r="AD64" s="15">
        <v>607</v>
      </c>
      <c r="AE64" s="31">
        <v>9264</v>
      </c>
      <c r="AF64" s="31">
        <v>5550</v>
      </c>
      <c r="AG64" s="31">
        <v>2585</v>
      </c>
      <c r="AH64" s="74">
        <v>1078</v>
      </c>
      <c r="AI64" s="40">
        <v>1185</v>
      </c>
      <c r="AJ64" s="40">
        <v>1185</v>
      </c>
      <c r="AK64" s="40">
        <v>1175</v>
      </c>
      <c r="AL64" s="77"/>
      <c r="AM64" s="77"/>
      <c r="AN64" s="77"/>
      <c r="AO64" s="66">
        <f t="shared" si="7"/>
        <v>3783</v>
      </c>
      <c r="AP64" s="18">
        <v>1241</v>
      </c>
      <c r="AQ64" s="17"/>
      <c r="AR64" s="17"/>
      <c r="AS64" s="43"/>
      <c r="AT64" s="77"/>
      <c r="AU64" s="39">
        <f t="shared" si="4"/>
        <v>1.0276904497182073</v>
      </c>
      <c r="AV64" s="88">
        <v>107221</v>
      </c>
      <c r="AW64" s="88">
        <v>25005</v>
      </c>
      <c r="AX64" s="58">
        <f t="shared" si="12"/>
        <v>0.80917917199056155</v>
      </c>
      <c r="AY64" s="39">
        <f t="shared" si="13"/>
        <v>1.0262230317940955</v>
      </c>
      <c r="AZ64" s="60">
        <v>86761</v>
      </c>
      <c r="BA64" s="92">
        <v>1675</v>
      </c>
      <c r="BB64" s="72">
        <v>22</v>
      </c>
      <c r="BC64" s="93">
        <v>1713</v>
      </c>
      <c r="BD64" s="93">
        <v>797</v>
      </c>
      <c r="BE64" s="93">
        <v>24</v>
      </c>
      <c r="BF64" s="93">
        <v>10</v>
      </c>
      <c r="BG64" s="72">
        <v>6522</v>
      </c>
      <c r="BH64" s="72">
        <v>3351</v>
      </c>
      <c r="BI64" s="72">
        <v>76</v>
      </c>
      <c r="BJ64" s="72">
        <v>44</v>
      </c>
      <c r="BK64" s="93">
        <v>808</v>
      </c>
      <c r="BL64" s="93">
        <v>464</v>
      </c>
      <c r="BM64" s="93">
        <v>13</v>
      </c>
      <c r="BN64" s="94">
        <v>5</v>
      </c>
      <c r="BO64" s="92">
        <v>1604</v>
      </c>
      <c r="BP64" s="72">
        <v>1677</v>
      </c>
      <c r="BQ64" s="95">
        <v>551</v>
      </c>
      <c r="BR64" s="15"/>
      <c r="BS64" s="15"/>
      <c r="BT64" s="27"/>
      <c r="BU64" s="72">
        <v>2463</v>
      </c>
      <c r="BV64" s="80">
        <v>647</v>
      </c>
      <c r="BW64" s="28">
        <v>15</v>
      </c>
      <c r="BX64" s="28"/>
      <c r="BY64" s="15"/>
      <c r="BZ64" s="15"/>
      <c r="CA64" s="15"/>
      <c r="CB64" s="15"/>
      <c r="CC64" s="15"/>
      <c r="CD64" s="15"/>
      <c r="CE64" s="15"/>
      <c r="CF64" s="96">
        <v>3450</v>
      </c>
      <c r="CG64" s="72">
        <v>1015</v>
      </c>
      <c r="CH64" s="72">
        <v>3412</v>
      </c>
      <c r="CI64" s="80">
        <v>933</v>
      </c>
      <c r="CJ64" s="72">
        <v>1948</v>
      </c>
      <c r="CK64" s="80">
        <v>588</v>
      </c>
      <c r="CL64" s="72">
        <v>1886</v>
      </c>
      <c r="CM64" s="97">
        <v>530</v>
      </c>
    </row>
    <row r="65" spans="1:91" ht="24" x14ac:dyDescent="0.3">
      <c r="A65" s="1">
        <v>2013</v>
      </c>
      <c r="B65" s="61" t="s">
        <v>11</v>
      </c>
      <c r="C65" s="1">
        <f t="shared" si="11"/>
        <v>77</v>
      </c>
      <c r="D65" s="1">
        <v>1</v>
      </c>
      <c r="E65" s="44">
        <v>3338</v>
      </c>
      <c r="F65" s="44">
        <f t="shared" si="15"/>
        <v>51</v>
      </c>
      <c r="G65" s="44">
        <v>3287</v>
      </c>
      <c r="H65" s="44">
        <v>3032</v>
      </c>
      <c r="I65" s="33">
        <f t="shared" si="8"/>
        <v>92.242166108913906</v>
      </c>
      <c r="J65" s="1">
        <f t="shared" si="9"/>
        <v>255</v>
      </c>
      <c r="K65" s="3">
        <f t="shared" si="10"/>
        <v>306</v>
      </c>
      <c r="L65" s="3" t="e">
        <f t="shared" si="3"/>
        <v>#REF!</v>
      </c>
      <c r="M65" s="81">
        <f t="shared" si="16"/>
        <v>3.8889201191747707</v>
      </c>
      <c r="N65" s="82">
        <f t="shared" si="17"/>
        <v>31.122603856315699</v>
      </c>
      <c r="O65" s="82">
        <f t="shared" si="18"/>
        <v>31.40480071954579</v>
      </c>
      <c r="P65" s="82">
        <f t="shared" si="19"/>
        <v>21.762887177469224</v>
      </c>
      <c r="Q65" s="83">
        <f t="shared" si="20"/>
        <v>11.82078812749452</v>
      </c>
      <c r="R65" s="82">
        <f t="shared" si="21"/>
        <v>5.6366723259762308</v>
      </c>
      <c r="S65" s="82">
        <f t="shared" si="22"/>
        <v>49.81809362114965</v>
      </c>
      <c r="T65" s="82">
        <f t="shared" si="23"/>
        <v>27.004608294930875</v>
      </c>
      <c r="U65" s="82">
        <f t="shared" si="24"/>
        <v>12.52486053844288</v>
      </c>
      <c r="V65" s="83">
        <f t="shared" si="25"/>
        <v>5.0157652195003637</v>
      </c>
      <c r="W65" s="34">
        <f t="shared" si="26"/>
        <v>88945</v>
      </c>
      <c r="X65" s="34">
        <v>3459</v>
      </c>
      <c r="Y65" s="34">
        <v>27682</v>
      </c>
      <c r="Z65" s="34">
        <v>27933</v>
      </c>
      <c r="AA65" s="34">
        <v>19357</v>
      </c>
      <c r="AB65" s="34">
        <v>10514</v>
      </c>
      <c r="AC65" s="76">
        <f t="shared" si="27"/>
        <v>20615</v>
      </c>
      <c r="AD65" s="34">
        <v>1162</v>
      </c>
      <c r="AE65" s="34">
        <v>10270</v>
      </c>
      <c r="AF65" s="34">
        <v>5567</v>
      </c>
      <c r="AG65" s="34">
        <v>2582</v>
      </c>
      <c r="AH65" s="70">
        <v>1034</v>
      </c>
      <c r="AI65" s="36">
        <v>676</v>
      </c>
      <c r="AJ65" s="36">
        <v>669</v>
      </c>
      <c r="AK65" s="36">
        <v>662</v>
      </c>
      <c r="AL65" s="77"/>
      <c r="AM65" s="77"/>
      <c r="AN65" s="77"/>
      <c r="AO65" s="68">
        <f t="shared" si="7"/>
        <v>3060</v>
      </c>
      <c r="AP65" s="4">
        <v>1336</v>
      </c>
      <c r="AQ65" s="3"/>
      <c r="AR65" s="3"/>
      <c r="AS65" s="44"/>
      <c r="AT65" s="77"/>
      <c r="AU65" s="35">
        <f t="shared" si="4"/>
        <v>1.0212551645666428</v>
      </c>
      <c r="AV65" s="85">
        <v>109500</v>
      </c>
      <c r="AW65" s="85">
        <v>26148</v>
      </c>
      <c r="AX65" s="98">
        <f t="shared" si="12"/>
        <v>0.82840182648401828</v>
      </c>
      <c r="AY65" s="35">
        <f t="shared" si="13"/>
        <v>1.0455158423715725</v>
      </c>
      <c r="AZ65" s="64">
        <v>90710</v>
      </c>
      <c r="BA65" s="99">
        <v>1705</v>
      </c>
      <c r="BB65" s="69">
        <v>27</v>
      </c>
      <c r="BC65" s="100">
        <v>1748</v>
      </c>
      <c r="BD65" s="100">
        <v>764</v>
      </c>
      <c r="BE65" s="100">
        <v>15</v>
      </c>
      <c r="BF65" s="100">
        <v>4</v>
      </c>
      <c r="BG65" s="69">
        <v>6759</v>
      </c>
      <c r="BH65" s="69">
        <v>3290</v>
      </c>
      <c r="BI65" s="69">
        <v>77</v>
      </c>
      <c r="BJ65" s="69">
        <v>39</v>
      </c>
      <c r="BK65" s="100">
        <v>1486</v>
      </c>
      <c r="BL65" s="100">
        <v>824</v>
      </c>
      <c r="BM65" s="100">
        <v>25</v>
      </c>
      <c r="BN65" s="101">
        <v>13</v>
      </c>
      <c r="BO65" s="99">
        <v>1681</v>
      </c>
      <c r="BP65" s="69">
        <v>1768</v>
      </c>
      <c r="BQ65" s="102">
        <v>542</v>
      </c>
      <c r="BR65" s="1"/>
      <c r="BS65" s="1"/>
      <c r="BT65" s="13"/>
      <c r="BU65" s="69">
        <v>1767</v>
      </c>
      <c r="BV65" s="87">
        <v>509</v>
      </c>
      <c r="BW65" s="14">
        <v>13</v>
      </c>
      <c r="BX65" s="14"/>
      <c r="BY65" s="1"/>
      <c r="BZ65" s="1"/>
      <c r="CA65" s="1"/>
      <c r="CB65" s="1"/>
      <c r="CC65" s="1"/>
      <c r="CD65" s="1"/>
      <c r="CE65" s="1"/>
      <c r="CF65" s="103">
        <v>3467</v>
      </c>
      <c r="CG65" s="87">
        <v>964</v>
      </c>
      <c r="CH65" s="69">
        <v>3403</v>
      </c>
      <c r="CI65" s="69">
        <v>1008</v>
      </c>
      <c r="CJ65" s="69">
        <v>1791</v>
      </c>
      <c r="CK65" s="87">
        <v>540</v>
      </c>
      <c r="CL65" s="69">
        <v>1925</v>
      </c>
      <c r="CM65" s="104">
        <v>560</v>
      </c>
    </row>
    <row r="66" spans="1:91" ht="36" x14ac:dyDescent="0.3">
      <c r="A66" s="15">
        <v>2014</v>
      </c>
      <c r="B66" s="54" t="s">
        <v>12</v>
      </c>
      <c r="C66" s="15">
        <f t="shared" si="11"/>
        <v>78</v>
      </c>
      <c r="D66" s="15">
        <v>1</v>
      </c>
      <c r="E66" s="43">
        <v>3450</v>
      </c>
      <c r="F66" s="43">
        <f t="shared" si="15"/>
        <v>38</v>
      </c>
      <c r="G66" s="43">
        <v>3412</v>
      </c>
      <c r="H66" s="43">
        <v>3200</v>
      </c>
      <c r="I66" s="30">
        <f t="shared" si="8"/>
        <v>93.78663540445487</v>
      </c>
      <c r="J66" s="15">
        <f t="shared" si="9"/>
        <v>212</v>
      </c>
      <c r="K66" s="17">
        <f t="shared" si="10"/>
        <v>250</v>
      </c>
      <c r="L66" s="17" t="e">
        <f t="shared" si="3"/>
        <v>#REF!</v>
      </c>
      <c r="M66" s="55">
        <f t="shared" si="16"/>
        <v>5.5681656194830973</v>
      </c>
      <c r="N66" s="56">
        <f t="shared" si="17"/>
        <v>31.512001491277125</v>
      </c>
      <c r="O66" s="56">
        <f t="shared" si="18"/>
        <v>30.584339397129291</v>
      </c>
      <c r="P66" s="56">
        <f t="shared" si="19"/>
        <v>21.11692270579076</v>
      </c>
      <c r="Q66" s="57">
        <f t="shared" si="20"/>
        <v>11.218570786319725</v>
      </c>
      <c r="R66" s="56">
        <f t="shared" si="21"/>
        <v>8.4572490706319705</v>
      </c>
      <c r="S66" s="56">
        <f t="shared" si="22"/>
        <v>49.368029739776951</v>
      </c>
      <c r="T66" s="56">
        <f t="shared" si="23"/>
        <v>25.641263940520449</v>
      </c>
      <c r="U66" s="56">
        <f t="shared" si="24"/>
        <v>11.909851301115241</v>
      </c>
      <c r="V66" s="57">
        <f t="shared" si="25"/>
        <v>4.623605947955391</v>
      </c>
      <c r="W66" s="31">
        <f t="shared" si="26"/>
        <v>91197</v>
      </c>
      <c r="X66" s="31">
        <v>5078</v>
      </c>
      <c r="Y66" s="31">
        <v>28738</v>
      </c>
      <c r="Z66" s="31">
        <v>27892</v>
      </c>
      <c r="AA66" s="31">
        <v>19258</v>
      </c>
      <c r="AB66" s="31">
        <v>10231</v>
      </c>
      <c r="AC66" s="73">
        <f t="shared" si="27"/>
        <v>21520</v>
      </c>
      <c r="AD66" s="31">
        <v>1820</v>
      </c>
      <c r="AE66" s="31">
        <v>10624</v>
      </c>
      <c r="AF66" s="31">
        <v>5518</v>
      </c>
      <c r="AG66" s="31">
        <v>2563</v>
      </c>
      <c r="AH66" s="26">
        <v>995</v>
      </c>
      <c r="AI66" s="40">
        <v>708</v>
      </c>
      <c r="AJ66" s="40">
        <v>698</v>
      </c>
      <c r="AK66" s="40">
        <v>698</v>
      </c>
      <c r="AL66" s="77"/>
      <c r="AM66" s="77"/>
      <c r="AN66" s="77"/>
      <c r="AO66" s="66">
        <f t="shared" si="7"/>
        <v>2535</v>
      </c>
      <c r="AP66" s="18">
        <v>1242</v>
      </c>
      <c r="AQ66" s="17"/>
      <c r="AR66" s="17"/>
      <c r="AS66" s="43"/>
      <c r="AT66" s="77"/>
      <c r="AU66" s="39">
        <f t="shared" si="4"/>
        <v>1.0265479452054795</v>
      </c>
      <c r="AV66" s="88">
        <v>112407</v>
      </c>
      <c r="AW66" s="88">
        <v>27398</v>
      </c>
      <c r="AX66" s="98">
        <f t="shared" si="12"/>
        <v>0.82716378873201846</v>
      </c>
      <c r="AY66" s="39">
        <f t="shared" si="13"/>
        <v>1.025013780178591</v>
      </c>
      <c r="AZ66" s="60">
        <v>92979</v>
      </c>
      <c r="BA66" s="92">
        <v>1707</v>
      </c>
      <c r="BB66" s="72">
        <v>25</v>
      </c>
      <c r="BC66" s="93">
        <v>1780</v>
      </c>
      <c r="BD66" s="93">
        <v>792</v>
      </c>
      <c r="BE66" s="93">
        <v>23</v>
      </c>
      <c r="BF66" s="93">
        <v>8</v>
      </c>
      <c r="BG66" s="72">
        <v>6888</v>
      </c>
      <c r="BH66" s="72">
        <v>3181</v>
      </c>
      <c r="BI66" s="72">
        <v>67</v>
      </c>
      <c r="BJ66" s="72">
        <v>39</v>
      </c>
      <c r="BK66" s="93">
        <v>1655</v>
      </c>
      <c r="BL66" s="93">
        <v>900</v>
      </c>
      <c r="BM66" s="93">
        <v>19</v>
      </c>
      <c r="BN66" s="94">
        <v>10</v>
      </c>
      <c r="BO66" s="92">
        <v>1678</v>
      </c>
      <c r="BP66" s="72">
        <v>1749</v>
      </c>
      <c r="BQ66" s="95">
        <v>583</v>
      </c>
      <c r="BR66" s="15"/>
      <c r="BS66" s="15"/>
      <c r="BT66" s="27"/>
      <c r="BU66" s="72">
        <v>1798</v>
      </c>
      <c r="BV66" s="72">
        <v>550</v>
      </c>
      <c r="BW66" s="96">
        <v>3</v>
      </c>
      <c r="BX66" s="105"/>
      <c r="BY66" s="72"/>
      <c r="BZ66" s="80"/>
      <c r="CA66" s="72"/>
      <c r="CB66" s="80"/>
      <c r="CC66" s="15"/>
      <c r="CD66" s="15"/>
      <c r="CE66" s="15"/>
      <c r="CF66" s="96">
        <v>3504</v>
      </c>
      <c r="CG66" s="72">
        <v>1035</v>
      </c>
      <c r="CH66" s="72">
        <v>3426</v>
      </c>
      <c r="CI66" s="80">
        <v>996</v>
      </c>
      <c r="CJ66" s="72">
        <v>1800</v>
      </c>
      <c r="CK66" s="80">
        <v>590</v>
      </c>
      <c r="CL66" s="72">
        <v>1854</v>
      </c>
      <c r="CM66" s="97">
        <v>538</v>
      </c>
    </row>
    <row r="67" spans="1:91" ht="24" x14ac:dyDescent="0.3">
      <c r="A67" s="1">
        <v>2015</v>
      </c>
      <c r="B67" s="32" t="s">
        <v>13</v>
      </c>
      <c r="C67" s="1">
        <f t="shared" si="11"/>
        <v>79</v>
      </c>
      <c r="D67" s="1">
        <v>1</v>
      </c>
      <c r="E67" s="44">
        <v>3310</v>
      </c>
      <c r="F67" s="44">
        <f t="shared" si="15"/>
        <v>8</v>
      </c>
      <c r="G67" s="44">
        <v>3302</v>
      </c>
      <c r="H67" s="44">
        <v>3125</v>
      </c>
      <c r="I67" s="33">
        <f t="shared" si="8"/>
        <v>94.639612356147779</v>
      </c>
      <c r="J67" s="1">
        <f t="shared" si="9"/>
        <v>177</v>
      </c>
      <c r="K67" s="3">
        <f t="shared" si="10"/>
        <v>185</v>
      </c>
      <c r="L67" s="3" t="e">
        <f t="shared" si="3"/>
        <v>#REF!</v>
      </c>
      <c r="M67" s="81">
        <f t="shared" si="16"/>
        <v>7.4397757905096062</v>
      </c>
      <c r="N67" s="82">
        <f t="shared" si="17"/>
        <v>31.586153780326043</v>
      </c>
      <c r="O67" s="82">
        <f t="shared" si="18"/>
        <v>29.874630952890335</v>
      </c>
      <c r="P67" s="82">
        <f t="shared" si="19"/>
        <v>20.541483034529971</v>
      </c>
      <c r="Q67" s="83">
        <f t="shared" si="20"/>
        <v>10.557956441744041</v>
      </c>
      <c r="R67" s="82">
        <f t="shared" si="21"/>
        <v>11.718262110803819</v>
      </c>
      <c r="S67" s="82">
        <f t="shared" si="22"/>
        <v>47.818717102328485</v>
      </c>
      <c r="T67" s="82">
        <f t="shared" si="23"/>
        <v>24.841645106610759</v>
      </c>
      <c r="U67" s="82">
        <f t="shared" si="24"/>
        <v>11.361406013025247</v>
      </c>
      <c r="V67" s="83">
        <f t="shared" si="25"/>
        <v>4.2599696672316885</v>
      </c>
      <c r="W67" s="34">
        <f t="shared" si="26"/>
        <v>93484</v>
      </c>
      <c r="X67" s="34">
        <v>6955</v>
      </c>
      <c r="Y67" s="34">
        <v>29528</v>
      </c>
      <c r="Z67" s="34">
        <v>27928</v>
      </c>
      <c r="AA67" s="34">
        <v>19203</v>
      </c>
      <c r="AB67" s="34">
        <v>9870</v>
      </c>
      <c r="AC67" s="76">
        <f t="shared" si="27"/>
        <v>22418</v>
      </c>
      <c r="AD67" s="34">
        <v>2627</v>
      </c>
      <c r="AE67" s="34">
        <v>10720</v>
      </c>
      <c r="AF67" s="34">
        <v>5569</v>
      </c>
      <c r="AG67" s="34">
        <v>2547</v>
      </c>
      <c r="AH67" s="12">
        <v>955</v>
      </c>
      <c r="AI67" s="36">
        <v>744</v>
      </c>
      <c r="AJ67" s="36">
        <v>735</v>
      </c>
      <c r="AK67" s="36">
        <v>725</v>
      </c>
      <c r="AL67" s="77"/>
      <c r="AM67" s="77"/>
      <c r="AN67" s="77"/>
      <c r="AO67" s="68">
        <f t="shared" si="7"/>
        <v>2085</v>
      </c>
      <c r="AP67" s="68">
        <v>1071</v>
      </c>
      <c r="AQ67" s="106">
        <v>3128</v>
      </c>
      <c r="AR67" s="106">
        <v>576</v>
      </c>
      <c r="AS67" s="44"/>
      <c r="AT67" s="77"/>
      <c r="AU67" s="35">
        <f t="shared" si="4"/>
        <v>1.0317506916829022</v>
      </c>
      <c r="AV67" s="85">
        <v>115976</v>
      </c>
      <c r="AW67" s="85">
        <v>28598</v>
      </c>
      <c r="AX67" s="98">
        <f t="shared" si="12"/>
        <v>0.81979030144167764</v>
      </c>
      <c r="AY67" s="35">
        <f t="shared" si="13"/>
        <v>1.0225534798180234</v>
      </c>
      <c r="AZ67" s="3">
        <v>95076</v>
      </c>
      <c r="BA67" s="99">
        <v>1270</v>
      </c>
      <c r="BB67" s="87">
        <v>20</v>
      </c>
      <c r="BC67" s="100">
        <v>1381</v>
      </c>
      <c r="BD67" s="100">
        <v>597</v>
      </c>
      <c r="BE67" s="100">
        <v>21</v>
      </c>
      <c r="BF67" s="100">
        <v>8</v>
      </c>
      <c r="BG67" s="69">
        <v>6515</v>
      </c>
      <c r="BH67" s="69">
        <v>2925</v>
      </c>
      <c r="BI67" s="87">
        <v>63</v>
      </c>
      <c r="BJ67" s="87">
        <v>38</v>
      </c>
      <c r="BK67" s="100">
        <v>1638</v>
      </c>
      <c r="BL67" s="90">
        <v>807</v>
      </c>
      <c r="BM67" s="90">
        <v>23</v>
      </c>
      <c r="BN67" s="91">
        <v>8</v>
      </c>
      <c r="BO67" s="2">
        <v>2350</v>
      </c>
      <c r="BP67" s="69">
        <v>2408</v>
      </c>
      <c r="BQ67" s="102">
        <v>762</v>
      </c>
      <c r="BR67" s="1"/>
      <c r="BS67" s="1"/>
      <c r="BT67" s="13"/>
      <c r="BU67" s="69">
        <v>1675</v>
      </c>
      <c r="BV67" s="87">
        <v>491</v>
      </c>
      <c r="BW67" s="14">
        <v>11</v>
      </c>
      <c r="BX67" s="14"/>
      <c r="BY67" s="1"/>
      <c r="BZ67" s="1"/>
      <c r="CA67" s="1"/>
      <c r="CB67" s="1"/>
      <c r="CC67" s="1"/>
      <c r="CD67" s="1"/>
      <c r="CE67" s="1"/>
      <c r="CF67" s="103">
        <v>4612</v>
      </c>
      <c r="CG67" s="69">
        <v>1401</v>
      </c>
      <c r="CH67" s="69">
        <v>3353</v>
      </c>
      <c r="CI67" s="69">
        <v>1004</v>
      </c>
      <c r="CJ67" s="69">
        <v>1644</v>
      </c>
      <c r="CK67" s="87">
        <v>526</v>
      </c>
      <c r="CL67" s="69">
        <v>1823</v>
      </c>
      <c r="CM67" s="104">
        <v>584</v>
      </c>
    </row>
    <row r="68" spans="1:91" x14ac:dyDescent="0.3">
      <c r="A68" s="15">
        <v>2016</v>
      </c>
      <c r="B68" s="15"/>
      <c r="C68" s="16">
        <f t="shared" si="11"/>
        <v>80</v>
      </c>
      <c r="D68" s="15">
        <v>1</v>
      </c>
      <c r="E68" s="43">
        <v>3332</v>
      </c>
      <c r="F68" s="43">
        <f t="shared" si="15"/>
        <v>9</v>
      </c>
      <c r="G68" s="43">
        <v>3323</v>
      </c>
      <c r="H68" s="43">
        <v>3106</v>
      </c>
      <c r="I68" s="30">
        <f t="shared" si="8"/>
        <v>93.469756244357498</v>
      </c>
      <c r="J68" s="15">
        <f t="shared" si="9"/>
        <v>217</v>
      </c>
      <c r="K68" s="17">
        <f t="shared" si="10"/>
        <v>226</v>
      </c>
      <c r="L68" s="17" t="e">
        <f t="shared" si="3"/>
        <v>#REF!</v>
      </c>
      <c r="M68" s="55">
        <f t="shared" si="16"/>
        <v>9.1443127469328331</v>
      </c>
      <c r="N68" s="56">
        <f t="shared" si="17"/>
        <v>31.949469744229571</v>
      </c>
      <c r="O68" s="56">
        <f t="shared" si="18"/>
        <v>29.047619047619051</v>
      </c>
      <c r="P68" s="56">
        <f t="shared" si="19"/>
        <v>19.914743189852359</v>
      </c>
      <c r="Q68" s="57">
        <f t="shared" si="20"/>
        <v>9.9438552713661874</v>
      </c>
      <c r="R68" s="56">
        <f t="shared" si="21"/>
        <v>15.080044516736582</v>
      </c>
      <c r="S68" s="56">
        <f t="shared" si="22"/>
        <v>46.558513825871074</v>
      </c>
      <c r="T68" s="56">
        <f t="shared" si="23"/>
        <v>23.619553120452018</v>
      </c>
      <c r="U68" s="56">
        <f t="shared" si="24"/>
        <v>10.752504066432667</v>
      </c>
      <c r="V68" s="57">
        <f t="shared" si="25"/>
        <v>3.989384470507662</v>
      </c>
      <c r="W68" s="31">
        <f t="shared" si="26"/>
        <v>96180</v>
      </c>
      <c r="X68" s="31">
        <v>8795</v>
      </c>
      <c r="Y68" s="31">
        <v>30729</v>
      </c>
      <c r="Z68" s="31">
        <v>27938</v>
      </c>
      <c r="AA68" s="31">
        <v>19154</v>
      </c>
      <c r="AB68" s="31">
        <v>9564</v>
      </c>
      <c r="AC68" s="73">
        <f t="shared" si="27"/>
        <v>23362</v>
      </c>
      <c r="AD68" s="31">
        <v>3523</v>
      </c>
      <c r="AE68" s="31">
        <v>10877</v>
      </c>
      <c r="AF68" s="31">
        <v>5518</v>
      </c>
      <c r="AG68" s="31">
        <v>2512</v>
      </c>
      <c r="AH68" s="26">
        <v>932</v>
      </c>
      <c r="AI68" s="40">
        <v>654</v>
      </c>
      <c r="AJ68" s="40">
        <v>649</v>
      </c>
      <c r="AK68" s="40">
        <v>644</v>
      </c>
      <c r="AL68" s="77"/>
      <c r="AM68" s="77"/>
      <c r="AN68" s="77"/>
      <c r="AO68" s="66">
        <f t="shared" si="7"/>
        <v>2067</v>
      </c>
      <c r="AP68" s="66">
        <v>1193</v>
      </c>
      <c r="AQ68" s="107">
        <v>3103</v>
      </c>
      <c r="AR68" s="107">
        <v>378</v>
      </c>
      <c r="AS68" s="43"/>
      <c r="AT68" s="77"/>
      <c r="AU68" s="39">
        <f t="shared" si="4"/>
        <v>1.0234531282334276</v>
      </c>
      <c r="AV68" s="88">
        <v>118696</v>
      </c>
      <c r="AW68" s="88">
        <v>29798</v>
      </c>
      <c r="AX68" s="98">
        <f t="shared" si="12"/>
        <v>0.82322066455482912</v>
      </c>
      <c r="AY68" s="39">
        <f t="shared" si="13"/>
        <v>1.0277357061719046</v>
      </c>
      <c r="AZ68" s="53">
        <v>97713</v>
      </c>
      <c r="BA68" s="92">
        <v>1270</v>
      </c>
      <c r="BB68" s="15">
        <v>17</v>
      </c>
      <c r="BC68" s="93">
        <v>1366</v>
      </c>
      <c r="BD68" s="93">
        <v>593</v>
      </c>
      <c r="BE68" s="93">
        <v>12</v>
      </c>
      <c r="BF68" s="93">
        <v>5</v>
      </c>
      <c r="BG68" s="72">
        <v>6084</v>
      </c>
      <c r="BH68" s="72">
        <v>2672</v>
      </c>
      <c r="BI68" s="80">
        <v>60</v>
      </c>
      <c r="BJ68" s="80">
        <v>35</v>
      </c>
      <c r="BK68" s="93">
        <v>1657</v>
      </c>
      <c r="BL68" s="108">
        <v>801</v>
      </c>
      <c r="BM68" s="108">
        <v>25</v>
      </c>
      <c r="BN68" s="109">
        <v>14</v>
      </c>
      <c r="BO68" s="16">
        <v>2350</v>
      </c>
      <c r="BP68" s="31">
        <v>2421</v>
      </c>
      <c r="BQ68" s="27">
        <v>847</v>
      </c>
      <c r="BR68" s="15"/>
      <c r="BS68" s="15"/>
      <c r="BT68" s="27"/>
      <c r="BU68" s="31">
        <v>1691</v>
      </c>
      <c r="BV68" s="15">
        <v>539</v>
      </c>
      <c r="BW68" s="28">
        <v>13</v>
      </c>
      <c r="BX68" s="28"/>
      <c r="BY68" s="15"/>
      <c r="BZ68" s="15"/>
      <c r="CA68" s="15"/>
      <c r="CB68" s="15"/>
      <c r="CC68" s="15"/>
      <c r="CD68" s="15"/>
      <c r="CE68" s="15"/>
      <c r="CF68" s="110">
        <v>4518</v>
      </c>
      <c r="CG68" s="31">
        <v>1480</v>
      </c>
      <c r="CH68" s="31">
        <v>4272</v>
      </c>
      <c r="CI68" s="31">
        <v>1315</v>
      </c>
      <c r="CJ68" s="31">
        <v>1712</v>
      </c>
      <c r="CK68" s="15">
        <v>545</v>
      </c>
      <c r="CL68" s="31">
        <v>1664</v>
      </c>
      <c r="CM68" s="26">
        <v>524</v>
      </c>
    </row>
    <row r="69" spans="1:91" x14ac:dyDescent="0.3">
      <c r="A69" s="1">
        <v>2017</v>
      </c>
      <c r="B69" s="1"/>
      <c r="C69" s="2">
        <f t="shared" si="11"/>
        <v>81</v>
      </c>
      <c r="D69" s="1">
        <v>1</v>
      </c>
      <c r="E69" s="44">
        <v>3346</v>
      </c>
      <c r="F69" s="44">
        <f t="shared" si="15"/>
        <v>10</v>
      </c>
      <c r="G69" s="44">
        <v>3336</v>
      </c>
      <c r="H69" s="44">
        <v>3095</v>
      </c>
      <c r="I69" s="33">
        <f t="shared" si="8"/>
        <v>92.775779376498804</v>
      </c>
      <c r="J69" s="1">
        <f t="shared" si="9"/>
        <v>241</v>
      </c>
      <c r="K69" s="3">
        <f t="shared" si="10"/>
        <v>251</v>
      </c>
      <c r="L69" s="3" t="e">
        <f t="shared" ref="L69:L72" si="28">H69+L68</f>
        <v>#REF!</v>
      </c>
      <c r="M69" s="5"/>
      <c r="N69" s="6"/>
      <c r="O69" s="6"/>
      <c r="P69" s="6"/>
      <c r="Q69" s="7"/>
      <c r="R69" s="6"/>
      <c r="S69" s="6"/>
      <c r="T69" s="6"/>
      <c r="U69" s="6"/>
      <c r="V69" s="7"/>
      <c r="W69" s="69"/>
      <c r="X69" s="69"/>
      <c r="Y69" s="69"/>
      <c r="Z69" s="69"/>
      <c r="AA69" s="69"/>
      <c r="AB69" s="69"/>
      <c r="AC69" s="76"/>
      <c r="AD69" s="34"/>
      <c r="AE69" s="34"/>
      <c r="AF69" s="34"/>
      <c r="AG69" s="34"/>
      <c r="AH69" s="70"/>
      <c r="AI69" s="36">
        <v>693</v>
      </c>
      <c r="AJ69" s="36">
        <v>672</v>
      </c>
      <c r="AK69" s="36">
        <v>667</v>
      </c>
      <c r="AL69" s="77"/>
      <c r="AM69" s="77"/>
      <c r="AN69" s="77"/>
      <c r="AO69" s="68">
        <f t="shared" si="7"/>
        <v>2036</v>
      </c>
      <c r="AP69" s="68">
        <v>1366</v>
      </c>
      <c r="AQ69" s="106">
        <v>3097</v>
      </c>
      <c r="AR69" s="106">
        <v>235</v>
      </c>
      <c r="AS69" s="44"/>
      <c r="AT69" s="77"/>
      <c r="AU69" s="35">
        <f t="shared" si="4"/>
        <v>1.0242215407427377</v>
      </c>
      <c r="AV69" s="85">
        <v>121571</v>
      </c>
      <c r="AW69" s="85">
        <v>30890</v>
      </c>
      <c r="AX69" s="98">
        <f t="shared" si="12"/>
        <v>0.82454697255101961</v>
      </c>
      <c r="AY69" s="35">
        <f t="shared" si="13"/>
        <v>1.0258716854461536</v>
      </c>
      <c r="AZ69" s="52">
        <v>100241</v>
      </c>
      <c r="BA69" s="86">
        <v>262</v>
      </c>
      <c r="BB69" s="1">
        <v>11</v>
      </c>
      <c r="BC69" s="100">
        <v>302</v>
      </c>
      <c r="BD69" s="100">
        <v>130</v>
      </c>
      <c r="BE69" s="100">
        <v>18</v>
      </c>
      <c r="BF69" s="100">
        <v>8</v>
      </c>
      <c r="BG69" s="69">
        <v>4633</v>
      </c>
      <c r="BH69" s="69">
        <v>2028</v>
      </c>
      <c r="BI69" s="87">
        <v>42</v>
      </c>
      <c r="BJ69" s="87">
        <v>24</v>
      </c>
      <c r="BK69" s="100">
        <v>1721</v>
      </c>
      <c r="BL69" s="90">
        <v>758</v>
      </c>
      <c r="BM69" s="90">
        <v>23</v>
      </c>
      <c r="BN69" s="91">
        <v>11</v>
      </c>
      <c r="BO69" s="2">
        <v>2503</v>
      </c>
      <c r="BP69" s="69">
        <v>2638</v>
      </c>
      <c r="BQ69" s="102">
        <v>930</v>
      </c>
      <c r="BR69" s="1"/>
      <c r="BS69" s="1"/>
      <c r="BT69" s="13"/>
      <c r="BU69" s="69">
        <v>1535</v>
      </c>
      <c r="BV69" s="87">
        <v>480</v>
      </c>
      <c r="BW69" s="14"/>
      <c r="BX69" s="14"/>
      <c r="BY69" s="1"/>
      <c r="BZ69" s="1"/>
      <c r="CA69" s="1"/>
      <c r="CB69" s="1"/>
      <c r="CC69" s="1"/>
      <c r="CD69" s="1"/>
      <c r="CE69" s="1"/>
      <c r="CF69" s="103">
        <v>5843</v>
      </c>
      <c r="CG69" s="69">
        <v>2007</v>
      </c>
      <c r="CH69" s="69">
        <v>4358</v>
      </c>
      <c r="CI69" s="69">
        <v>1441</v>
      </c>
      <c r="CJ69" s="69">
        <v>2027</v>
      </c>
      <c r="CK69" s="87">
        <v>660</v>
      </c>
      <c r="CL69" s="69">
        <v>1675</v>
      </c>
      <c r="CM69" s="104">
        <v>532</v>
      </c>
    </row>
    <row r="70" spans="1:91" x14ac:dyDescent="0.3">
      <c r="A70" s="15">
        <v>2018</v>
      </c>
      <c r="B70" s="15"/>
      <c r="C70" s="16">
        <f t="shared" si="11"/>
        <v>82</v>
      </c>
      <c r="D70" s="15">
        <v>1</v>
      </c>
      <c r="E70" s="43">
        <v>3385</v>
      </c>
      <c r="F70" s="43">
        <f t="shared" si="15"/>
        <v>12</v>
      </c>
      <c r="G70" s="43">
        <v>3373</v>
      </c>
      <c r="H70" s="43">
        <v>3204</v>
      </c>
      <c r="I70" s="30">
        <f t="shared" si="8"/>
        <v>94.989623480581088</v>
      </c>
      <c r="J70" s="15">
        <f t="shared" si="9"/>
        <v>169</v>
      </c>
      <c r="K70" s="17">
        <f t="shared" si="10"/>
        <v>181</v>
      </c>
      <c r="L70" s="17" t="e">
        <f t="shared" si="28"/>
        <v>#REF!</v>
      </c>
      <c r="M70" s="19"/>
      <c r="N70" s="20"/>
      <c r="O70" s="20"/>
      <c r="P70" s="20"/>
      <c r="Q70" s="21"/>
      <c r="R70" s="20"/>
      <c r="S70" s="20"/>
      <c r="T70" s="20"/>
      <c r="U70" s="20"/>
      <c r="V70" s="21"/>
      <c r="W70" s="72"/>
      <c r="X70" s="72"/>
      <c r="Y70" s="72"/>
      <c r="Z70" s="72"/>
      <c r="AA70" s="72"/>
      <c r="AB70" s="72"/>
      <c r="AC70" s="73"/>
      <c r="AD70" s="31"/>
      <c r="AE70" s="31"/>
      <c r="AF70" s="31"/>
      <c r="AG70" s="31"/>
      <c r="AH70" s="74"/>
      <c r="AI70" s="40">
        <v>758</v>
      </c>
      <c r="AJ70" s="40">
        <v>751</v>
      </c>
      <c r="AK70" s="40">
        <v>748</v>
      </c>
      <c r="AL70" s="77"/>
      <c r="AM70" s="77"/>
      <c r="AN70" s="77"/>
      <c r="AO70" s="66">
        <f t="shared" si="7"/>
        <v>2059</v>
      </c>
      <c r="AP70" s="66">
        <v>1006</v>
      </c>
      <c r="AQ70" s="107">
        <v>3202</v>
      </c>
      <c r="AR70" s="107">
        <v>275</v>
      </c>
      <c r="AS70" s="43"/>
      <c r="AT70" s="77"/>
      <c r="AU70" s="39">
        <f t="shared" si="4"/>
        <v>1.0126263664854283</v>
      </c>
      <c r="AV70" s="88">
        <v>123106</v>
      </c>
      <c r="AW70" s="88">
        <v>32012</v>
      </c>
      <c r="AX70" s="98">
        <f t="shared" si="12"/>
        <v>0.83238022517180321</v>
      </c>
      <c r="AY70" s="39">
        <f t="shared" si="13"/>
        <v>1.0222463862092357</v>
      </c>
      <c r="AZ70" s="53">
        <v>102471</v>
      </c>
      <c r="BA70" s="16">
        <v>242</v>
      </c>
      <c r="BB70" s="15">
        <v>9</v>
      </c>
      <c r="BC70" s="93">
        <v>277</v>
      </c>
      <c r="BD70" s="93">
        <v>135</v>
      </c>
      <c r="BE70" s="93">
        <v>13</v>
      </c>
      <c r="BF70" s="93">
        <v>7</v>
      </c>
      <c r="BG70" s="72">
        <v>3154</v>
      </c>
      <c r="BH70" s="72">
        <v>1381</v>
      </c>
      <c r="BI70" s="80">
        <v>36</v>
      </c>
      <c r="BJ70" s="80">
        <v>19</v>
      </c>
      <c r="BK70" s="93">
        <v>1711</v>
      </c>
      <c r="BL70" s="108">
        <v>753</v>
      </c>
      <c r="BM70" s="108">
        <v>20</v>
      </c>
      <c r="BN70" s="109">
        <v>7</v>
      </c>
      <c r="BO70" s="16">
        <v>2609</v>
      </c>
      <c r="BP70" s="72">
        <v>2701</v>
      </c>
      <c r="BQ70" s="95">
        <v>991</v>
      </c>
      <c r="BR70" s="15"/>
      <c r="BS70" s="15"/>
      <c r="BT70" s="27"/>
      <c r="BU70" s="72">
        <v>1512</v>
      </c>
      <c r="BV70" s="80">
        <v>481</v>
      </c>
      <c r="BW70" s="28"/>
      <c r="BX70" s="28"/>
      <c r="BY70" s="15"/>
      <c r="BZ70" s="15"/>
      <c r="CA70" s="15"/>
      <c r="CB70" s="15"/>
      <c r="CC70" s="15"/>
      <c r="CD70" s="15"/>
      <c r="CE70" s="15"/>
      <c r="CF70" s="96">
        <v>6088</v>
      </c>
      <c r="CG70" s="72">
        <v>2193</v>
      </c>
      <c r="CH70" s="72">
        <v>5460</v>
      </c>
      <c r="CI70" s="72">
        <v>1889</v>
      </c>
      <c r="CJ70" s="72">
        <v>1901</v>
      </c>
      <c r="CK70" s="80">
        <v>664</v>
      </c>
      <c r="CL70" s="72">
        <v>2053</v>
      </c>
      <c r="CM70" s="97">
        <v>670</v>
      </c>
    </row>
    <row r="71" spans="1:91" x14ac:dyDescent="0.3">
      <c r="A71" s="1">
        <v>2019</v>
      </c>
      <c r="B71" s="1"/>
      <c r="C71" s="2">
        <f t="shared" si="11"/>
        <v>83</v>
      </c>
      <c r="D71" s="1">
        <v>1</v>
      </c>
      <c r="E71" s="44">
        <v>3318</v>
      </c>
      <c r="F71" s="44">
        <f t="shared" si="15"/>
        <v>11</v>
      </c>
      <c r="G71" s="44">
        <v>3307</v>
      </c>
      <c r="H71" s="44">
        <v>3115</v>
      </c>
      <c r="I71" s="33">
        <f t="shared" si="8"/>
        <v>94.194133655881458</v>
      </c>
      <c r="J71" s="1">
        <f t="shared" si="9"/>
        <v>192</v>
      </c>
      <c r="K71" s="3">
        <f t="shared" si="10"/>
        <v>203</v>
      </c>
      <c r="L71" s="3" t="e">
        <f t="shared" si="28"/>
        <v>#REF!</v>
      </c>
      <c r="M71" s="5"/>
      <c r="N71" s="85"/>
      <c r="O71" s="6"/>
      <c r="P71" s="6"/>
      <c r="Q71" s="7"/>
      <c r="R71" s="6"/>
      <c r="S71" s="6"/>
      <c r="T71" s="6"/>
      <c r="U71" s="6"/>
      <c r="V71" s="7"/>
      <c r="W71" s="69"/>
      <c r="X71" s="69"/>
      <c r="Y71" s="69"/>
      <c r="Z71" s="69"/>
      <c r="AA71" s="69"/>
      <c r="AB71" s="69"/>
      <c r="AC71" s="76"/>
      <c r="AD71" s="34"/>
      <c r="AE71" s="34"/>
      <c r="AF71" s="34"/>
      <c r="AG71" s="34"/>
      <c r="AH71" s="70"/>
      <c r="AI71" s="36">
        <v>626</v>
      </c>
      <c r="AJ71" s="36">
        <v>616</v>
      </c>
      <c r="AK71" s="36">
        <v>610</v>
      </c>
      <c r="AL71" s="111"/>
      <c r="AM71" s="111"/>
      <c r="AN71" s="36"/>
      <c r="AO71" s="68">
        <f t="shared" si="7"/>
        <v>2025</v>
      </c>
      <c r="AP71" s="68"/>
      <c r="AQ71" s="106">
        <v>3173</v>
      </c>
      <c r="AR71" s="106">
        <v>293</v>
      </c>
      <c r="AS71" s="44"/>
      <c r="AT71" s="77"/>
      <c r="AU71" s="3"/>
      <c r="AV71" s="85">
        <v>126724</v>
      </c>
      <c r="AW71" s="3"/>
      <c r="AX71" s="62"/>
      <c r="AY71" s="11"/>
      <c r="AZ71" s="52">
        <v>105628</v>
      </c>
      <c r="BA71" s="99">
        <v>218</v>
      </c>
      <c r="BB71" s="69">
        <v>0</v>
      </c>
      <c r="BC71" s="100">
        <v>279</v>
      </c>
      <c r="BD71" s="100">
        <v>127</v>
      </c>
      <c r="BE71" s="100">
        <v>22</v>
      </c>
      <c r="BF71" s="100">
        <v>10</v>
      </c>
      <c r="BG71" s="69">
        <v>2112</v>
      </c>
      <c r="BH71" s="69">
        <v>925</v>
      </c>
      <c r="BI71" s="69">
        <v>21</v>
      </c>
      <c r="BJ71" s="69">
        <v>12</v>
      </c>
      <c r="BK71" s="100">
        <v>1249</v>
      </c>
      <c r="BL71" s="100">
        <v>566</v>
      </c>
      <c r="BM71" s="100">
        <v>25</v>
      </c>
      <c r="BN71" s="101">
        <v>10</v>
      </c>
      <c r="BO71" s="99">
        <v>2954</v>
      </c>
      <c r="BP71" s="69">
        <v>3067</v>
      </c>
      <c r="BQ71" s="112">
        <v>1056</v>
      </c>
      <c r="BR71" s="1"/>
      <c r="BS71" s="1"/>
      <c r="BT71" s="13"/>
      <c r="BU71" s="69">
        <v>1951</v>
      </c>
      <c r="BV71" s="87">
        <v>640</v>
      </c>
      <c r="BW71" s="14"/>
      <c r="BX71" s="14"/>
      <c r="BY71" s="1"/>
      <c r="BZ71" s="1"/>
      <c r="CA71" s="1"/>
      <c r="CB71" s="1"/>
      <c r="CC71" s="1"/>
      <c r="CD71" s="1"/>
      <c r="CE71" s="1"/>
      <c r="CF71" s="103">
        <v>6404</v>
      </c>
      <c r="CG71" s="69">
        <v>2200</v>
      </c>
      <c r="CH71" s="69">
        <v>5755</v>
      </c>
      <c r="CI71" s="69">
        <v>2079</v>
      </c>
      <c r="CJ71" s="69">
        <v>2796</v>
      </c>
      <c r="CK71" s="69">
        <v>1006</v>
      </c>
      <c r="CL71" s="69">
        <v>1933</v>
      </c>
      <c r="CM71" s="104">
        <v>666</v>
      </c>
    </row>
    <row r="72" spans="1:91" x14ac:dyDescent="0.3">
      <c r="A72" s="15">
        <v>2020</v>
      </c>
      <c r="B72" s="15"/>
      <c r="C72" s="16">
        <f t="shared" si="11"/>
        <v>84</v>
      </c>
      <c r="D72" s="15">
        <v>1</v>
      </c>
      <c r="E72" s="43">
        <v>3220</v>
      </c>
      <c r="F72" s="43">
        <f t="shared" si="15"/>
        <v>10</v>
      </c>
      <c r="G72" s="43">
        <v>3210</v>
      </c>
      <c r="H72" s="43">
        <v>3025</v>
      </c>
      <c r="I72" s="30">
        <f t="shared" si="8"/>
        <v>94.236760124610598</v>
      </c>
      <c r="J72" s="15">
        <f t="shared" si="9"/>
        <v>185</v>
      </c>
      <c r="K72" s="17">
        <f t="shared" si="10"/>
        <v>195</v>
      </c>
      <c r="L72" s="17" t="e">
        <f t="shared" si="28"/>
        <v>#REF!</v>
      </c>
      <c r="M72" s="19"/>
      <c r="N72" s="20"/>
      <c r="O72" s="20"/>
      <c r="P72" s="20"/>
      <c r="Q72" s="21"/>
      <c r="R72" s="20"/>
      <c r="S72" s="20"/>
      <c r="T72" s="20"/>
      <c r="U72" s="20"/>
      <c r="V72" s="21"/>
      <c r="W72" s="17"/>
      <c r="X72" s="17"/>
      <c r="Y72" s="17"/>
      <c r="Z72" s="17"/>
      <c r="AA72" s="17"/>
      <c r="AB72" s="17"/>
      <c r="AC72" s="73"/>
      <c r="AD72" s="31"/>
      <c r="AE72" s="31"/>
      <c r="AF72" s="31"/>
      <c r="AG72" s="31"/>
      <c r="AH72" s="74"/>
      <c r="AI72" s="17"/>
      <c r="AJ72" s="17"/>
      <c r="AK72" s="17"/>
      <c r="AL72" s="17"/>
      <c r="AM72" s="17"/>
      <c r="AN72" s="17"/>
      <c r="AO72" s="18"/>
      <c r="AP72" s="18"/>
      <c r="AQ72" s="17"/>
      <c r="AR72" s="17"/>
      <c r="AS72" s="43"/>
      <c r="AT72" s="77"/>
      <c r="AU72" s="17"/>
      <c r="AV72" s="17"/>
      <c r="AW72" s="17"/>
      <c r="AX72" s="58"/>
      <c r="AY72" s="25"/>
      <c r="AZ72" s="53">
        <v>107928</v>
      </c>
      <c r="BA72" s="16"/>
      <c r="BB72" s="15"/>
      <c r="BC72" s="93">
        <v>258</v>
      </c>
      <c r="BD72" s="93">
        <v>112</v>
      </c>
      <c r="BE72" s="93">
        <v>17</v>
      </c>
      <c r="BF72" s="93">
        <v>7</v>
      </c>
      <c r="BG72" s="31">
        <v>1584</v>
      </c>
      <c r="BH72" s="15">
        <v>631</v>
      </c>
      <c r="BI72" s="15">
        <v>56</v>
      </c>
      <c r="BJ72" s="15">
        <v>28</v>
      </c>
      <c r="BK72" s="93">
        <v>1222</v>
      </c>
      <c r="BL72" s="108">
        <v>549</v>
      </c>
      <c r="BM72" s="108">
        <v>14</v>
      </c>
      <c r="BN72" s="109">
        <v>3</v>
      </c>
      <c r="BO72" s="16"/>
      <c r="BP72" s="15"/>
      <c r="BQ72" s="27"/>
      <c r="BR72" s="15"/>
      <c r="BS72" s="15"/>
      <c r="BT72" s="27"/>
      <c r="BU72" s="15"/>
      <c r="BV72" s="15"/>
      <c r="BW72" s="28"/>
      <c r="BX72" s="28"/>
      <c r="BY72" s="15"/>
      <c r="BZ72" s="15"/>
      <c r="CA72" s="15"/>
      <c r="CB72" s="15"/>
      <c r="CC72" s="15"/>
      <c r="CD72" s="15"/>
      <c r="CE72" s="15"/>
      <c r="CF72" s="28"/>
      <c r="CG72" s="15"/>
      <c r="CH72" s="15"/>
      <c r="CI72" s="15"/>
      <c r="CJ72" s="15"/>
      <c r="CK72" s="15"/>
      <c r="CL72" s="15"/>
      <c r="CM72" s="2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unsik kim</dc:creator>
  <cp:lastModifiedBy>unsik kim</cp:lastModifiedBy>
  <dcterms:created xsi:type="dcterms:W3CDTF">2020-10-09T06:56:05Z</dcterms:created>
  <dcterms:modified xsi:type="dcterms:W3CDTF">2020-10-12T11:42:22Z</dcterms:modified>
</cp:coreProperties>
</file>