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3E4647B-A6BE-428D-86AA-81602561A298}" xr6:coauthVersionLast="45" xr6:coauthVersionMax="45" xr10:uidLastSave="{00000000-0000-0000-0000-000000000000}"/>
  <bookViews>
    <workbookView xWindow="-120" yWindow="-120" windowWidth="38640" windowHeight="21240" xr2:uid="{405EABAF-2763-48D5-8D70-547B92D18191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72" i="2" l="1"/>
  <c r="AG73" i="2"/>
  <c r="AI73" i="2" s="1"/>
  <c r="AH73" i="2"/>
  <c r="AI72" i="2"/>
  <c r="AJ3" i="2"/>
  <c r="AJ8" i="2"/>
  <c r="AJ11" i="2"/>
  <c r="AJ16" i="2"/>
  <c r="AJ19" i="2"/>
  <c r="AJ24" i="2"/>
  <c r="AJ27" i="2"/>
  <c r="AJ83" i="2"/>
  <c r="AJ91" i="2"/>
  <c r="AJ99" i="2"/>
  <c r="AI2" i="2"/>
  <c r="AJ2" i="2" s="1"/>
  <c r="AI3" i="2"/>
  <c r="AI4" i="2"/>
  <c r="AJ4" i="2" s="1"/>
  <c r="AI5" i="2"/>
  <c r="AJ5" i="2" s="1"/>
  <c r="AI6" i="2"/>
  <c r="AJ6" i="2" s="1"/>
  <c r="AI7" i="2"/>
  <c r="AJ7" i="2" s="1"/>
  <c r="AI8" i="2"/>
  <c r="AI9" i="2"/>
  <c r="AJ9" i="2" s="1"/>
  <c r="AI10" i="2"/>
  <c r="AJ10" i="2" s="1"/>
  <c r="AI11" i="2"/>
  <c r="AI12" i="2"/>
  <c r="AJ12" i="2" s="1"/>
  <c r="AI13" i="2"/>
  <c r="AJ13" i="2" s="1"/>
  <c r="AI14" i="2"/>
  <c r="AJ14" i="2" s="1"/>
  <c r="AI15" i="2"/>
  <c r="AJ15" i="2" s="1"/>
  <c r="AI16" i="2"/>
  <c r="AI17" i="2"/>
  <c r="AJ17" i="2" s="1"/>
  <c r="AI18" i="2"/>
  <c r="AJ18" i="2" s="1"/>
  <c r="AI19" i="2"/>
  <c r="AI20" i="2"/>
  <c r="AJ20" i="2" s="1"/>
  <c r="AI21" i="2"/>
  <c r="AJ21" i="2" s="1"/>
  <c r="AI22" i="2"/>
  <c r="AJ22" i="2" s="1"/>
  <c r="AI23" i="2"/>
  <c r="AJ23" i="2" s="1"/>
  <c r="AI24" i="2"/>
  <c r="AI25" i="2"/>
  <c r="AJ25" i="2" s="1"/>
  <c r="AI26" i="2"/>
  <c r="AJ26" i="2" s="1"/>
  <c r="AI27" i="2"/>
  <c r="AI28" i="2"/>
  <c r="AJ28" i="2" s="1"/>
  <c r="AI79" i="2"/>
  <c r="AJ79" i="2" s="1"/>
  <c r="AI80" i="2"/>
  <c r="AJ80" i="2" s="1"/>
  <c r="AI81" i="2"/>
  <c r="AJ81" i="2" s="1"/>
  <c r="AI82" i="2"/>
  <c r="AJ82" i="2" s="1"/>
  <c r="AI83" i="2"/>
  <c r="AI84" i="2"/>
  <c r="AJ84" i="2" s="1"/>
  <c r="AI85" i="2"/>
  <c r="AJ85" i="2" s="1"/>
  <c r="AI86" i="2"/>
  <c r="AJ86" i="2" s="1"/>
  <c r="AI87" i="2"/>
  <c r="AJ87" i="2" s="1"/>
  <c r="AI88" i="2"/>
  <c r="AJ88" i="2" s="1"/>
  <c r="AI89" i="2"/>
  <c r="AJ89" i="2" s="1"/>
  <c r="AI90" i="2"/>
  <c r="AJ90" i="2" s="1"/>
  <c r="AI91" i="2"/>
  <c r="AI92" i="2"/>
  <c r="AJ92" i="2" s="1"/>
  <c r="AI93" i="2"/>
  <c r="AJ93" i="2" s="1"/>
  <c r="AI94" i="2"/>
  <c r="AJ94" i="2" s="1"/>
  <c r="AI95" i="2"/>
  <c r="AJ95" i="2" s="1"/>
  <c r="AI96" i="2"/>
  <c r="AJ96" i="2" s="1"/>
  <c r="AI97" i="2"/>
  <c r="AJ97" i="2" s="1"/>
  <c r="AI98" i="2"/>
  <c r="AJ98" i="2" s="1"/>
  <c r="AI99" i="2"/>
  <c r="X6" i="2"/>
  <c r="X8" i="2"/>
  <c r="X10" i="2"/>
  <c r="X13" i="2"/>
  <c r="X15" i="2"/>
  <c r="X17" i="2"/>
  <c r="X19" i="2"/>
  <c r="X20" i="2"/>
  <c r="X22" i="2"/>
  <c r="X24" i="2"/>
  <c r="X26" i="2"/>
  <c r="V5" i="2"/>
  <c r="W5" i="2"/>
  <c r="X5" i="2"/>
  <c r="Y5" i="2"/>
  <c r="V6" i="2"/>
  <c r="W6" i="2"/>
  <c r="Y6" i="2"/>
  <c r="V7" i="2"/>
  <c r="W7" i="2"/>
  <c r="X7" i="2"/>
  <c r="Y7" i="2"/>
  <c r="V8" i="2"/>
  <c r="W8" i="2"/>
  <c r="Y8" i="2"/>
  <c r="V9" i="2"/>
  <c r="W9" i="2"/>
  <c r="X9" i="2"/>
  <c r="Y9" i="2"/>
  <c r="V10" i="2"/>
  <c r="W10" i="2"/>
  <c r="Y10" i="2"/>
  <c r="V11" i="2"/>
  <c r="W11" i="2"/>
  <c r="X11" i="2"/>
  <c r="Y11" i="2"/>
  <c r="V12" i="2"/>
  <c r="W12" i="2"/>
  <c r="X12" i="2"/>
  <c r="Y12" i="2"/>
  <c r="V13" i="2"/>
  <c r="W13" i="2"/>
  <c r="Y13" i="2"/>
  <c r="V14" i="2"/>
  <c r="W14" i="2"/>
  <c r="X14" i="2"/>
  <c r="Y14" i="2"/>
  <c r="V15" i="2"/>
  <c r="W15" i="2"/>
  <c r="Y15" i="2"/>
  <c r="V16" i="2"/>
  <c r="W16" i="2"/>
  <c r="X16" i="2"/>
  <c r="Y16" i="2"/>
  <c r="V17" i="2"/>
  <c r="W17" i="2"/>
  <c r="Y17" i="2"/>
  <c r="V18" i="2"/>
  <c r="W18" i="2"/>
  <c r="X18" i="2"/>
  <c r="Y18" i="2"/>
  <c r="V19" i="2"/>
  <c r="W19" i="2"/>
  <c r="Y19" i="2"/>
  <c r="V20" i="2"/>
  <c r="W20" i="2"/>
  <c r="Y20" i="2"/>
  <c r="V21" i="2"/>
  <c r="W21" i="2"/>
  <c r="X21" i="2"/>
  <c r="Y21" i="2"/>
  <c r="V22" i="2"/>
  <c r="W22" i="2"/>
  <c r="Y22" i="2"/>
  <c r="V23" i="2"/>
  <c r="W23" i="2"/>
  <c r="X23" i="2"/>
  <c r="Y23" i="2"/>
  <c r="V24" i="2"/>
  <c r="W24" i="2"/>
  <c r="Y24" i="2"/>
  <c r="V25" i="2"/>
  <c r="W25" i="2"/>
  <c r="X25" i="2"/>
  <c r="Y25" i="2"/>
  <c r="V26" i="2"/>
  <c r="W26" i="2"/>
  <c r="Y26" i="2"/>
  <c r="V27" i="2"/>
  <c r="W27" i="2"/>
  <c r="X27" i="2"/>
  <c r="Y27" i="2"/>
  <c r="V28" i="2"/>
  <c r="W28" i="2"/>
  <c r="X28" i="2"/>
  <c r="Y28" i="2"/>
  <c r="T79" i="2"/>
  <c r="U79" i="2"/>
  <c r="V79" i="2"/>
  <c r="W79" i="2"/>
  <c r="X79" i="2"/>
  <c r="Y79" i="2"/>
  <c r="T80" i="2"/>
  <c r="U80" i="2"/>
  <c r="V80" i="2"/>
  <c r="W80" i="2"/>
  <c r="X80" i="2"/>
  <c r="Y80" i="2"/>
  <c r="T81" i="2"/>
  <c r="U81" i="2"/>
  <c r="V81" i="2"/>
  <c r="W81" i="2"/>
  <c r="X81" i="2"/>
  <c r="Y81" i="2"/>
  <c r="T82" i="2"/>
  <c r="U82" i="2"/>
  <c r="V82" i="2"/>
  <c r="W82" i="2"/>
  <c r="X82" i="2"/>
  <c r="Y82" i="2"/>
  <c r="T83" i="2"/>
  <c r="U83" i="2"/>
  <c r="V83" i="2"/>
  <c r="W83" i="2"/>
  <c r="X83" i="2"/>
  <c r="Y83" i="2"/>
  <c r="T84" i="2"/>
  <c r="U84" i="2"/>
  <c r="V84" i="2"/>
  <c r="W84" i="2"/>
  <c r="X84" i="2"/>
  <c r="Y84" i="2"/>
  <c r="T85" i="2"/>
  <c r="U85" i="2"/>
  <c r="V85" i="2"/>
  <c r="W85" i="2"/>
  <c r="X85" i="2"/>
  <c r="Y85" i="2"/>
  <c r="T86" i="2"/>
  <c r="U86" i="2"/>
  <c r="V86" i="2"/>
  <c r="W86" i="2"/>
  <c r="X86" i="2"/>
  <c r="Y86" i="2"/>
  <c r="T87" i="2"/>
  <c r="U87" i="2"/>
  <c r="V87" i="2"/>
  <c r="W87" i="2"/>
  <c r="X87" i="2"/>
  <c r="Y87" i="2"/>
  <c r="T88" i="2"/>
  <c r="U88" i="2"/>
  <c r="V88" i="2"/>
  <c r="W88" i="2"/>
  <c r="X88" i="2"/>
  <c r="Y88" i="2"/>
  <c r="T89" i="2"/>
  <c r="U89" i="2"/>
  <c r="V89" i="2"/>
  <c r="W89" i="2"/>
  <c r="X89" i="2"/>
  <c r="Y89" i="2"/>
  <c r="T90" i="2"/>
  <c r="U90" i="2"/>
  <c r="V90" i="2"/>
  <c r="W90" i="2"/>
  <c r="X90" i="2"/>
  <c r="Y90" i="2"/>
  <c r="T91" i="2"/>
  <c r="U91" i="2"/>
  <c r="V91" i="2"/>
  <c r="W91" i="2"/>
  <c r="X91" i="2"/>
  <c r="Y91" i="2"/>
  <c r="T92" i="2"/>
  <c r="U92" i="2"/>
  <c r="V92" i="2"/>
  <c r="W92" i="2"/>
  <c r="X92" i="2"/>
  <c r="Y92" i="2"/>
  <c r="T93" i="2"/>
  <c r="U93" i="2"/>
  <c r="V93" i="2"/>
  <c r="W93" i="2"/>
  <c r="X93" i="2"/>
  <c r="Y93" i="2"/>
  <c r="T94" i="2"/>
  <c r="U94" i="2"/>
  <c r="V94" i="2"/>
  <c r="W94" i="2"/>
  <c r="X94" i="2"/>
  <c r="Y94" i="2"/>
  <c r="T95" i="2"/>
  <c r="U95" i="2"/>
  <c r="V95" i="2"/>
  <c r="W95" i="2"/>
  <c r="X95" i="2"/>
  <c r="Y95" i="2"/>
  <c r="T96" i="2"/>
  <c r="U96" i="2"/>
  <c r="V96" i="2"/>
  <c r="W96" i="2"/>
  <c r="X96" i="2"/>
  <c r="Y96" i="2"/>
  <c r="T97" i="2"/>
  <c r="U97" i="2"/>
  <c r="V97" i="2"/>
  <c r="W97" i="2"/>
  <c r="X97" i="2"/>
  <c r="Y97" i="2"/>
  <c r="T98" i="2"/>
  <c r="U98" i="2"/>
  <c r="V98" i="2"/>
  <c r="W98" i="2"/>
  <c r="X98" i="2"/>
  <c r="Y98" i="2"/>
  <c r="T99" i="2"/>
  <c r="U99" i="2"/>
  <c r="V99" i="2"/>
  <c r="W99" i="2"/>
  <c r="X99" i="2"/>
  <c r="Y99" i="2"/>
  <c r="Y4" i="2"/>
  <c r="X4" i="2"/>
  <c r="W4" i="2"/>
  <c r="V4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F71" i="2"/>
  <c r="L70" i="2"/>
  <c r="F70" i="2"/>
  <c r="L69" i="2"/>
  <c r="F69" i="2"/>
  <c r="L68" i="2"/>
  <c r="F68" i="2"/>
  <c r="L67" i="2"/>
  <c r="F67" i="2"/>
  <c r="L66" i="2"/>
  <c r="F66" i="2"/>
  <c r="L65" i="2"/>
  <c r="F65" i="2"/>
  <c r="L64" i="2"/>
  <c r="F64" i="2"/>
  <c r="L63" i="2"/>
  <c r="F63" i="2"/>
  <c r="L62" i="2"/>
  <c r="F62" i="2"/>
  <c r="L61" i="2"/>
  <c r="F61" i="2"/>
  <c r="L60" i="2"/>
  <c r="F60" i="2"/>
  <c r="L59" i="2"/>
  <c r="F59" i="2"/>
  <c r="L58" i="2"/>
  <c r="F58" i="2"/>
  <c r="L57" i="2"/>
  <c r="F57" i="2"/>
  <c r="L56" i="2"/>
  <c r="F56" i="2"/>
  <c r="L55" i="2"/>
  <c r="F55" i="2"/>
  <c r="L54" i="2"/>
  <c r="F54" i="2"/>
  <c r="L53" i="2"/>
  <c r="F53" i="2"/>
  <c r="L52" i="2"/>
  <c r="F52" i="2"/>
  <c r="L51" i="2"/>
  <c r="F51" i="2"/>
  <c r="L50" i="2"/>
  <c r="F50" i="2"/>
  <c r="L49" i="2"/>
  <c r="F49" i="2"/>
  <c r="Z49" i="2" s="1"/>
  <c r="L48" i="2"/>
  <c r="F48" i="2"/>
  <c r="Z48" i="2" s="1"/>
  <c r="L47" i="2"/>
  <c r="F47" i="2"/>
  <c r="Z47" i="2" s="1"/>
  <c r="L46" i="2"/>
  <c r="F46" i="2"/>
  <c r="Z46" i="2" s="1"/>
  <c r="L45" i="2"/>
  <c r="F45" i="2"/>
  <c r="Z45" i="2" s="1"/>
  <c r="L44" i="2"/>
  <c r="F44" i="2"/>
  <c r="Z44" i="2" s="1"/>
  <c r="L43" i="2"/>
  <c r="F43" i="2"/>
  <c r="Z43" i="2" s="1"/>
  <c r="L42" i="2"/>
  <c r="F42" i="2"/>
  <c r="Z42" i="2" s="1"/>
  <c r="L41" i="2"/>
  <c r="F41" i="2"/>
  <c r="Z41" i="2" s="1"/>
  <c r="L40" i="2"/>
  <c r="F40" i="2"/>
  <c r="Z40" i="2" s="1"/>
  <c r="L39" i="2"/>
  <c r="F39" i="2"/>
  <c r="Z39" i="2" s="1"/>
  <c r="L38" i="2"/>
  <c r="F38" i="2"/>
  <c r="Z38" i="2" s="1"/>
  <c r="L37" i="2"/>
  <c r="F37" i="2"/>
  <c r="Z37" i="2" s="1"/>
  <c r="L36" i="2"/>
  <c r="F36" i="2"/>
  <c r="Z36" i="2" s="1"/>
  <c r="L35" i="2"/>
  <c r="F35" i="2"/>
  <c r="Z35" i="2" s="1"/>
  <c r="L34" i="2"/>
  <c r="F34" i="2"/>
  <c r="Z34" i="2" s="1"/>
  <c r="L33" i="2"/>
  <c r="F33" i="2"/>
  <c r="Z33" i="2" s="1"/>
  <c r="L32" i="2"/>
  <c r="F32" i="2"/>
  <c r="Z32" i="2" s="1"/>
  <c r="L31" i="2"/>
  <c r="F31" i="2"/>
  <c r="Z31" i="2" s="1"/>
  <c r="L30" i="2"/>
  <c r="F30" i="2"/>
  <c r="Z30" i="2" s="1"/>
  <c r="L29" i="2"/>
  <c r="F29" i="2"/>
  <c r="Z29" i="2" s="1"/>
  <c r="L28" i="2"/>
  <c r="M28" i="2" s="1"/>
  <c r="T28" i="2" s="1"/>
  <c r="F28" i="2"/>
  <c r="Z28" i="2" s="1"/>
  <c r="L27" i="2"/>
  <c r="N27" i="2" s="1"/>
  <c r="U27" i="2" s="1"/>
  <c r="F27" i="2"/>
  <c r="Z27" i="2" s="1"/>
  <c r="L26" i="2"/>
  <c r="M26" i="2" s="1"/>
  <c r="T26" i="2" s="1"/>
  <c r="F26" i="2"/>
  <c r="Z26" i="2" s="1"/>
  <c r="L25" i="2"/>
  <c r="N25" i="2" s="1"/>
  <c r="U25" i="2" s="1"/>
  <c r="F25" i="2"/>
  <c r="Z25" i="2" s="1"/>
  <c r="L24" i="2"/>
  <c r="M24" i="2" s="1"/>
  <c r="T24" i="2" s="1"/>
  <c r="F24" i="2"/>
  <c r="Z24" i="2" s="1"/>
  <c r="L23" i="2"/>
  <c r="N23" i="2" s="1"/>
  <c r="U23" i="2" s="1"/>
  <c r="F23" i="2"/>
  <c r="Z23" i="2" s="1"/>
  <c r="L22" i="2"/>
  <c r="M22" i="2" s="1"/>
  <c r="T22" i="2" s="1"/>
  <c r="F22" i="2"/>
  <c r="Z22" i="2" s="1"/>
  <c r="L21" i="2"/>
  <c r="N21" i="2" s="1"/>
  <c r="U21" i="2" s="1"/>
  <c r="F21" i="2"/>
  <c r="Z21" i="2" s="1"/>
  <c r="L20" i="2"/>
  <c r="M20" i="2" s="1"/>
  <c r="T20" i="2" s="1"/>
  <c r="F20" i="2"/>
  <c r="Z20" i="2" s="1"/>
  <c r="L19" i="2"/>
  <c r="N19" i="2" s="1"/>
  <c r="U19" i="2" s="1"/>
  <c r="F19" i="2"/>
  <c r="Z19" i="2" s="1"/>
  <c r="L18" i="2"/>
  <c r="M18" i="2" s="1"/>
  <c r="T18" i="2" s="1"/>
  <c r="F18" i="2"/>
  <c r="Z18" i="2" s="1"/>
  <c r="L17" i="2"/>
  <c r="N17" i="2" s="1"/>
  <c r="U17" i="2" s="1"/>
  <c r="F17" i="2"/>
  <c r="Z17" i="2" s="1"/>
  <c r="L16" i="2"/>
  <c r="M16" i="2" s="1"/>
  <c r="T16" i="2" s="1"/>
  <c r="F16" i="2"/>
  <c r="Z16" i="2" s="1"/>
  <c r="L15" i="2"/>
  <c r="N15" i="2" s="1"/>
  <c r="U15" i="2" s="1"/>
  <c r="F15" i="2"/>
  <c r="Z15" i="2" s="1"/>
  <c r="L14" i="2"/>
  <c r="M14" i="2" s="1"/>
  <c r="T14" i="2" s="1"/>
  <c r="F14" i="2"/>
  <c r="Z14" i="2" s="1"/>
  <c r="L13" i="2"/>
  <c r="N13" i="2" s="1"/>
  <c r="U13" i="2" s="1"/>
  <c r="F13" i="2"/>
  <c r="Z13" i="2" s="1"/>
  <c r="L12" i="2"/>
  <c r="M12" i="2" s="1"/>
  <c r="T12" i="2" s="1"/>
  <c r="F12" i="2"/>
  <c r="Z12" i="2" s="1"/>
  <c r="L11" i="2"/>
  <c r="N11" i="2" s="1"/>
  <c r="U11" i="2" s="1"/>
  <c r="F11" i="2"/>
  <c r="Z11" i="2" s="1"/>
  <c r="L10" i="2"/>
  <c r="M10" i="2" s="1"/>
  <c r="T10" i="2" s="1"/>
  <c r="F10" i="2"/>
  <c r="Z10" i="2" s="1"/>
  <c r="L9" i="2"/>
  <c r="N9" i="2" s="1"/>
  <c r="U9" i="2" s="1"/>
  <c r="F9" i="2"/>
  <c r="Z9" i="2" s="1"/>
  <c r="L8" i="2"/>
  <c r="M8" i="2" s="1"/>
  <c r="T8" i="2" s="1"/>
  <c r="F8" i="2"/>
  <c r="Z8" i="2" s="1"/>
  <c r="L7" i="2"/>
  <c r="N7" i="2" s="1"/>
  <c r="U7" i="2" s="1"/>
  <c r="F7" i="2"/>
  <c r="Z7" i="2" s="1"/>
  <c r="Z6" i="2"/>
  <c r="L6" i="2"/>
  <c r="N6" i="2" s="1"/>
  <c r="U6" i="2" s="1"/>
  <c r="Z5" i="2"/>
  <c r="L5" i="2"/>
  <c r="N5" i="2" s="1"/>
  <c r="U5" i="2" s="1"/>
  <c r="Z4" i="2"/>
  <c r="L4" i="2"/>
  <c r="M4" i="2" s="1"/>
  <c r="K4" i="2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S3" i="2"/>
  <c r="L3" i="2"/>
  <c r="S2" i="2"/>
  <c r="L2" i="2"/>
  <c r="H73" i="2" l="1"/>
  <c r="S91" i="2"/>
  <c r="S83" i="2"/>
  <c r="S99" i="2"/>
  <c r="S95" i="2"/>
  <c r="S87" i="2"/>
  <c r="S79" i="2"/>
  <c r="S85" i="2"/>
  <c r="S81" i="2"/>
  <c r="N10" i="2"/>
  <c r="U10" i="2" s="1"/>
  <c r="N14" i="2"/>
  <c r="U14" i="2" s="1"/>
  <c r="S93" i="2"/>
  <c r="S98" i="2"/>
  <c r="S96" i="2"/>
  <c r="S94" i="2"/>
  <c r="S92" i="2"/>
  <c r="S90" i="2"/>
  <c r="S88" i="2"/>
  <c r="S86" i="2"/>
  <c r="S84" i="2"/>
  <c r="S82" i="2"/>
  <c r="S80" i="2"/>
  <c r="N18" i="2"/>
  <c r="U18" i="2" s="1"/>
  <c r="N22" i="2"/>
  <c r="U22" i="2" s="1"/>
  <c r="S97" i="2"/>
  <c r="S89" i="2"/>
  <c r="N26" i="2"/>
  <c r="U26" i="2" s="1"/>
  <c r="N4" i="2"/>
  <c r="N8" i="2"/>
  <c r="U8" i="2" s="1"/>
  <c r="N12" i="2"/>
  <c r="U12" i="2" s="1"/>
  <c r="N16" i="2"/>
  <c r="U16" i="2" s="1"/>
  <c r="N20" i="2"/>
  <c r="U20" i="2" s="1"/>
  <c r="N24" i="2"/>
  <c r="U24" i="2" s="1"/>
  <c r="N28" i="2"/>
  <c r="U28" i="2" s="1"/>
  <c r="M5" i="2"/>
  <c r="T5" i="2" s="1"/>
  <c r="M9" i="2"/>
  <c r="T9" i="2" s="1"/>
  <c r="M13" i="2"/>
  <c r="T13" i="2" s="1"/>
  <c r="S13" i="2" s="1"/>
  <c r="M17" i="2"/>
  <c r="T17" i="2" s="1"/>
  <c r="M21" i="2"/>
  <c r="T21" i="2" s="1"/>
  <c r="M25" i="2"/>
  <c r="T25" i="2" s="1"/>
  <c r="M6" i="2"/>
  <c r="T6" i="2" s="1"/>
  <c r="M7" i="2"/>
  <c r="T7" i="2" s="1"/>
  <c r="M11" i="2"/>
  <c r="T11" i="2" s="1"/>
  <c r="M15" i="2"/>
  <c r="T15" i="2" s="1"/>
  <c r="M19" i="2"/>
  <c r="T19" i="2" s="1"/>
  <c r="M23" i="2"/>
  <c r="T23" i="2" s="1"/>
  <c r="M27" i="2"/>
  <c r="T27" i="2" s="1"/>
  <c r="S16" i="2"/>
  <c r="S28" i="2"/>
  <c r="AB22" i="2"/>
  <c r="S14" i="2"/>
  <c r="AB16" i="2"/>
  <c r="AJ73" i="2" l="1"/>
  <c r="J73" i="2"/>
  <c r="I73" i="2" s="1"/>
  <c r="AH29" i="2"/>
  <c r="AG29" i="2"/>
  <c r="AI29" i="2" s="1"/>
  <c r="AJ29" i="2" s="1"/>
  <c r="AB13" i="2"/>
  <c r="AB14" i="2"/>
  <c r="S24" i="2"/>
  <c r="AB28" i="2"/>
  <c r="AB9" i="2"/>
  <c r="AB12" i="2"/>
  <c r="S21" i="2"/>
  <c r="AB21" i="2"/>
  <c r="S25" i="2"/>
  <c r="AB24" i="2"/>
  <c r="S12" i="2"/>
  <c r="S17" i="2"/>
  <c r="AB17" i="2"/>
  <c r="AB25" i="2"/>
  <c r="AB23" i="2"/>
  <c r="AB7" i="2"/>
  <c r="AB19" i="2"/>
  <c r="AB6" i="2"/>
  <c r="S15" i="2"/>
  <c r="S7" i="2"/>
  <c r="S20" i="2"/>
  <c r="S9" i="2"/>
  <c r="AB15" i="2"/>
  <c r="S23" i="2"/>
  <c r="AB11" i="2"/>
  <c r="AB18" i="2"/>
  <c r="S26" i="2"/>
  <c r="S8" i="2"/>
  <c r="S11" i="2"/>
  <c r="AB8" i="2"/>
  <c r="AB20" i="2"/>
  <c r="S19" i="2"/>
  <c r="S10" i="2"/>
  <c r="AB10" i="2"/>
  <c r="T4" i="2"/>
  <c r="U4" i="2"/>
  <c r="AB4" i="2"/>
  <c r="AB5" i="2"/>
  <c r="S18" i="2"/>
  <c r="AB27" i="2"/>
  <c r="AB26" i="2"/>
  <c r="M73" i="2" l="1"/>
  <c r="R73" i="2"/>
  <c r="Q73" i="2"/>
  <c r="P73" i="2"/>
  <c r="W73" i="2" s="1"/>
  <c r="O73" i="2"/>
  <c r="V73" i="2" s="1"/>
  <c r="N73" i="2"/>
  <c r="U73" i="2" s="1"/>
  <c r="K73" i="2"/>
  <c r="R29" i="2"/>
  <c r="Y29" i="2" s="1"/>
  <c r="Q29" i="2"/>
  <c r="X29" i="2" s="1"/>
  <c r="P29" i="2"/>
  <c r="W29" i="2" s="1"/>
  <c r="N29" i="2"/>
  <c r="U29" i="2" s="1"/>
  <c r="O29" i="2"/>
  <c r="V29" i="2" s="1"/>
  <c r="M29" i="2"/>
  <c r="S22" i="2"/>
  <c r="S6" i="2"/>
  <c r="S5" i="2"/>
  <c r="S27" i="2"/>
  <c r="S4" i="2"/>
  <c r="T73" i="2" l="1"/>
  <c r="AB73" i="2"/>
  <c r="T29" i="2"/>
  <c r="S29" i="2" s="1"/>
  <c r="AG30" i="2" s="1"/>
  <c r="AB29" i="2"/>
  <c r="AI30" i="2" l="1"/>
  <c r="AJ30" i="2" s="1"/>
  <c r="AH30" i="2"/>
  <c r="R30" i="2" s="1"/>
  <c r="Y30" i="2" s="1"/>
  <c r="P30" i="2" l="1"/>
  <c r="W30" i="2" s="1"/>
  <c r="Q30" i="2"/>
  <c r="X30" i="2" s="1"/>
  <c r="O30" i="2"/>
  <c r="V30" i="2" s="1"/>
  <c r="N30" i="2"/>
  <c r="U30" i="2" s="1"/>
  <c r="M30" i="2"/>
  <c r="T30" i="2" l="1"/>
  <c r="S30" i="2" s="1"/>
  <c r="AB30" i="2"/>
  <c r="AH31" i="2" l="1"/>
  <c r="AG31" i="2"/>
  <c r="AI31" i="2" l="1"/>
  <c r="AJ31" i="2" s="1"/>
  <c r="R31" i="2"/>
  <c r="Y31" i="2" s="1"/>
  <c r="P31" i="2"/>
  <c r="W31" i="2" s="1"/>
  <c r="Q31" i="2"/>
  <c r="X31" i="2" s="1"/>
  <c r="N31" i="2"/>
  <c r="U31" i="2" s="1"/>
  <c r="M31" i="2"/>
  <c r="O31" i="2"/>
  <c r="V31" i="2" s="1"/>
  <c r="AB31" i="2" l="1"/>
  <c r="T31" i="2"/>
  <c r="S31" i="2" s="1"/>
  <c r="AG32" i="2" l="1"/>
  <c r="AI32" i="2" s="1"/>
  <c r="AJ32" i="2" s="1"/>
  <c r="AH32" i="2"/>
  <c r="H73" i="1"/>
  <c r="L73" i="1" s="1"/>
  <c r="Q78" i="1"/>
  <c r="S78" i="1"/>
  <c r="L74" i="1"/>
  <c r="L75" i="1"/>
  <c r="L76" i="1"/>
  <c r="L77" i="1"/>
  <c r="R32" i="2" l="1"/>
  <c r="Y32" i="2" s="1"/>
  <c r="N32" i="2"/>
  <c r="U32" i="2" s="1"/>
  <c r="M32" i="2"/>
  <c r="O32" i="2"/>
  <c r="V32" i="2" s="1"/>
  <c r="P32" i="2"/>
  <c r="W32" i="2" s="1"/>
  <c r="Q32" i="2"/>
  <c r="X32" i="2" s="1"/>
  <c r="R78" i="1"/>
  <c r="P78" i="1"/>
  <c r="P30" i="1"/>
  <c r="P32" i="1"/>
  <c r="P34" i="1"/>
  <c r="P36" i="1"/>
  <c r="P38" i="1"/>
  <c r="P40" i="1"/>
  <c r="P42" i="1"/>
  <c r="P44" i="1"/>
  <c r="P46" i="1"/>
  <c r="P48" i="1"/>
  <c r="P50" i="1"/>
  <c r="P52" i="1"/>
  <c r="P54" i="1"/>
  <c r="P56" i="1"/>
  <c r="P58" i="1"/>
  <c r="P60" i="1"/>
  <c r="P62" i="1"/>
  <c r="P64" i="1"/>
  <c r="P66" i="1"/>
  <c r="P68" i="1"/>
  <c r="P70" i="1"/>
  <c r="V2" i="1"/>
  <c r="V3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AJ72" i="1"/>
  <c r="AK72" i="1"/>
  <c r="AJ73" i="1"/>
  <c r="AK73" i="1"/>
  <c r="AJ74" i="1"/>
  <c r="AK74" i="1"/>
  <c r="AJ75" i="1"/>
  <c r="AK75" i="1"/>
  <c r="AJ76" i="1"/>
  <c r="AK76" i="1"/>
  <c r="AJ77" i="1"/>
  <c r="AK77" i="1"/>
  <c r="AJ78" i="1"/>
  <c r="AK78" i="1"/>
  <c r="AJ79" i="1"/>
  <c r="AK79" i="1"/>
  <c r="AJ80" i="1"/>
  <c r="AK80" i="1"/>
  <c r="AJ81" i="1"/>
  <c r="AK81" i="1"/>
  <c r="AJ82" i="1"/>
  <c r="AK82" i="1"/>
  <c r="AJ83" i="1"/>
  <c r="AK83" i="1"/>
  <c r="AJ84" i="1"/>
  <c r="AK84" i="1"/>
  <c r="AJ85" i="1"/>
  <c r="AK85" i="1"/>
  <c r="AJ86" i="1"/>
  <c r="AK86" i="1"/>
  <c r="AJ87" i="1"/>
  <c r="AK87" i="1"/>
  <c r="AJ88" i="1"/>
  <c r="AK88" i="1"/>
  <c r="AJ89" i="1"/>
  <c r="AK89" i="1"/>
  <c r="AJ90" i="1"/>
  <c r="AK90" i="1"/>
  <c r="AJ91" i="1"/>
  <c r="AK91" i="1"/>
  <c r="AJ92" i="1"/>
  <c r="AK92" i="1"/>
  <c r="AJ93" i="1"/>
  <c r="AK93" i="1"/>
  <c r="AJ94" i="1"/>
  <c r="AK94" i="1"/>
  <c r="AJ95" i="1"/>
  <c r="AK95" i="1"/>
  <c r="AJ96" i="1"/>
  <c r="AK96" i="1"/>
  <c r="AJ97" i="1"/>
  <c r="AK97" i="1"/>
  <c r="AJ98" i="1"/>
  <c r="AK98" i="1"/>
  <c r="AJ99" i="1"/>
  <c r="AK99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Q30" i="1" s="1"/>
  <c r="AJ31" i="1"/>
  <c r="P31" i="1" s="1"/>
  <c r="AJ32" i="1"/>
  <c r="Q32" i="1" s="1"/>
  <c r="AJ33" i="1"/>
  <c r="P33" i="1" s="1"/>
  <c r="AJ34" i="1"/>
  <c r="Q34" i="1" s="1"/>
  <c r="AJ35" i="1"/>
  <c r="P35" i="1" s="1"/>
  <c r="AJ36" i="1"/>
  <c r="Q36" i="1" s="1"/>
  <c r="AJ37" i="1"/>
  <c r="P37" i="1" s="1"/>
  <c r="AJ38" i="1"/>
  <c r="Q38" i="1" s="1"/>
  <c r="AJ39" i="1"/>
  <c r="P39" i="1" s="1"/>
  <c r="AJ40" i="1"/>
  <c r="Q40" i="1" s="1"/>
  <c r="AJ41" i="1"/>
  <c r="P41" i="1" s="1"/>
  <c r="AJ42" i="1"/>
  <c r="Q42" i="1" s="1"/>
  <c r="AJ43" i="1"/>
  <c r="P43" i="1" s="1"/>
  <c r="AJ44" i="1"/>
  <c r="Q44" i="1" s="1"/>
  <c r="AJ45" i="1"/>
  <c r="P45" i="1" s="1"/>
  <c r="AJ46" i="1"/>
  <c r="Q46" i="1" s="1"/>
  <c r="AJ47" i="1"/>
  <c r="P47" i="1" s="1"/>
  <c r="AJ48" i="1"/>
  <c r="Q48" i="1" s="1"/>
  <c r="AJ49" i="1"/>
  <c r="P49" i="1" s="1"/>
  <c r="AJ50" i="1"/>
  <c r="Q50" i="1" s="1"/>
  <c r="AJ51" i="1"/>
  <c r="P51" i="1" s="1"/>
  <c r="AJ52" i="1"/>
  <c r="Q52" i="1" s="1"/>
  <c r="AJ53" i="1"/>
  <c r="P53" i="1" s="1"/>
  <c r="AJ54" i="1"/>
  <c r="Q54" i="1" s="1"/>
  <c r="AJ55" i="1"/>
  <c r="P55" i="1" s="1"/>
  <c r="AJ56" i="1"/>
  <c r="Q56" i="1" s="1"/>
  <c r="AJ57" i="1"/>
  <c r="P57" i="1" s="1"/>
  <c r="AJ58" i="1"/>
  <c r="Q58" i="1" s="1"/>
  <c r="AJ59" i="1"/>
  <c r="P59" i="1" s="1"/>
  <c r="AJ60" i="1"/>
  <c r="Q60" i="1" s="1"/>
  <c r="AJ61" i="1"/>
  <c r="P61" i="1" s="1"/>
  <c r="AJ62" i="1"/>
  <c r="Q62" i="1" s="1"/>
  <c r="AJ63" i="1"/>
  <c r="P63" i="1" s="1"/>
  <c r="AJ64" i="1"/>
  <c r="Q64" i="1" s="1"/>
  <c r="AJ65" i="1"/>
  <c r="P65" i="1" s="1"/>
  <c r="AJ66" i="1"/>
  <c r="Q66" i="1" s="1"/>
  <c r="AJ67" i="1"/>
  <c r="P67" i="1" s="1"/>
  <c r="AJ68" i="1"/>
  <c r="Q68" i="1" s="1"/>
  <c r="AJ69" i="1"/>
  <c r="P69" i="1" s="1"/>
  <c r="AJ70" i="1"/>
  <c r="Q70" i="1" s="1"/>
  <c r="AJ71" i="1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T32" i="2" l="1"/>
  <c r="S32" i="2" s="1"/>
  <c r="AB32" i="2"/>
  <c r="S69" i="1"/>
  <c r="S67" i="1"/>
  <c r="S65" i="1"/>
  <c r="S63" i="1"/>
  <c r="S61" i="1"/>
  <c r="S59" i="1"/>
  <c r="S57" i="1"/>
  <c r="S55" i="1"/>
  <c r="S53" i="1"/>
  <c r="S51" i="1"/>
  <c r="S49" i="1"/>
  <c r="S47" i="1"/>
  <c r="S45" i="1"/>
  <c r="S43" i="1"/>
  <c r="S41" i="1"/>
  <c r="S39" i="1"/>
  <c r="S37" i="1"/>
  <c r="S35" i="1"/>
  <c r="S33" i="1"/>
  <c r="S31" i="1"/>
  <c r="S29" i="1"/>
  <c r="R69" i="1"/>
  <c r="R67" i="1"/>
  <c r="R65" i="1"/>
  <c r="R63" i="1"/>
  <c r="R61" i="1"/>
  <c r="R59" i="1"/>
  <c r="R57" i="1"/>
  <c r="R55" i="1"/>
  <c r="R53" i="1"/>
  <c r="R51" i="1"/>
  <c r="R49" i="1"/>
  <c r="R47" i="1"/>
  <c r="R45" i="1"/>
  <c r="R43" i="1"/>
  <c r="R41" i="1"/>
  <c r="R39" i="1"/>
  <c r="R37" i="1"/>
  <c r="R35" i="1"/>
  <c r="R33" i="1"/>
  <c r="R31" i="1"/>
  <c r="Q69" i="1"/>
  <c r="Q67" i="1"/>
  <c r="Q65" i="1"/>
  <c r="Q63" i="1"/>
  <c r="Q61" i="1"/>
  <c r="Q59" i="1"/>
  <c r="Q57" i="1"/>
  <c r="Q55" i="1"/>
  <c r="Q53" i="1"/>
  <c r="Q51" i="1"/>
  <c r="Q49" i="1"/>
  <c r="Q47" i="1"/>
  <c r="Q45" i="1"/>
  <c r="Q43" i="1"/>
  <c r="Q41" i="1"/>
  <c r="Q39" i="1"/>
  <c r="Q37" i="1"/>
  <c r="Q35" i="1"/>
  <c r="Q33" i="1"/>
  <c r="Q31" i="1"/>
  <c r="R71" i="1"/>
  <c r="S71" i="1"/>
  <c r="Q71" i="1"/>
  <c r="P71" i="1"/>
  <c r="S70" i="1"/>
  <c r="S68" i="1"/>
  <c r="S66" i="1"/>
  <c r="S64" i="1"/>
  <c r="S62" i="1"/>
  <c r="S60" i="1"/>
  <c r="S58" i="1"/>
  <c r="S56" i="1"/>
  <c r="S54" i="1"/>
  <c r="S52" i="1"/>
  <c r="S50" i="1"/>
  <c r="S48" i="1"/>
  <c r="S46" i="1"/>
  <c r="S44" i="1"/>
  <c r="S42" i="1"/>
  <c r="S40" i="1"/>
  <c r="S38" i="1"/>
  <c r="S36" i="1"/>
  <c r="S34" i="1"/>
  <c r="S32" i="1"/>
  <c r="S30" i="1"/>
  <c r="R70" i="1"/>
  <c r="R68" i="1"/>
  <c r="R66" i="1"/>
  <c r="R64" i="1"/>
  <c r="R62" i="1"/>
  <c r="R60" i="1"/>
  <c r="R58" i="1"/>
  <c r="R56" i="1"/>
  <c r="R54" i="1"/>
  <c r="R52" i="1"/>
  <c r="R50" i="1"/>
  <c r="R48" i="1"/>
  <c r="R46" i="1"/>
  <c r="R44" i="1"/>
  <c r="R42" i="1"/>
  <c r="R40" i="1"/>
  <c r="R38" i="1"/>
  <c r="R36" i="1"/>
  <c r="R34" i="1"/>
  <c r="R32" i="1"/>
  <c r="R30" i="1"/>
  <c r="P75" i="1"/>
  <c r="Q75" i="1"/>
  <c r="R75" i="1"/>
  <c r="S75" i="1"/>
  <c r="S74" i="1"/>
  <c r="P74" i="1"/>
  <c r="R74" i="1"/>
  <c r="Q74" i="1"/>
  <c r="P77" i="1"/>
  <c r="S77" i="1"/>
  <c r="Q77" i="1"/>
  <c r="R77" i="1"/>
  <c r="P73" i="1"/>
  <c r="Q73" i="1"/>
  <c r="S73" i="1"/>
  <c r="R73" i="1"/>
  <c r="R76" i="1"/>
  <c r="P76" i="1"/>
  <c r="S76" i="1"/>
  <c r="Q76" i="1"/>
  <c r="P72" i="1"/>
  <c r="Q72" i="1"/>
  <c r="R72" i="1"/>
  <c r="S72" i="1"/>
  <c r="Q29" i="1"/>
  <c r="P29" i="1"/>
  <c r="R29" i="1"/>
  <c r="AG33" i="2" l="1"/>
  <c r="AI33" i="2" s="1"/>
  <c r="AJ33" i="2" s="1"/>
  <c r="AH33" i="2"/>
  <c r="R33" i="2" s="1"/>
  <c r="Y33" i="2" s="1"/>
  <c r="I49" i="1"/>
  <c r="M33" i="2" l="1"/>
  <c r="P33" i="2"/>
  <c r="W33" i="2" s="1"/>
  <c r="N33" i="2"/>
  <c r="U33" i="2" s="1"/>
  <c r="Q33" i="2"/>
  <c r="X33" i="2" s="1"/>
  <c r="O33" i="2"/>
  <c r="V33" i="2" s="1"/>
  <c r="H49" i="1"/>
  <c r="H47" i="1"/>
  <c r="H36" i="1"/>
  <c r="H34" i="1"/>
  <c r="H33" i="1"/>
  <c r="H32" i="1"/>
  <c r="H31" i="1"/>
  <c r="H30" i="1"/>
  <c r="H29" i="1"/>
  <c r="H28" i="1"/>
  <c r="H21" i="1"/>
  <c r="H19" i="1"/>
  <c r="H15" i="1"/>
  <c r="H13" i="1"/>
  <c r="H11" i="1"/>
  <c r="H5" i="1"/>
  <c r="T33" i="2" l="1"/>
  <c r="S33" i="2" s="1"/>
  <c r="AB33" i="2"/>
  <c r="N7" i="1"/>
  <c r="AH34" i="2" l="1"/>
  <c r="AG34" i="2"/>
  <c r="AI34" i="2" s="1"/>
  <c r="AJ34" i="2" s="1"/>
  <c r="P8" i="1"/>
  <c r="Q8" i="1"/>
  <c r="T8" i="1"/>
  <c r="U8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N2" i="1"/>
  <c r="O2" i="1" s="1"/>
  <c r="N3" i="1"/>
  <c r="O3" i="1" s="1"/>
  <c r="N4" i="1"/>
  <c r="N5" i="1"/>
  <c r="N6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O78" i="1" s="1"/>
  <c r="N79" i="1"/>
  <c r="O79" i="1" s="1"/>
  <c r="N80" i="1"/>
  <c r="O80" i="1" s="1"/>
  <c r="N81" i="1"/>
  <c r="O81" i="1" s="1"/>
  <c r="N82" i="1"/>
  <c r="O82" i="1" s="1"/>
  <c r="N83" i="1"/>
  <c r="O83" i="1" s="1"/>
  <c r="N84" i="1"/>
  <c r="O84" i="1" s="1"/>
  <c r="N85" i="1"/>
  <c r="O85" i="1" s="1"/>
  <c r="N86" i="1"/>
  <c r="O86" i="1" s="1"/>
  <c r="N87" i="1"/>
  <c r="O87" i="1" s="1"/>
  <c r="N88" i="1"/>
  <c r="O88" i="1" s="1"/>
  <c r="N89" i="1"/>
  <c r="O89" i="1" s="1"/>
  <c r="N90" i="1"/>
  <c r="O90" i="1" s="1"/>
  <c r="N91" i="1"/>
  <c r="O91" i="1" s="1"/>
  <c r="N92" i="1"/>
  <c r="O92" i="1" s="1"/>
  <c r="N93" i="1"/>
  <c r="O93" i="1" s="1"/>
  <c r="N94" i="1"/>
  <c r="O94" i="1" s="1"/>
  <c r="N95" i="1"/>
  <c r="O95" i="1" s="1"/>
  <c r="N96" i="1"/>
  <c r="O96" i="1" s="1"/>
  <c r="N97" i="1"/>
  <c r="O97" i="1" s="1"/>
  <c r="N98" i="1"/>
  <c r="O98" i="1" s="1"/>
  <c r="N99" i="1"/>
  <c r="O99" i="1" s="1"/>
  <c r="R34" i="2" l="1"/>
  <c r="Y34" i="2" s="1"/>
  <c r="P34" i="2"/>
  <c r="W34" i="2" s="1"/>
  <c r="M34" i="2"/>
  <c r="O34" i="2"/>
  <c r="V34" i="2" s="1"/>
  <c r="Q34" i="2"/>
  <c r="X34" i="2" s="1"/>
  <c r="N34" i="2"/>
  <c r="U34" i="2" s="1"/>
  <c r="T27" i="1"/>
  <c r="P27" i="1"/>
  <c r="Q27" i="1"/>
  <c r="U27" i="1"/>
  <c r="Q19" i="1"/>
  <c r="P19" i="1"/>
  <c r="T19" i="1"/>
  <c r="U19" i="1"/>
  <c r="T11" i="1"/>
  <c r="Q11" i="1"/>
  <c r="P11" i="1"/>
  <c r="U11" i="1"/>
  <c r="P26" i="1"/>
  <c r="Q26" i="1"/>
  <c r="T26" i="1"/>
  <c r="U26" i="1"/>
  <c r="P18" i="1"/>
  <c r="Q18" i="1"/>
  <c r="T18" i="1"/>
  <c r="U18" i="1"/>
  <c r="P10" i="1"/>
  <c r="Q10" i="1"/>
  <c r="T10" i="1"/>
  <c r="U10" i="1"/>
  <c r="T17" i="1"/>
  <c r="U17" i="1"/>
  <c r="P17" i="1"/>
  <c r="Q17" i="1"/>
  <c r="P24" i="1"/>
  <c r="Q24" i="1"/>
  <c r="T24" i="1"/>
  <c r="U24" i="1"/>
  <c r="P16" i="1"/>
  <c r="Q16" i="1"/>
  <c r="T16" i="1"/>
  <c r="U16" i="1"/>
  <c r="U7" i="1"/>
  <c r="P7" i="1"/>
  <c r="Q7" i="1"/>
  <c r="T7" i="1"/>
  <c r="Q9" i="1"/>
  <c r="T9" i="1"/>
  <c r="U9" i="1"/>
  <c r="P9" i="1"/>
  <c r="P23" i="1"/>
  <c r="Q23" i="1"/>
  <c r="T23" i="1"/>
  <c r="U23" i="1"/>
  <c r="Q15" i="1"/>
  <c r="P15" i="1"/>
  <c r="T15" i="1"/>
  <c r="U15" i="1"/>
  <c r="P6" i="1"/>
  <c r="Q6" i="1"/>
  <c r="T6" i="1"/>
  <c r="U6" i="1"/>
  <c r="Q25" i="1"/>
  <c r="T25" i="1"/>
  <c r="U25" i="1"/>
  <c r="P25" i="1"/>
  <c r="P22" i="1"/>
  <c r="Q22" i="1"/>
  <c r="T22" i="1"/>
  <c r="U22" i="1"/>
  <c r="P14" i="1"/>
  <c r="Q14" i="1"/>
  <c r="T14" i="1"/>
  <c r="U14" i="1"/>
  <c r="T5" i="1"/>
  <c r="P5" i="1"/>
  <c r="U5" i="1"/>
  <c r="Q5" i="1"/>
  <c r="T21" i="1"/>
  <c r="Q21" i="1"/>
  <c r="U21" i="1"/>
  <c r="P21" i="1"/>
  <c r="U13" i="1"/>
  <c r="T13" i="1"/>
  <c r="P13" i="1"/>
  <c r="Q13" i="1"/>
  <c r="P28" i="1"/>
  <c r="Q28" i="1"/>
  <c r="T28" i="1"/>
  <c r="U28" i="1"/>
  <c r="P20" i="1"/>
  <c r="Q20" i="1"/>
  <c r="T20" i="1"/>
  <c r="U20" i="1"/>
  <c r="P12" i="1"/>
  <c r="Q12" i="1"/>
  <c r="T12" i="1"/>
  <c r="U12" i="1"/>
  <c r="P4" i="1"/>
  <c r="AC5" i="1"/>
  <c r="AC6" i="1"/>
  <c r="AC4" i="1"/>
  <c r="T34" i="2" l="1"/>
  <c r="S34" i="2" s="1"/>
  <c r="AB34" i="2"/>
  <c r="AE6" i="1"/>
  <c r="AE4" i="1"/>
  <c r="Q4" i="1"/>
  <c r="W4" i="1"/>
  <c r="AE5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Z77" i="1"/>
  <c r="Y77" i="1"/>
  <c r="X77" i="1"/>
  <c r="W77" i="1"/>
  <c r="Z76" i="1"/>
  <c r="Y76" i="1"/>
  <c r="X76" i="1"/>
  <c r="W76" i="1"/>
  <c r="Z75" i="1"/>
  <c r="Y75" i="1"/>
  <c r="X75" i="1"/>
  <c r="W75" i="1"/>
  <c r="Z74" i="1"/>
  <c r="Y74" i="1"/>
  <c r="X74" i="1"/>
  <c r="W74" i="1"/>
  <c r="Z73" i="1"/>
  <c r="Y73" i="1"/>
  <c r="X73" i="1"/>
  <c r="W73" i="1"/>
  <c r="Z72" i="1"/>
  <c r="Y72" i="1"/>
  <c r="X72" i="1"/>
  <c r="W72" i="1"/>
  <c r="Z71" i="1"/>
  <c r="Y71" i="1"/>
  <c r="X71" i="1"/>
  <c r="W71" i="1"/>
  <c r="Z70" i="1"/>
  <c r="Y70" i="1"/>
  <c r="X70" i="1"/>
  <c r="W70" i="1"/>
  <c r="Z69" i="1"/>
  <c r="Y69" i="1"/>
  <c r="X69" i="1"/>
  <c r="W69" i="1"/>
  <c r="Z68" i="1"/>
  <c r="Y68" i="1"/>
  <c r="X68" i="1"/>
  <c r="W68" i="1"/>
  <c r="Z67" i="1"/>
  <c r="Y67" i="1"/>
  <c r="X67" i="1"/>
  <c r="W67" i="1"/>
  <c r="Z66" i="1"/>
  <c r="Y66" i="1"/>
  <c r="X66" i="1"/>
  <c r="W66" i="1"/>
  <c r="Z65" i="1"/>
  <c r="Y65" i="1"/>
  <c r="X65" i="1"/>
  <c r="W65" i="1"/>
  <c r="Z64" i="1"/>
  <c r="Y64" i="1"/>
  <c r="X64" i="1"/>
  <c r="W64" i="1"/>
  <c r="Z63" i="1"/>
  <c r="Y63" i="1"/>
  <c r="X63" i="1"/>
  <c r="W63" i="1"/>
  <c r="Z62" i="1"/>
  <c r="Y62" i="1"/>
  <c r="X62" i="1"/>
  <c r="W62" i="1"/>
  <c r="Z61" i="1"/>
  <c r="Y61" i="1"/>
  <c r="X61" i="1"/>
  <c r="W61" i="1"/>
  <c r="Z60" i="1"/>
  <c r="Y60" i="1"/>
  <c r="X60" i="1"/>
  <c r="W60" i="1"/>
  <c r="Z59" i="1"/>
  <c r="Y59" i="1"/>
  <c r="X59" i="1"/>
  <c r="W59" i="1"/>
  <c r="Z58" i="1"/>
  <c r="Y58" i="1"/>
  <c r="X58" i="1"/>
  <c r="W58" i="1"/>
  <c r="Z57" i="1"/>
  <c r="Y57" i="1"/>
  <c r="X57" i="1"/>
  <c r="W57" i="1"/>
  <c r="Z56" i="1"/>
  <c r="Y56" i="1"/>
  <c r="X56" i="1"/>
  <c r="W56" i="1"/>
  <c r="Z55" i="1"/>
  <c r="Y55" i="1"/>
  <c r="X55" i="1"/>
  <c r="W55" i="1"/>
  <c r="Z54" i="1"/>
  <c r="Y54" i="1"/>
  <c r="X54" i="1"/>
  <c r="W54" i="1"/>
  <c r="Z53" i="1"/>
  <c r="Y53" i="1"/>
  <c r="X53" i="1"/>
  <c r="W53" i="1"/>
  <c r="Z52" i="1"/>
  <c r="Y52" i="1"/>
  <c r="X52" i="1"/>
  <c r="W52" i="1"/>
  <c r="Z51" i="1"/>
  <c r="Y51" i="1"/>
  <c r="X51" i="1"/>
  <c r="W51" i="1"/>
  <c r="Z50" i="1"/>
  <c r="Y50" i="1"/>
  <c r="X50" i="1"/>
  <c r="W50" i="1"/>
  <c r="Z49" i="1"/>
  <c r="Y49" i="1"/>
  <c r="X49" i="1"/>
  <c r="W49" i="1"/>
  <c r="Z48" i="1"/>
  <c r="Y48" i="1"/>
  <c r="X48" i="1"/>
  <c r="W48" i="1"/>
  <c r="Z47" i="1"/>
  <c r="Y47" i="1"/>
  <c r="X47" i="1"/>
  <c r="W47" i="1"/>
  <c r="Z46" i="1"/>
  <c r="Y46" i="1"/>
  <c r="X46" i="1"/>
  <c r="W46" i="1"/>
  <c r="Z45" i="1"/>
  <c r="Y45" i="1"/>
  <c r="X45" i="1"/>
  <c r="W45" i="1"/>
  <c r="Z44" i="1"/>
  <c r="Y44" i="1"/>
  <c r="X44" i="1"/>
  <c r="W44" i="1"/>
  <c r="Z43" i="1"/>
  <c r="Y43" i="1"/>
  <c r="X43" i="1"/>
  <c r="W43" i="1"/>
  <c r="Z42" i="1"/>
  <c r="Y42" i="1"/>
  <c r="X42" i="1"/>
  <c r="W42" i="1"/>
  <c r="Z41" i="1"/>
  <c r="Y41" i="1"/>
  <c r="X41" i="1"/>
  <c r="W41" i="1"/>
  <c r="Z40" i="1"/>
  <c r="Y40" i="1"/>
  <c r="X40" i="1"/>
  <c r="W40" i="1"/>
  <c r="Z39" i="1"/>
  <c r="Y39" i="1"/>
  <c r="X39" i="1"/>
  <c r="W39" i="1"/>
  <c r="Z38" i="1"/>
  <c r="Y38" i="1"/>
  <c r="X38" i="1"/>
  <c r="W38" i="1"/>
  <c r="Z37" i="1"/>
  <c r="Y37" i="1"/>
  <c r="X37" i="1"/>
  <c r="W37" i="1"/>
  <c r="Z36" i="1"/>
  <c r="Y36" i="1"/>
  <c r="X36" i="1"/>
  <c r="W36" i="1"/>
  <c r="Z35" i="1"/>
  <c r="Y35" i="1"/>
  <c r="X35" i="1"/>
  <c r="W35" i="1"/>
  <c r="Z34" i="1"/>
  <c r="Y34" i="1"/>
  <c r="X34" i="1"/>
  <c r="W34" i="1"/>
  <c r="Z33" i="1"/>
  <c r="Y33" i="1"/>
  <c r="X33" i="1"/>
  <c r="W33" i="1"/>
  <c r="Z32" i="1"/>
  <c r="Y32" i="1"/>
  <c r="X32" i="1"/>
  <c r="W32" i="1"/>
  <c r="Z31" i="1"/>
  <c r="Y31" i="1"/>
  <c r="X31" i="1"/>
  <c r="W31" i="1"/>
  <c r="Z30" i="1"/>
  <c r="Y30" i="1"/>
  <c r="X30" i="1"/>
  <c r="W30" i="1"/>
  <c r="Z29" i="1"/>
  <c r="Y29" i="1"/>
  <c r="X29" i="1"/>
  <c r="W29" i="1"/>
  <c r="X28" i="1"/>
  <c r="W28" i="1"/>
  <c r="X27" i="1"/>
  <c r="W27" i="1"/>
  <c r="X26" i="1"/>
  <c r="W26" i="1"/>
  <c r="X25" i="1"/>
  <c r="W25" i="1"/>
  <c r="X24" i="1"/>
  <c r="W24" i="1"/>
  <c r="X23" i="1"/>
  <c r="W23" i="1"/>
  <c r="X22" i="1"/>
  <c r="W22" i="1"/>
  <c r="X21" i="1"/>
  <c r="W21" i="1"/>
  <c r="X20" i="1"/>
  <c r="W20" i="1"/>
  <c r="X19" i="1"/>
  <c r="W19" i="1"/>
  <c r="X18" i="1"/>
  <c r="W18" i="1"/>
  <c r="X17" i="1"/>
  <c r="W17" i="1"/>
  <c r="X16" i="1"/>
  <c r="W16" i="1"/>
  <c r="X15" i="1"/>
  <c r="W15" i="1"/>
  <c r="X14" i="1"/>
  <c r="W14" i="1"/>
  <c r="X13" i="1"/>
  <c r="W13" i="1"/>
  <c r="X12" i="1"/>
  <c r="W12" i="1"/>
  <c r="X11" i="1"/>
  <c r="W11" i="1"/>
  <c r="X10" i="1"/>
  <c r="W10" i="1"/>
  <c r="X9" i="1"/>
  <c r="W9" i="1"/>
  <c r="X8" i="1"/>
  <c r="W8" i="1"/>
  <c r="M4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AG35" i="2" l="1"/>
  <c r="AI35" i="2" s="1"/>
  <c r="AJ35" i="2" s="1"/>
  <c r="AH35" i="2"/>
  <c r="R35" i="2" s="1"/>
  <c r="Y35" i="2" s="1"/>
  <c r="O16" i="1"/>
  <c r="V16" i="1"/>
  <c r="O20" i="1"/>
  <c r="V20" i="1"/>
  <c r="O24" i="1"/>
  <c r="V24" i="1"/>
  <c r="O28" i="1"/>
  <c r="V28" i="1"/>
  <c r="O9" i="1"/>
  <c r="V9" i="1"/>
  <c r="O13" i="1"/>
  <c r="V13" i="1"/>
  <c r="O17" i="1"/>
  <c r="V17" i="1"/>
  <c r="O21" i="1"/>
  <c r="V21" i="1"/>
  <c r="O25" i="1"/>
  <c r="V25" i="1"/>
  <c r="O8" i="1"/>
  <c r="V8" i="1"/>
  <c r="O10" i="1"/>
  <c r="V10" i="1"/>
  <c r="O14" i="1"/>
  <c r="V14" i="1"/>
  <c r="O18" i="1"/>
  <c r="V18" i="1"/>
  <c r="O22" i="1"/>
  <c r="V22" i="1"/>
  <c r="O26" i="1"/>
  <c r="V26" i="1"/>
  <c r="O4" i="1"/>
  <c r="V4" i="1"/>
  <c r="O12" i="1"/>
  <c r="V12" i="1"/>
  <c r="O11" i="1"/>
  <c r="V11" i="1"/>
  <c r="O15" i="1"/>
  <c r="V15" i="1"/>
  <c r="O19" i="1"/>
  <c r="V19" i="1"/>
  <c r="O23" i="1"/>
  <c r="V23" i="1"/>
  <c r="O27" i="1"/>
  <c r="V27" i="1"/>
  <c r="AC7" i="1"/>
  <c r="AE7" i="1" s="1"/>
  <c r="AC35" i="1"/>
  <c r="AE35" i="1" s="1"/>
  <c r="AC19" i="1"/>
  <c r="AE19" i="1" s="1"/>
  <c r="AC42" i="1"/>
  <c r="AE42" i="1" s="1"/>
  <c r="AC34" i="1"/>
  <c r="AE34" i="1" s="1"/>
  <c r="AC26" i="1"/>
  <c r="AE26" i="1" s="1"/>
  <c r="AC18" i="1"/>
  <c r="AE18" i="1" s="1"/>
  <c r="AC10" i="1"/>
  <c r="AE10" i="1" s="1"/>
  <c r="AC43" i="1"/>
  <c r="AE43" i="1" s="1"/>
  <c r="AC27" i="1"/>
  <c r="AE27" i="1" s="1"/>
  <c r="AC11" i="1"/>
  <c r="AE11" i="1" s="1"/>
  <c r="AC49" i="1"/>
  <c r="AE49" i="1" s="1"/>
  <c r="AC41" i="1"/>
  <c r="AE41" i="1" s="1"/>
  <c r="AC33" i="1"/>
  <c r="AE33" i="1" s="1"/>
  <c r="AC25" i="1"/>
  <c r="AE25" i="1" s="1"/>
  <c r="AC17" i="1"/>
  <c r="AE17" i="1" s="1"/>
  <c r="AC9" i="1"/>
  <c r="AE9" i="1" s="1"/>
  <c r="AC40" i="1"/>
  <c r="AE40" i="1" s="1"/>
  <c r="AC32" i="1"/>
  <c r="AE32" i="1" s="1"/>
  <c r="AC24" i="1"/>
  <c r="AE24" i="1" s="1"/>
  <c r="AC16" i="1"/>
  <c r="AE16" i="1" s="1"/>
  <c r="AC8" i="1"/>
  <c r="AE8" i="1" s="1"/>
  <c r="AC48" i="1"/>
  <c r="AE48" i="1" s="1"/>
  <c r="AC47" i="1"/>
  <c r="AE47" i="1" s="1"/>
  <c r="AC39" i="1"/>
  <c r="AE39" i="1" s="1"/>
  <c r="AC31" i="1"/>
  <c r="AE31" i="1" s="1"/>
  <c r="AC23" i="1"/>
  <c r="AE23" i="1" s="1"/>
  <c r="AC15" i="1"/>
  <c r="AE15" i="1" s="1"/>
  <c r="AC46" i="1"/>
  <c r="AE46" i="1" s="1"/>
  <c r="AC38" i="1"/>
  <c r="AE38" i="1" s="1"/>
  <c r="AC30" i="1"/>
  <c r="AE30" i="1" s="1"/>
  <c r="AC22" i="1"/>
  <c r="AE22" i="1" s="1"/>
  <c r="AC14" i="1"/>
  <c r="AE14" i="1" s="1"/>
  <c r="AC45" i="1"/>
  <c r="AE45" i="1" s="1"/>
  <c r="AC37" i="1"/>
  <c r="AE37" i="1" s="1"/>
  <c r="AC29" i="1"/>
  <c r="AE29" i="1" s="1"/>
  <c r="AC21" i="1"/>
  <c r="AE21" i="1" s="1"/>
  <c r="AC13" i="1"/>
  <c r="AE13" i="1" s="1"/>
  <c r="AC44" i="1"/>
  <c r="AE44" i="1" s="1"/>
  <c r="AC36" i="1"/>
  <c r="AE36" i="1" s="1"/>
  <c r="AC28" i="1"/>
  <c r="AE28" i="1" s="1"/>
  <c r="AC20" i="1"/>
  <c r="AE20" i="1" s="1"/>
  <c r="AC12" i="1"/>
  <c r="AE12" i="1" s="1"/>
  <c r="X7" i="1"/>
  <c r="X4" i="1"/>
  <c r="W6" i="1"/>
  <c r="X6" i="1"/>
  <c r="W5" i="1"/>
  <c r="X5" i="1"/>
  <c r="P35" i="2" l="1"/>
  <c r="W35" i="2" s="1"/>
  <c r="O35" i="2"/>
  <c r="V35" i="2" s="1"/>
  <c r="M35" i="2"/>
  <c r="Q35" i="2"/>
  <c r="X35" i="2" s="1"/>
  <c r="N35" i="2"/>
  <c r="U35" i="2" s="1"/>
  <c r="U29" i="1"/>
  <c r="AB29" i="1" s="1"/>
  <c r="T29" i="1"/>
  <c r="AA29" i="1" s="1"/>
  <c r="O6" i="1"/>
  <c r="V6" i="1"/>
  <c r="O5" i="1"/>
  <c r="V5" i="1"/>
  <c r="W7" i="1"/>
  <c r="AB35" i="2" l="1"/>
  <c r="T35" i="2"/>
  <c r="S35" i="2" s="1"/>
  <c r="O7" i="1"/>
  <c r="V7" i="1"/>
  <c r="V29" i="1"/>
  <c r="O29" i="1"/>
  <c r="AH36" i="2" l="1"/>
  <c r="R36" i="2" s="1"/>
  <c r="Y36" i="2" s="1"/>
  <c r="AG36" i="2"/>
  <c r="AI36" i="2" s="1"/>
  <c r="AJ36" i="2" s="1"/>
  <c r="T30" i="1"/>
  <c r="AA30" i="1" s="1"/>
  <c r="U30" i="1"/>
  <c r="AB30" i="1" s="1"/>
  <c r="Q36" i="2" l="1"/>
  <c r="X36" i="2" s="1"/>
  <c r="N36" i="2"/>
  <c r="U36" i="2" s="1"/>
  <c r="P36" i="2"/>
  <c r="W36" i="2" s="1"/>
  <c r="M36" i="2"/>
  <c r="O36" i="2"/>
  <c r="V36" i="2" s="1"/>
  <c r="V30" i="1"/>
  <c r="O30" i="1"/>
  <c r="AB36" i="2" l="1"/>
  <c r="T36" i="2"/>
  <c r="S36" i="2" s="1"/>
  <c r="T31" i="1"/>
  <c r="AA31" i="1" s="1"/>
  <c r="U31" i="1"/>
  <c r="AB31" i="1" s="1"/>
  <c r="AH37" i="2" l="1"/>
  <c r="AG37" i="2"/>
  <c r="O31" i="1"/>
  <c r="V31" i="1"/>
  <c r="AI37" i="2" l="1"/>
  <c r="AJ37" i="2" s="1"/>
  <c r="R37" i="2"/>
  <c r="Y37" i="2" s="1"/>
  <c r="P37" i="2"/>
  <c r="W37" i="2" s="1"/>
  <c r="O37" i="2"/>
  <c r="V37" i="2" s="1"/>
  <c r="Q37" i="2"/>
  <c r="X37" i="2" s="1"/>
  <c r="N37" i="2"/>
  <c r="U37" i="2" s="1"/>
  <c r="M37" i="2"/>
  <c r="U32" i="1"/>
  <c r="AB32" i="1" s="1"/>
  <c r="T32" i="1"/>
  <c r="AA32" i="1" s="1"/>
  <c r="T37" i="2" l="1"/>
  <c r="S37" i="2" s="1"/>
  <c r="AB37" i="2"/>
  <c r="O32" i="1"/>
  <c r="V32" i="1"/>
  <c r="AG38" i="2" l="1"/>
  <c r="AI38" i="2" s="1"/>
  <c r="AJ38" i="2" s="1"/>
  <c r="AH38" i="2"/>
  <c r="U33" i="1"/>
  <c r="AB33" i="1" s="1"/>
  <c r="T33" i="1"/>
  <c r="AA33" i="1" s="1"/>
  <c r="R38" i="2" l="1"/>
  <c r="Y38" i="2" s="1"/>
  <c r="N38" i="2"/>
  <c r="U38" i="2" s="1"/>
  <c r="Q38" i="2"/>
  <c r="X38" i="2" s="1"/>
  <c r="P38" i="2"/>
  <c r="W38" i="2" s="1"/>
  <c r="O38" i="2"/>
  <c r="V38" i="2" s="1"/>
  <c r="M38" i="2"/>
  <c r="V33" i="1"/>
  <c r="O33" i="1"/>
  <c r="T38" i="2" l="1"/>
  <c r="S38" i="2" s="1"/>
  <c r="AB38" i="2"/>
  <c r="T34" i="1"/>
  <c r="AA34" i="1" s="1"/>
  <c r="U34" i="1"/>
  <c r="AB34" i="1" s="1"/>
  <c r="AH39" i="2" l="1"/>
  <c r="AG39" i="2"/>
  <c r="V34" i="1"/>
  <c r="O34" i="1"/>
  <c r="AI39" i="2" l="1"/>
  <c r="AJ39" i="2" s="1"/>
  <c r="R39" i="2"/>
  <c r="Y39" i="2" s="1"/>
  <c r="O39" i="2"/>
  <c r="V39" i="2" s="1"/>
  <c r="Q39" i="2"/>
  <c r="X39" i="2" s="1"/>
  <c r="M39" i="2"/>
  <c r="P39" i="2"/>
  <c r="W39" i="2" s="1"/>
  <c r="N39" i="2"/>
  <c r="U39" i="2" s="1"/>
  <c r="T35" i="1"/>
  <c r="AA35" i="1" s="1"/>
  <c r="U35" i="1"/>
  <c r="AB35" i="1" s="1"/>
  <c r="T39" i="2" l="1"/>
  <c r="S39" i="2" s="1"/>
  <c r="AB39" i="2"/>
  <c r="V35" i="1"/>
  <c r="O35" i="1"/>
  <c r="AG40" i="2" l="1"/>
  <c r="AI40" i="2" s="1"/>
  <c r="AJ40" i="2" s="1"/>
  <c r="AH40" i="2"/>
  <c r="T36" i="1"/>
  <c r="AA36" i="1" s="1"/>
  <c r="U36" i="1"/>
  <c r="AB36" i="1" s="1"/>
  <c r="R40" i="2" l="1"/>
  <c r="Y40" i="2" s="1"/>
  <c r="O40" i="2"/>
  <c r="V40" i="2" s="1"/>
  <c r="M40" i="2"/>
  <c r="P40" i="2"/>
  <c r="W40" i="2" s="1"/>
  <c r="Q40" i="2"/>
  <c r="X40" i="2" s="1"/>
  <c r="N40" i="2"/>
  <c r="U40" i="2" s="1"/>
  <c r="O36" i="1"/>
  <c r="V36" i="1"/>
  <c r="T40" i="2" l="1"/>
  <c r="S40" i="2" s="1"/>
  <c r="AB40" i="2"/>
  <c r="U37" i="1"/>
  <c r="AB37" i="1" s="1"/>
  <c r="T37" i="1"/>
  <c r="AA37" i="1" s="1"/>
  <c r="AH41" i="2" l="1"/>
  <c r="R41" i="2" s="1"/>
  <c r="Y41" i="2" s="1"/>
  <c r="AG41" i="2"/>
  <c r="AI41" i="2" s="1"/>
  <c r="AJ41" i="2" s="1"/>
  <c r="V37" i="1"/>
  <c r="O37" i="1"/>
  <c r="N41" i="2" l="1"/>
  <c r="U41" i="2" s="1"/>
  <c r="M41" i="2"/>
  <c r="P41" i="2"/>
  <c r="W41" i="2" s="1"/>
  <c r="O41" i="2"/>
  <c r="V41" i="2" s="1"/>
  <c r="Q41" i="2"/>
  <c r="X41" i="2" s="1"/>
  <c r="T38" i="1"/>
  <c r="AA38" i="1" s="1"/>
  <c r="U38" i="1"/>
  <c r="AB38" i="1" s="1"/>
  <c r="T41" i="2" l="1"/>
  <c r="S41" i="2" s="1"/>
  <c r="AB41" i="2"/>
  <c r="V38" i="1"/>
  <c r="O38" i="1"/>
  <c r="AH42" i="2" l="1"/>
  <c r="AG42" i="2"/>
  <c r="AI42" i="2" s="1"/>
  <c r="AJ42" i="2" s="1"/>
  <c r="T39" i="1"/>
  <c r="AA39" i="1" s="1"/>
  <c r="U39" i="1"/>
  <c r="AB39" i="1" s="1"/>
  <c r="R42" i="2" l="1"/>
  <c r="Y42" i="2" s="1"/>
  <c r="O42" i="2"/>
  <c r="V42" i="2" s="1"/>
  <c r="M42" i="2"/>
  <c r="N42" i="2"/>
  <c r="U42" i="2" s="1"/>
  <c r="Q42" i="2"/>
  <c r="X42" i="2" s="1"/>
  <c r="P42" i="2"/>
  <c r="W42" i="2" s="1"/>
  <c r="O39" i="1"/>
  <c r="V39" i="1"/>
  <c r="T42" i="2" l="1"/>
  <c r="S42" i="2" s="1"/>
  <c r="AB42" i="2"/>
  <c r="T40" i="1"/>
  <c r="AA40" i="1" s="1"/>
  <c r="U40" i="1"/>
  <c r="AB40" i="1" s="1"/>
  <c r="AG43" i="2" l="1"/>
  <c r="AI43" i="2" s="1"/>
  <c r="AJ43" i="2" s="1"/>
  <c r="AH43" i="2"/>
  <c r="O40" i="1"/>
  <c r="V40" i="1"/>
  <c r="R43" i="2" l="1"/>
  <c r="Y43" i="2" s="1"/>
  <c r="O43" i="2"/>
  <c r="V43" i="2" s="1"/>
  <c r="P43" i="2"/>
  <c r="W43" i="2" s="1"/>
  <c r="Q43" i="2"/>
  <c r="X43" i="2" s="1"/>
  <c r="M43" i="2"/>
  <c r="N43" i="2"/>
  <c r="U43" i="2" s="1"/>
  <c r="T41" i="1"/>
  <c r="AA41" i="1" s="1"/>
  <c r="U41" i="1"/>
  <c r="AB41" i="1" s="1"/>
  <c r="AB43" i="2" l="1"/>
  <c r="T43" i="2"/>
  <c r="S43" i="2" s="1"/>
  <c r="O41" i="1"/>
  <c r="V41" i="1"/>
  <c r="AG44" i="2" l="1"/>
  <c r="AI44" i="2" s="1"/>
  <c r="AJ44" i="2" s="1"/>
  <c r="AH44" i="2"/>
  <c r="U42" i="1"/>
  <c r="AB42" i="1" s="1"/>
  <c r="T42" i="1"/>
  <c r="AA42" i="1" s="1"/>
  <c r="R44" i="2" l="1"/>
  <c r="Y44" i="2" s="1"/>
  <c r="Q44" i="2"/>
  <c r="X44" i="2" s="1"/>
  <c r="N44" i="2"/>
  <c r="U44" i="2" s="1"/>
  <c r="M44" i="2"/>
  <c r="O44" i="2"/>
  <c r="V44" i="2" s="1"/>
  <c r="P44" i="2"/>
  <c r="W44" i="2" s="1"/>
  <c r="O42" i="1"/>
  <c r="V42" i="1"/>
  <c r="AB44" i="2" l="1"/>
  <c r="T44" i="2"/>
  <c r="S44" i="2" s="1"/>
  <c r="T43" i="1"/>
  <c r="AA43" i="1" s="1"/>
  <c r="U43" i="1"/>
  <c r="AB43" i="1" s="1"/>
  <c r="AH45" i="2" l="1"/>
  <c r="AG45" i="2"/>
  <c r="AI45" i="2" s="1"/>
  <c r="AJ45" i="2" s="1"/>
  <c r="O43" i="1"/>
  <c r="V43" i="1"/>
  <c r="R45" i="2" l="1"/>
  <c r="Y45" i="2" s="1"/>
  <c r="N45" i="2"/>
  <c r="U45" i="2" s="1"/>
  <c r="Q45" i="2"/>
  <c r="X45" i="2" s="1"/>
  <c r="M45" i="2"/>
  <c r="P45" i="2"/>
  <c r="W45" i="2" s="1"/>
  <c r="O45" i="2"/>
  <c r="V45" i="2" s="1"/>
  <c r="T44" i="1"/>
  <c r="AA44" i="1" s="1"/>
  <c r="U44" i="1"/>
  <c r="AB44" i="1" s="1"/>
  <c r="T45" i="2" l="1"/>
  <c r="S45" i="2" s="1"/>
  <c r="AB45" i="2"/>
  <c r="O44" i="1"/>
  <c r="V44" i="1"/>
  <c r="AG46" i="2" l="1"/>
  <c r="AH46" i="2"/>
  <c r="T45" i="1"/>
  <c r="AA45" i="1" s="1"/>
  <c r="U45" i="1"/>
  <c r="AB45" i="1" s="1"/>
  <c r="AI46" i="2" l="1"/>
  <c r="AJ46" i="2" s="1"/>
  <c r="R46" i="2"/>
  <c r="Y46" i="2" s="1"/>
  <c r="Q46" i="2"/>
  <c r="X46" i="2" s="1"/>
  <c r="M46" i="2"/>
  <c r="N46" i="2"/>
  <c r="U46" i="2" s="1"/>
  <c r="O46" i="2"/>
  <c r="V46" i="2" s="1"/>
  <c r="P46" i="2"/>
  <c r="W46" i="2" s="1"/>
  <c r="V45" i="1"/>
  <c r="O45" i="1"/>
  <c r="AB46" i="2" l="1"/>
  <c r="T46" i="2"/>
  <c r="S46" i="2" s="1"/>
  <c r="T46" i="1"/>
  <c r="AA46" i="1" s="1"/>
  <c r="U46" i="1"/>
  <c r="AB46" i="1" s="1"/>
  <c r="AH47" i="2" l="1"/>
  <c r="AG47" i="2"/>
  <c r="AI47" i="2" s="1"/>
  <c r="AJ47" i="2" s="1"/>
  <c r="O46" i="1"/>
  <c r="V46" i="1"/>
  <c r="R47" i="2" l="1"/>
  <c r="Y47" i="2" s="1"/>
  <c r="P47" i="2"/>
  <c r="W47" i="2" s="1"/>
  <c r="O47" i="2"/>
  <c r="V47" i="2" s="1"/>
  <c r="Q47" i="2"/>
  <c r="X47" i="2" s="1"/>
  <c r="N47" i="2"/>
  <c r="U47" i="2" s="1"/>
  <c r="M47" i="2"/>
  <c r="U47" i="1"/>
  <c r="AB47" i="1" s="1"/>
  <c r="T47" i="1"/>
  <c r="AA47" i="1" s="1"/>
  <c r="T47" i="2" l="1"/>
  <c r="S47" i="2" s="1"/>
  <c r="AB47" i="2"/>
  <c r="V47" i="1"/>
  <c r="O47" i="1"/>
  <c r="AG48" i="2" l="1"/>
  <c r="AH48" i="2"/>
  <c r="R48" i="2" s="1"/>
  <c r="Y48" i="2" s="1"/>
  <c r="T48" i="1"/>
  <c r="AA48" i="1" s="1"/>
  <c r="U48" i="1"/>
  <c r="AB48" i="1" s="1"/>
  <c r="AI48" i="2" l="1"/>
  <c r="AJ48" i="2" s="1"/>
  <c r="M48" i="2"/>
  <c r="N48" i="2"/>
  <c r="U48" i="2" s="1"/>
  <c r="O48" i="2"/>
  <c r="V48" i="2" s="1"/>
  <c r="Q48" i="2"/>
  <c r="X48" i="2" s="1"/>
  <c r="P48" i="2"/>
  <c r="W48" i="2" s="1"/>
  <c r="V48" i="1"/>
  <c r="O48" i="1"/>
  <c r="T48" i="2" l="1"/>
  <c r="S48" i="2" s="1"/>
  <c r="AB48" i="2"/>
  <c r="T49" i="1"/>
  <c r="AA49" i="1" s="1"/>
  <c r="U49" i="1"/>
  <c r="AB49" i="1" s="1"/>
  <c r="AG49" i="2" l="1"/>
  <c r="AI49" i="2" s="1"/>
  <c r="AJ49" i="2" s="1"/>
  <c r="AH49" i="2"/>
  <c r="R49" i="2" s="1"/>
  <c r="Y49" i="2" s="1"/>
  <c r="V49" i="1"/>
  <c r="O49" i="1"/>
  <c r="P49" i="2" l="1"/>
  <c r="W49" i="2" s="1"/>
  <c r="O49" i="2"/>
  <c r="V49" i="2" s="1"/>
  <c r="Q49" i="2"/>
  <c r="X49" i="2" s="1"/>
  <c r="M49" i="2"/>
  <c r="N49" i="2"/>
  <c r="U49" i="2" s="1"/>
  <c r="T50" i="1"/>
  <c r="AA50" i="1" s="1"/>
  <c r="U50" i="1"/>
  <c r="AB50" i="1" s="1"/>
  <c r="AB49" i="2" l="1"/>
  <c r="T49" i="2"/>
  <c r="S49" i="2" s="1"/>
  <c r="V50" i="1"/>
  <c r="O50" i="1"/>
  <c r="AH50" i="2" l="1"/>
  <c r="AG50" i="2"/>
  <c r="AI50" i="2" s="1"/>
  <c r="AJ50" i="2" s="1"/>
  <c r="T51" i="1"/>
  <c r="AA51" i="1" s="1"/>
  <c r="U51" i="1"/>
  <c r="AB51" i="1" s="1"/>
  <c r="R50" i="2" l="1"/>
  <c r="Y50" i="2" s="1"/>
  <c r="N50" i="2"/>
  <c r="U50" i="2" s="1"/>
  <c r="P50" i="2"/>
  <c r="W50" i="2" s="1"/>
  <c r="O50" i="2"/>
  <c r="V50" i="2" s="1"/>
  <c r="M50" i="2"/>
  <c r="Q50" i="2"/>
  <c r="X50" i="2" s="1"/>
  <c r="O51" i="1"/>
  <c r="V51" i="1"/>
  <c r="T50" i="2" l="1"/>
  <c r="S50" i="2" s="1"/>
  <c r="AB50" i="2"/>
  <c r="T52" i="1"/>
  <c r="AA52" i="1" s="1"/>
  <c r="U52" i="1"/>
  <c r="AB52" i="1" s="1"/>
  <c r="AH51" i="2" l="1"/>
  <c r="AG51" i="2"/>
  <c r="O52" i="1"/>
  <c r="V52" i="1"/>
  <c r="AI51" i="2" l="1"/>
  <c r="AJ51" i="2" s="1"/>
  <c r="R51" i="2"/>
  <c r="Y51" i="2" s="1"/>
  <c r="P51" i="2"/>
  <c r="W51" i="2" s="1"/>
  <c r="M51" i="2"/>
  <c r="O51" i="2"/>
  <c r="V51" i="2" s="1"/>
  <c r="Q51" i="2"/>
  <c r="X51" i="2" s="1"/>
  <c r="N51" i="2"/>
  <c r="U51" i="2" s="1"/>
  <c r="T53" i="1"/>
  <c r="AA53" i="1" s="1"/>
  <c r="U53" i="1"/>
  <c r="AB53" i="1" s="1"/>
  <c r="T51" i="2" l="1"/>
  <c r="S51" i="2" s="1"/>
  <c r="AB51" i="2"/>
  <c r="V53" i="1"/>
  <c r="O53" i="1"/>
  <c r="AG52" i="2" l="1"/>
  <c r="AI52" i="2" s="1"/>
  <c r="AJ52" i="2" s="1"/>
  <c r="AH52" i="2"/>
  <c r="U54" i="1"/>
  <c r="AB54" i="1" s="1"/>
  <c r="T54" i="1"/>
  <c r="AA54" i="1" s="1"/>
  <c r="R52" i="2" l="1"/>
  <c r="Y52" i="2" s="1"/>
  <c r="O52" i="2"/>
  <c r="V52" i="2" s="1"/>
  <c r="P52" i="2"/>
  <c r="W52" i="2" s="1"/>
  <c r="N52" i="2"/>
  <c r="U52" i="2" s="1"/>
  <c r="M52" i="2"/>
  <c r="Q52" i="2"/>
  <c r="X52" i="2" s="1"/>
  <c r="V54" i="1"/>
  <c r="O54" i="1"/>
  <c r="T52" i="2" l="1"/>
  <c r="S52" i="2" s="1"/>
  <c r="AB52" i="2"/>
  <c r="U55" i="1"/>
  <c r="AB55" i="1" s="1"/>
  <c r="T55" i="1"/>
  <c r="AA55" i="1" s="1"/>
  <c r="AH53" i="2" l="1"/>
  <c r="AG53" i="2"/>
  <c r="O55" i="1"/>
  <c r="V55" i="1"/>
  <c r="AI53" i="2" l="1"/>
  <c r="AJ53" i="2" s="1"/>
  <c r="R53" i="2"/>
  <c r="Y53" i="2" s="1"/>
  <c r="N53" i="2"/>
  <c r="U53" i="2" s="1"/>
  <c r="M53" i="2"/>
  <c r="P53" i="2"/>
  <c r="W53" i="2" s="1"/>
  <c r="O53" i="2"/>
  <c r="V53" i="2" s="1"/>
  <c r="Q53" i="2"/>
  <c r="X53" i="2" s="1"/>
  <c r="U56" i="1"/>
  <c r="AB56" i="1" s="1"/>
  <c r="T56" i="1"/>
  <c r="AA56" i="1" s="1"/>
  <c r="T53" i="2" l="1"/>
  <c r="S53" i="2" s="1"/>
  <c r="AB53" i="2"/>
  <c r="V56" i="1"/>
  <c r="O56" i="1"/>
  <c r="AH54" i="2" l="1"/>
  <c r="AG54" i="2"/>
  <c r="U57" i="1"/>
  <c r="AB57" i="1" s="1"/>
  <c r="T57" i="1"/>
  <c r="AA57" i="1" s="1"/>
  <c r="AI54" i="2" l="1"/>
  <c r="AJ54" i="2" s="1"/>
  <c r="P54" i="2"/>
  <c r="W54" i="2" s="1"/>
  <c r="M54" i="2"/>
  <c r="N54" i="2"/>
  <c r="U54" i="2" s="1"/>
  <c r="Q54" i="2"/>
  <c r="X54" i="2" s="1"/>
  <c r="O54" i="2"/>
  <c r="V54" i="2" s="1"/>
  <c r="R54" i="2"/>
  <c r="Y54" i="2" s="1"/>
  <c r="O57" i="1"/>
  <c r="V57" i="1"/>
  <c r="T54" i="2" l="1"/>
  <c r="S54" i="2" s="1"/>
  <c r="AB54" i="2"/>
  <c r="T58" i="1"/>
  <c r="AA58" i="1" s="1"/>
  <c r="U58" i="1"/>
  <c r="AB58" i="1" s="1"/>
  <c r="AG55" i="2" l="1"/>
  <c r="AI55" i="2" s="1"/>
  <c r="AJ55" i="2" s="1"/>
  <c r="AH55" i="2"/>
  <c r="O58" i="1"/>
  <c r="V58" i="1"/>
  <c r="R55" i="2" l="1"/>
  <c r="Y55" i="2" s="1"/>
  <c r="M55" i="2"/>
  <c r="O55" i="2"/>
  <c r="V55" i="2" s="1"/>
  <c r="N55" i="2"/>
  <c r="U55" i="2" s="1"/>
  <c r="P55" i="2"/>
  <c r="W55" i="2" s="1"/>
  <c r="Q55" i="2"/>
  <c r="X55" i="2" s="1"/>
  <c r="U59" i="1"/>
  <c r="AB59" i="1" s="1"/>
  <c r="T59" i="1"/>
  <c r="AA59" i="1" s="1"/>
  <c r="T55" i="2" l="1"/>
  <c r="S55" i="2" s="1"/>
  <c r="AB55" i="2"/>
  <c r="V59" i="1"/>
  <c r="O59" i="1"/>
  <c r="AH56" i="2" l="1"/>
  <c r="AG56" i="2"/>
  <c r="T60" i="1"/>
  <c r="AA60" i="1" s="1"/>
  <c r="U60" i="1"/>
  <c r="AB60" i="1" s="1"/>
  <c r="AI56" i="2" l="1"/>
  <c r="AJ56" i="2" s="1"/>
  <c r="R56" i="2"/>
  <c r="Y56" i="2" s="1"/>
  <c r="M56" i="2"/>
  <c r="O56" i="2"/>
  <c r="V56" i="2" s="1"/>
  <c r="Q56" i="2"/>
  <c r="X56" i="2" s="1"/>
  <c r="N56" i="2"/>
  <c r="U56" i="2" s="1"/>
  <c r="P56" i="2"/>
  <c r="W56" i="2" s="1"/>
  <c r="O60" i="1"/>
  <c r="V60" i="1"/>
  <c r="T56" i="2" l="1"/>
  <c r="S56" i="2" s="1"/>
  <c r="AB56" i="2"/>
  <c r="T61" i="1"/>
  <c r="AA61" i="1" s="1"/>
  <c r="U61" i="1"/>
  <c r="AB61" i="1" s="1"/>
  <c r="AH57" i="2" l="1"/>
  <c r="AG57" i="2"/>
  <c r="V61" i="1"/>
  <c r="O61" i="1"/>
  <c r="AI57" i="2" l="1"/>
  <c r="AJ57" i="2" s="1"/>
  <c r="O57" i="2"/>
  <c r="V57" i="2" s="1"/>
  <c r="Q57" i="2"/>
  <c r="X57" i="2" s="1"/>
  <c r="M57" i="2"/>
  <c r="N57" i="2"/>
  <c r="U57" i="2" s="1"/>
  <c r="P57" i="2"/>
  <c r="W57" i="2" s="1"/>
  <c r="R57" i="2"/>
  <c r="Y57" i="2" s="1"/>
  <c r="T62" i="1"/>
  <c r="AA62" i="1" s="1"/>
  <c r="U62" i="1"/>
  <c r="AB62" i="1" s="1"/>
  <c r="T57" i="2" l="1"/>
  <c r="S57" i="2" s="1"/>
  <c r="AB57" i="2"/>
  <c r="V62" i="1"/>
  <c r="O62" i="1"/>
  <c r="AG58" i="2" l="1"/>
  <c r="AI58" i="2" s="1"/>
  <c r="AJ58" i="2" s="1"/>
  <c r="AH58" i="2"/>
  <c r="U63" i="1"/>
  <c r="AB63" i="1" s="1"/>
  <c r="T63" i="1"/>
  <c r="AA63" i="1" s="1"/>
  <c r="R58" i="2" l="1"/>
  <c r="Y58" i="2" s="1"/>
  <c r="M58" i="2"/>
  <c r="Q58" i="2"/>
  <c r="X58" i="2" s="1"/>
  <c r="O58" i="2"/>
  <c r="V58" i="2" s="1"/>
  <c r="N58" i="2"/>
  <c r="U58" i="2" s="1"/>
  <c r="P58" i="2"/>
  <c r="W58" i="2" s="1"/>
  <c r="V63" i="1"/>
  <c r="O63" i="1"/>
  <c r="T58" i="2" l="1"/>
  <c r="S58" i="2" s="1"/>
  <c r="AB58" i="2"/>
  <c r="T64" i="1"/>
  <c r="AA64" i="1" s="1"/>
  <c r="U64" i="1"/>
  <c r="AB64" i="1" s="1"/>
  <c r="AG59" i="2" l="1"/>
  <c r="AI59" i="2" s="1"/>
  <c r="AJ59" i="2" s="1"/>
  <c r="AH59" i="2"/>
  <c r="R59" i="2" s="1"/>
  <c r="Y59" i="2" s="1"/>
  <c r="V64" i="1"/>
  <c r="O64" i="1"/>
  <c r="P59" i="2" l="1"/>
  <c r="W59" i="2" s="1"/>
  <c r="N59" i="2"/>
  <c r="U59" i="2" s="1"/>
  <c r="Q59" i="2"/>
  <c r="X59" i="2" s="1"/>
  <c r="M59" i="2"/>
  <c r="O59" i="2"/>
  <c r="V59" i="2" s="1"/>
  <c r="U65" i="1"/>
  <c r="AB65" i="1" s="1"/>
  <c r="T65" i="1"/>
  <c r="AA65" i="1" s="1"/>
  <c r="T59" i="2" l="1"/>
  <c r="S59" i="2" s="1"/>
  <c r="AB59" i="2"/>
  <c r="O65" i="1"/>
  <c r="V65" i="1"/>
  <c r="AG60" i="2" l="1"/>
  <c r="AI60" i="2" s="1"/>
  <c r="AJ60" i="2" s="1"/>
  <c r="AH60" i="2"/>
  <c r="R60" i="2" s="1"/>
  <c r="Y60" i="2" s="1"/>
  <c r="T66" i="1"/>
  <c r="AA66" i="1" s="1"/>
  <c r="U66" i="1"/>
  <c r="AB66" i="1" s="1"/>
  <c r="M60" i="2" l="1"/>
  <c r="Q60" i="2"/>
  <c r="X60" i="2" s="1"/>
  <c r="O60" i="2"/>
  <c r="V60" i="2" s="1"/>
  <c r="N60" i="2"/>
  <c r="U60" i="2" s="1"/>
  <c r="P60" i="2"/>
  <c r="W60" i="2" s="1"/>
  <c r="V66" i="1"/>
  <c r="O66" i="1"/>
  <c r="T60" i="2" l="1"/>
  <c r="S60" i="2" s="1"/>
  <c r="AB60" i="2"/>
  <c r="U67" i="1"/>
  <c r="AB67" i="1" s="1"/>
  <c r="T67" i="1"/>
  <c r="AA67" i="1" s="1"/>
  <c r="AH61" i="2" l="1"/>
  <c r="AG61" i="2"/>
  <c r="AI61" i="2" s="1"/>
  <c r="AJ61" i="2" s="1"/>
  <c r="V67" i="1"/>
  <c r="O67" i="1"/>
  <c r="P61" i="2" l="1"/>
  <c r="W61" i="2" s="1"/>
  <c r="N61" i="2"/>
  <c r="U61" i="2" s="1"/>
  <c r="Q61" i="2"/>
  <c r="X61" i="2" s="1"/>
  <c r="M61" i="2"/>
  <c r="O61" i="2"/>
  <c r="V61" i="2" s="1"/>
  <c r="R61" i="2"/>
  <c r="Y61" i="2" s="1"/>
  <c r="U68" i="1"/>
  <c r="AB68" i="1" s="1"/>
  <c r="T68" i="1"/>
  <c r="AA68" i="1" s="1"/>
  <c r="T61" i="2" l="1"/>
  <c r="S61" i="2" s="1"/>
  <c r="AB61" i="2"/>
  <c r="V68" i="1"/>
  <c r="O68" i="1"/>
  <c r="AG62" i="2" l="1"/>
  <c r="AI62" i="2" s="1"/>
  <c r="AJ62" i="2" s="1"/>
  <c r="AH62" i="2"/>
  <c r="R62" i="2" s="1"/>
  <c r="Y62" i="2" s="1"/>
  <c r="T69" i="1"/>
  <c r="AA69" i="1" s="1"/>
  <c r="U69" i="1"/>
  <c r="AB69" i="1" s="1"/>
  <c r="N62" i="2" l="1"/>
  <c r="U62" i="2" s="1"/>
  <c r="M62" i="2"/>
  <c r="O62" i="2"/>
  <c r="V62" i="2" s="1"/>
  <c r="Q62" i="2"/>
  <c r="X62" i="2" s="1"/>
  <c r="P62" i="2"/>
  <c r="W62" i="2" s="1"/>
  <c r="V69" i="1"/>
  <c r="O69" i="1"/>
  <c r="T62" i="2" l="1"/>
  <c r="S62" i="2" s="1"/>
  <c r="AB62" i="2"/>
  <c r="U70" i="1"/>
  <c r="AB70" i="1" s="1"/>
  <c r="T70" i="1"/>
  <c r="AA70" i="1" s="1"/>
  <c r="AH63" i="2" l="1"/>
  <c r="AG63" i="2"/>
  <c r="AI63" i="2" s="1"/>
  <c r="AJ63" i="2" s="1"/>
  <c r="O70" i="1"/>
  <c r="V70" i="1"/>
  <c r="Q63" i="2" l="1"/>
  <c r="X63" i="2" s="1"/>
  <c r="N63" i="2"/>
  <c r="U63" i="2" s="1"/>
  <c r="M63" i="2"/>
  <c r="P63" i="2"/>
  <c r="W63" i="2" s="1"/>
  <c r="O63" i="2"/>
  <c r="V63" i="2" s="1"/>
  <c r="R63" i="2"/>
  <c r="Y63" i="2" s="1"/>
  <c r="T71" i="1"/>
  <c r="AA71" i="1" s="1"/>
  <c r="U71" i="1"/>
  <c r="AB71" i="1" s="1"/>
  <c r="T63" i="2" l="1"/>
  <c r="S63" i="2" s="1"/>
  <c r="AB63" i="2"/>
  <c r="V71" i="1"/>
  <c r="O71" i="1"/>
  <c r="AH64" i="2" l="1"/>
  <c r="AG64" i="2"/>
  <c r="T72" i="1"/>
  <c r="AA72" i="1" s="1"/>
  <c r="U72" i="1"/>
  <c r="AB72" i="1" s="1"/>
  <c r="AI64" i="2" l="1"/>
  <c r="AJ64" i="2" s="1"/>
  <c r="O64" i="2"/>
  <c r="V64" i="2" s="1"/>
  <c r="P64" i="2"/>
  <c r="W64" i="2" s="1"/>
  <c r="M64" i="2"/>
  <c r="Q64" i="2"/>
  <c r="X64" i="2" s="1"/>
  <c r="N64" i="2"/>
  <c r="U64" i="2" s="1"/>
  <c r="R64" i="2"/>
  <c r="Y64" i="2" s="1"/>
  <c r="V72" i="1"/>
  <c r="O72" i="1"/>
  <c r="T64" i="2" l="1"/>
  <c r="S64" i="2" s="1"/>
  <c r="AB64" i="2"/>
  <c r="T73" i="1"/>
  <c r="AA73" i="1" s="1"/>
  <c r="U73" i="1"/>
  <c r="AB73" i="1" s="1"/>
  <c r="AH65" i="2" l="1"/>
  <c r="AG65" i="2"/>
  <c r="AI65" i="2" s="1"/>
  <c r="AJ65" i="2" s="1"/>
  <c r="V73" i="1"/>
  <c r="O73" i="1"/>
  <c r="R65" i="2" l="1"/>
  <c r="Y65" i="2" s="1"/>
  <c r="P65" i="2"/>
  <c r="W65" i="2" s="1"/>
  <c r="M65" i="2"/>
  <c r="N65" i="2"/>
  <c r="U65" i="2" s="1"/>
  <c r="O65" i="2"/>
  <c r="V65" i="2" s="1"/>
  <c r="Q65" i="2"/>
  <c r="X65" i="2" s="1"/>
  <c r="U74" i="1"/>
  <c r="AB74" i="1" s="1"/>
  <c r="T74" i="1"/>
  <c r="AA74" i="1" s="1"/>
  <c r="T65" i="2" l="1"/>
  <c r="S65" i="2" s="1"/>
  <c r="AB65" i="2"/>
  <c r="V74" i="1"/>
  <c r="O74" i="1"/>
  <c r="AH66" i="2" l="1"/>
  <c r="AG66" i="2"/>
  <c r="AI66" i="2" s="1"/>
  <c r="AJ66" i="2" s="1"/>
  <c r="T75" i="1"/>
  <c r="AA75" i="1" s="1"/>
  <c r="U75" i="1"/>
  <c r="AB75" i="1" s="1"/>
  <c r="N66" i="2" l="1"/>
  <c r="U66" i="2" s="1"/>
  <c r="P66" i="2"/>
  <c r="W66" i="2" s="1"/>
  <c r="Q66" i="2"/>
  <c r="X66" i="2" s="1"/>
  <c r="M66" i="2"/>
  <c r="O66" i="2"/>
  <c r="V66" i="2" s="1"/>
  <c r="R66" i="2"/>
  <c r="Y66" i="2" s="1"/>
  <c r="O75" i="1"/>
  <c r="V75" i="1"/>
  <c r="T66" i="2" l="1"/>
  <c r="S66" i="2" s="1"/>
  <c r="AB66" i="2"/>
  <c r="T76" i="1"/>
  <c r="AA76" i="1" s="1"/>
  <c r="U76" i="1"/>
  <c r="AB76" i="1" s="1"/>
  <c r="AG67" i="2" l="1"/>
  <c r="AH67" i="2"/>
  <c r="R67" i="2" s="1"/>
  <c r="Y67" i="2" s="1"/>
  <c r="V76" i="1"/>
  <c r="O76" i="1"/>
  <c r="AI67" i="2" l="1"/>
  <c r="AJ67" i="2" s="1"/>
  <c r="Q67" i="2"/>
  <c r="X67" i="2" s="1"/>
  <c r="O67" i="2"/>
  <c r="V67" i="2" s="1"/>
  <c r="M67" i="2"/>
  <c r="N67" i="2"/>
  <c r="U67" i="2" s="1"/>
  <c r="P67" i="2"/>
  <c r="W67" i="2" s="1"/>
  <c r="U77" i="1"/>
  <c r="AB77" i="1" s="1"/>
  <c r="T77" i="1"/>
  <c r="AA77" i="1" s="1"/>
  <c r="T67" i="2" l="1"/>
  <c r="S67" i="2" s="1"/>
  <c r="AB67" i="2"/>
  <c r="V77" i="1"/>
  <c r="O77" i="1"/>
  <c r="AG68" i="2" l="1"/>
  <c r="AI68" i="2" s="1"/>
  <c r="AJ68" i="2" s="1"/>
  <c r="AH68" i="2"/>
  <c r="R68" i="2" s="1"/>
  <c r="Y68" i="2" s="1"/>
  <c r="T78" i="1"/>
  <c r="U78" i="1"/>
  <c r="N68" i="2" l="1"/>
  <c r="U68" i="2" s="1"/>
  <c r="Q68" i="2"/>
  <c r="X68" i="2" s="1"/>
  <c r="O68" i="2"/>
  <c r="V68" i="2" s="1"/>
  <c r="M68" i="2"/>
  <c r="P68" i="2"/>
  <c r="W68" i="2" s="1"/>
  <c r="T68" i="2" l="1"/>
  <c r="S68" i="2" s="1"/>
  <c r="AB68" i="2"/>
  <c r="AG69" i="2" l="1"/>
  <c r="AH69" i="2"/>
  <c r="R69" i="2" s="1"/>
  <c r="Y69" i="2" s="1"/>
  <c r="AI69" i="2" l="1"/>
  <c r="AJ69" i="2" s="1"/>
  <c r="M69" i="2"/>
  <c r="O69" i="2"/>
  <c r="V69" i="2" s="1"/>
  <c r="Q69" i="2"/>
  <c r="X69" i="2" s="1"/>
  <c r="P69" i="2"/>
  <c r="W69" i="2" s="1"/>
  <c r="N69" i="2"/>
  <c r="U69" i="2" s="1"/>
  <c r="T69" i="2" l="1"/>
  <c r="S69" i="2" s="1"/>
  <c r="AB69" i="2"/>
  <c r="AH70" i="2" l="1"/>
  <c r="AG70" i="2"/>
  <c r="AI70" i="2" s="1"/>
  <c r="AJ70" i="2" s="1"/>
  <c r="R70" i="2" l="1"/>
  <c r="Y70" i="2" s="1"/>
  <c r="M70" i="2"/>
  <c r="N70" i="2"/>
  <c r="U70" i="2" s="1"/>
  <c r="Q70" i="2"/>
  <c r="X70" i="2" s="1"/>
  <c r="P70" i="2"/>
  <c r="W70" i="2" s="1"/>
  <c r="O70" i="2"/>
  <c r="V70" i="2" s="1"/>
  <c r="T70" i="2" l="1"/>
  <c r="S70" i="2" s="1"/>
  <c r="AB70" i="2"/>
  <c r="AG71" i="2" l="1"/>
  <c r="AH71" i="2"/>
  <c r="AI71" i="2" l="1"/>
  <c r="AJ71" i="2" s="1"/>
  <c r="R71" i="2"/>
  <c r="Y71" i="2" s="1"/>
  <c r="Q71" i="2"/>
  <c r="X71" i="2" s="1"/>
  <c r="O71" i="2"/>
  <c r="V71" i="2" s="1"/>
  <c r="P71" i="2"/>
  <c r="W71" i="2" s="1"/>
  <c r="M71" i="2"/>
  <c r="N71" i="2"/>
  <c r="U71" i="2" s="1"/>
  <c r="AB71" i="2" l="1"/>
  <c r="T71" i="2"/>
  <c r="S71" i="2" s="1"/>
  <c r="AG72" i="2" l="1"/>
  <c r="AH72" i="2"/>
  <c r="AJ72" i="2" l="1"/>
  <c r="R72" i="2"/>
  <c r="Y72" i="2" s="1"/>
  <c r="Q72" i="2"/>
  <c r="X72" i="2" s="1"/>
  <c r="M72" i="2"/>
  <c r="P72" i="2"/>
  <c r="W72" i="2" s="1"/>
  <c r="O72" i="2"/>
  <c r="V72" i="2" s="1"/>
  <c r="N72" i="2"/>
  <c r="U72" i="2" s="1"/>
  <c r="T72" i="2" l="1"/>
  <c r="S72" i="2" s="1"/>
  <c r="AB72" i="2"/>
  <c r="Y73" i="2" l="1"/>
  <c r="X73" i="2"/>
  <c r="S73" i="2" s="1"/>
  <c r="AG74" i="2" l="1"/>
  <c r="AI74" i="2" s="1"/>
  <c r="H74" i="2" s="1"/>
  <c r="AH74" i="2"/>
  <c r="AJ74" i="2" l="1"/>
  <c r="J74" i="2"/>
  <c r="I74" i="2"/>
  <c r="M74" i="2" l="1"/>
  <c r="R74" i="2"/>
  <c r="Y74" i="2" s="1"/>
  <c r="Q74" i="2"/>
  <c r="X74" i="2" s="1"/>
  <c r="P74" i="2"/>
  <c r="W74" i="2" s="1"/>
  <c r="O74" i="2"/>
  <c r="V74" i="2" s="1"/>
  <c r="N74" i="2"/>
  <c r="U74" i="2" s="1"/>
  <c r="K74" i="2"/>
  <c r="T74" i="2" l="1"/>
  <c r="S74" i="2" s="1"/>
  <c r="AB74" i="2"/>
  <c r="AH75" i="2" l="1"/>
  <c r="AG75" i="2"/>
  <c r="AI75" i="2" s="1"/>
  <c r="H75" i="2" s="1"/>
  <c r="AJ75" i="2" l="1"/>
  <c r="J75" i="2"/>
  <c r="N75" i="2" l="1"/>
  <c r="U75" i="2" s="1"/>
  <c r="M75" i="2"/>
  <c r="P75" i="2"/>
  <c r="W75" i="2" s="1"/>
  <c r="O75" i="2"/>
  <c r="V75" i="2" s="1"/>
  <c r="R75" i="2"/>
  <c r="Y75" i="2" s="1"/>
  <c r="Q75" i="2"/>
  <c r="X75" i="2" s="1"/>
  <c r="K75" i="2"/>
  <c r="I75" i="2"/>
  <c r="AB75" i="2" l="1"/>
  <c r="T75" i="2"/>
  <c r="S75" i="2" s="1"/>
  <c r="AG76" i="2" l="1"/>
  <c r="AI76" i="2" s="1"/>
  <c r="H76" i="2" s="1"/>
  <c r="AH76" i="2"/>
  <c r="J76" i="2" l="1"/>
  <c r="AJ76" i="2"/>
  <c r="O76" i="2" l="1"/>
  <c r="V76" i="2" s="1"/>
  <c r="N76" i="2"/>
  <c r="U76" i="2" s="1"/>
  <c r="R76" i="2"/>
  <c r="Y76" i="2" s="1"/>
  <c r="P76" i="2"/>
  <c r="W76" i="2" s="1"/>
  <c r="Q76" i="2"/>
  <c r="X76" i="2" s="1"/>
  <c r="M76" i="2"/>
  <c r="K76" i="2"/>
  <c r="I76" i="2"/>
  <c r="T76" i="2" l="1"/>
  <c r="AB76" i="2"/>
  <c r="S76" i="2"/>
  <c r="AG77" i="2" s="1"/>
  <c r="AH77" i="2" l="1"/>
  <c r="AI77" i="2" s="1"/>
  <c r="H77" i="2" s="1"/>
  <c r="J77" i="2" l="1"/>
  <c r="AJ77" i="2"/>
  <c r="I77" i="2"/>
  <c r="Q77" i="2" l="1"/>
  <c r="X77" i="2" s="1"/>
  <c r="P77" i="2"/>
  <c r="W77" i="2" s="1"/>
  <c r="O77" i="2"/>
  <c r="V77" i="2" s="1"/>
  <c r="N77" i="2"/>
  <c r="U77" i="2" s="1"/>
  <c r="M77" i="2"/>
  <c r="R77" i="2"/>
  <c r="Y77" i="2" s="1"/>
  <c r="K77" i="2"/>
  <c r="AB77" i="2" l="1"/>
  <c r="T77" i="2"/>
  <c r="S77" i="2"/>
  <c r="AG78" i="2" l="1"/>
  <c r="AI78" i="2" s="1"/>
  <c r="H78" i="2" s="1"/>
  <c r="AH78" i="2"/>
  <c r="AJ78" i="2" l="1"/>
  <c r="J78" i="2"/>
  <c r="K78" i="2" s="1"/>
  <c r="P78" i="2" l="1"/>
  <c r="W78" i="2" s="1"/>
  <c r="N78" i="2"/>
  <c r="U78" i="2" s="1"/>
  <c r="M78" i="2"/>
  <c r="T78" i="2" s="1"/>
  <c r="O78" i="2"/>
  <c r="V78" i="2" s="1"/>
  <c r="R78" i="2"/>
  <c r="Y78" i="2" s="1"/>
  <c r="Q78" i="2"/>
  <c r="X78" i="2" s="1"/>
  <c r="I78" i="2"/>
  <c r="S78" i="2" l="1"/>
</calcChain>
</file>

<file path=xl/sharedStrings.xml><?xml version="1.0" encoding="utf-8"?>
<sst xmlns="http://schemas.openxmlformats.org/spreadsheetml/2006/main" count="73" uniqueCount="44">
  <si>
    <t>년도</t>
  </si>
  <si>
    <t>추계인구</t>
    <phoneticPr fontId="2" type="noConversion"/>
  </si>
  <si>
    <t>의사수/계</t>
    <phoneticPr fontId="2" type="noConversion"/>
  </si>
  <si>
    <t>의사수/남</t>
    <phoneticPr fontId="2" type="noConversion"/>
  </si>
  <si>
    <t>의사수/여</t>
    <phoneticPr fontId="2" type="noConversion"/>
  </si>
  <si>
    <t>건강보험
신고의사</t>
    <phoneticPr fontId="2" type="noConversion"/>
  </si>
  <si>
    <t>의사고시 합격자수</t>
    <phoneticPr fontId="2" type="noConversion"/>
  </si>
  <si>
    <t>의사고시 불합격자수</t>
  </si>
  <si>
    <t>의대졸합격/남</t>
    <phoneticPr fontId="2" type="noConversion"/>
  </si>
  <si>
    <t>의대졸합격/여</t>
    <phoneticPr fontId="2" type="noConversion"/>
  </si>
  <si>
    <t>의전졸합격/남</t>
    <phoneticPr fontId="2" type="noConversion"/>
  </si>
  <si>
    <t>의전졸합격/여</t>
    <phoneticPr fontId="2" type="noConversion"/>
  </si>
  <si>
    <t>불합합격/남</t>
    <phoneticPr fontId="2" type="noConversion"/>
  </si>
  <si>
    <t>불합합격/여</t>
    <phoneticPr fontId="2" type="noConversion"/>
  </si>
  <si>
    <t>의대졸비율/남</t>
    <phoneticPr fontId="2" type="noConversion"/>
  </si>
  <si>
    <t>의대졸비율/여</t>
    <phoneticPr fontId="2" type="noConversion"/>
  </si>
  <si>
    <t>의전졸비율/남</t>
    <phoneticPr fontId="2" type="noConversion"/>
  </si>
  <si>
    <t>의전졸비율/여</t>
    <phoneticPr fontId="2" type="noConversion"/>
  </si>
  <si>
    <t>불합비율/남</t>
    <phoneticPr fontId="2" type="noConversion"/>
  </si>
  <si>
    <t>불합비율/여</t>
    <phoneticPr fontId="2" type="noConversion"/>
  </si>
  <si>
    <t>군입대</t>
    <phoneticPr fontId="2" type="noConversion"/>
  </si>
  <si>
    <t>군전역</t>
    <phoneticPr fontId="2" type="noConversion"/>
  </si>
  <si>
    <t>의사수비율</t>
    <phoneticPr fontId="2" type="noConversion"/>
  </si>
  <si>
    <t>의사고시 누적합격자수</t>
    <phoneticPr fontId="2" type="noConversion"/>
  </si>
  <si>
    <t>의사고시성비추세</t>
    <phoneticPr fontId="2" type="noConversion"/>
  </si>
  <si>
    <t>추세코스트</t>
    <phoneticPr fontId="2" type="noConversion"/>
  </si>
  <si>
    <t>의사고시 응시자수</t>
    <phoneticPr fontId="2" type="noConversion"/>
  </si>
  <si>
    <t>의사고시 불합격자수2</t>
    <phoneticPr fontId="2" type="noConversion"/>
  </si>
  <si>
    <t>의사고시 응시자수2</t>
    <phoneticPr fontId="2" type="noConversion"/>
  </si>
  <si>
    <t>군입대비율</t>
    <phoneticPr fontId="2" type="noConversion"/>
  </si>
  <si>
    <t>의대졸업/남</t>
    <phoneticPr fontId="2" type="noConversion"/>
  </si>
  <si>
    <t>의대졸업/여</t>
    <phoneticPr fontId="2" type="noConversion"/>
  </si>
  <si>
    <t>의전원졸업/남</t>
    <phoneticPr fontId="2" type="noConversion"/>
  </si>
  <si>
    <t>의전원졸업/여</t>
    <phoneticPr fontId="2" type="noConversion"/>
  </si>
  <si>
    <t>졸업합계/남</t>
    <phoneticPr fontId="2" type="noConversion"/>
  </si>
  <si>
    <t>졸업합계/여</t>
    <phoneticPr fontId="2" type="noConversion"/>
  </si>
  <si>
    <t>의사고시합격자성비</t>
    <phoneticPr fontId="2" type="noConversion"/>
  </si>
  <si>
    <t>재시험자/남</t>
    <phoneticPr fontId="2" type="noConversion"/>
  </si>
  <si>
    <t>재시험자/여</t>
    <phoneticPr fontId="2" type="noConversion"/>
  </si>
  <si>
    <t>의사고시최초응시자수</t>
    <phoneticPr fontId="2" type="noConversion"/>
  </si>
  <si>
    <t>의사고시최종불합격자수</t>
    <phoneticPr fontId="2" type="noConversion"/>
  </si>
  <si>
    <t>의사고시합격자수</t>
    <phoneticPr fontId="2" type="noConversion"/>
  </si>
  <si>
    <t>응시자격자수</t>
    <phoneticPr fontId="2" type="noConversion"/>
  </si>
  <si>
    <t>응시자격자시험응시율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</si>
</sst>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000"/>
    <numFmt numFmtId="178" formatCode="0.0000"/>
  </numFmts>
  <fonts count="12" x14ac:knownFonts="1"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name val="Arial"/>
      <family val="2"/>
    </font>
    <font>
      <sz val="9"/>
      <color rgb="FF000000"/>
      <name val="Arial"/>
      <family val="2"/>
    </font>
    <font>
      <sz val="10"/>
      <color theme="1" tint="4.9989318521683403E-2"/>
      <name val="맑은 고딕"/>
      <family val="3"/>
      <charset val="129"/>
      <scheme val="minor"/>
    </font>
    <font>
      <sz val="10"/>
      <color theme="1" tint="4.9989318521683403E-2"/>
      <name val="맑은 고딕"/>
      <family val="2"/>
      <charset val="129"/>
      <scheme val="minor"/>
    </font>
    <font>
      <sz val="11"/>
      <color theme="1" tint="4.9989318521683403E-2"/>
      <name val="맑은 고딕"/>
      <family val="2"/>
      <charset val="129"/>
      <scheme val="minor"/>
    </font>
    <font>
      <sz val="9"/>
      <color theme="1" tint="4.9989318521683403E-2"/>
      <name val="Arial"/>
      <family val="2"/>
    </font>
    <font>
      <sz val="9"/>
      <color theme="1" tint="4.9989318521683403E-2"/>
      <name val="맑은 고딕"/>
      <family val="2"/>
      <charset val="129"/>
      <scheme val="minor"/>
    </font>
    <font>
      <sz val="10"/>
      <color theme="1" tint="4.9989318521683403E-2"/>
      <name val="Arial"/>
      <family val="2"/>
    </font>
    <font>
      <sz val="1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3" fontId="3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7" fontId="3" fillId="0" borderId="0" xfId="0" applyNumberFormat="1" applyFont="1" applyAlignment="1">
      <alignment horizontal="center" wrapText="1"/>
    </xf>
    <xf numFmtId="177" fontId="3" fillId="0" borderId="0" xfId="0" applyNumberFormat="1" applyFont="1" applyAlignment="1">
      <alignment horizontal="center" vertical="center" wrapText="1"/>
    </xf>
    <xf numFmtId="176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wrapText="1"/>
    </xf>
    <xf numFmtId="176" fontId="1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1" fontId="5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3" fontId="8" fillId="3" borderId="0" xfId="0" applyNumberFormat="1" applyFont="1" applyFill="1" applyBorder="1" applyAlignment="1">
      <alignment horizontal="center" vertical="center" wrapText="1"/>
    </xf>
    <xf numFmtId="3" fontId="8" fillId="4" borderId="0" xfId="0" applyNumberFormat="1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1" fontId="1" fillId="3" borderId="0" xfId="0" applyNumberFormat="1" applyFont="1" applyFill="1" applyBorder="1" applyAlignment="1">
      <alignment horizontal="center" vertical="center"/>
    </xf>
    <xf numFmtId="3" fontId="4" fillId="3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0" fontId="0" fillId="0" borderId="0" xfId="0" applyBorder="1">
      <alignment vertical="center"/>
    </xf>
    <xf numFmtId="1" fontId="1" fillId="0" borderId="0" xfId="0" applyNumberFormat="1" applyFont="1" applyFill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77" fontId="1" fillId="0" borderId="0" xfId="0" applyNumberFormat="1" applyFont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wrapText="1"/>
    </xf>
    <xf numFmtId="3" fontId="10" fillId="0" borderId="0" xfId="0" applyNumberFormat="1" applyFont="1" applyFill="1" applyBorder="1" applyAlignment="1">
      <alignment horizontal="center" vertical="top" wrapText="1"/>
    </xf>
    <xf numFmtId="3" fontId="10" fillId="0" borderId="0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3" fontId="3" fillId="0" borderId="2" xfId="0" applyNumberFormat="1" applyFont="1" applyBorder="1" applyAlignment="1">
      <alignment horizontal="center" wrapText="1"/>
    </xf>
    <xf numFmtId="177" fontId="3" fillId="0" borderId="2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3" fontId="10" fillId="0" borderId="2" xfId="0" applyNumberFormat="1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wrapText="1"/>
    </xf>
    <xf numFmtId="1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2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3" xfId="0" applyNumberFormat="1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 wrapText="1"/>
    </xf>
    <xf numFmtId="1" fontId="4" fillId="2" borderId="4" xfId="0" applyNumberFormat="1" applyFont="1" applyFill="1" applyBorder="1" applyAlignment="1">
      <alignment horizontal="center" wrapText="1"/>
    </xf>
    <xf numFmtId="1" fontId="11" fillId="0" borderId="0" xfId="0" applyNumberFormat="1" applyFont="1" applyFill="1" applyAlignment="1">
      <alignment horizontal="center" vertical="center"/>
    </xf>
    <xf numFmtId="1" fontId="11" fillId="0" borderId="2" xfId="0" applyNumberFormat="1" applyFont="1" applyFill="1" applyBorder="1" applyAlignment="1">
      <alignment horizontal="center" vertical="center"/>
    </xf>
    <xf numFmtId="176" fontId="11" fillId="0" borderId="0" xfId="0" applyNumberFormat="1" applyFont="1" applyFill="1" applyAlignment="1">
      <alignment horizontal="center" vertical="center"/>
    </xf>
    <xf numFmtId="176" fontId="11" fillId="0" borderId="2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76" formatCode="0.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76" formatCode="0.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76" formatCode="0.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76" formatCode="0.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76" formatCode="0.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76" formatCode="0.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76" formatCode="0.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78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7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맑은 고딕"/>
        <family val="3"/>
        <charset val="129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맑은 고딕"/>
        <family val="3"/>
        <charset val="129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none"/>
      </font>
      <numFmt numFmtId="176" formatCode="0.000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none"/>
      </font>
      <numFmt numFmtId="1" formatCode="0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76" formatCode="0.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76" formatCode="0.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76" formatCode="0.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76" formatCode="0.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76" formatCode="0.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76" formatCode="0.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76" formatCode="0.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78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맑은 고딕"/>
        <family val="3"/>
        <charset val="129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맑은 고딕"/>
        <family val="3"/>
        <charset val="129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687F44-4B15-477B-923E-AB0F626EB938}" name="표1_3" displayName="표1_3" ref="A1:AJ99" totalsRowShown="0" headerRowDxfId="76" dataDxfId="75">
  <autoFilter ref="A1:AJ99" xr:uid="{3A88F19E-B693-44C0-A4E5-42C329F70BCC}"/>
  <tableColumns count="36">
    <tableColumn id="1" xr3:uid="{16E48219-C072-4E1D-9569-DD5CD5D33133}" name="년도" dataDxfId="74"/>
    <tableColumn id="2" xr3:uid="{59992805-12E7-4991-B31E-3DFD6082886D}" name="추계인구" dataDxfId="73"/>
    <tableColumn id="3" xr3:uid="{2DC918B0-108D-4369-9912-50F20CECF8B2}" name="의사수/계" dataDxfId="72"/>
    <tableColumn id="4" xr3:uid="{172784D3-8905-4D61-BEBB-2C66AFFFC2D6}" name="의사수/남" dataDxfId="71"/>
    <tableColumn id="5" xr3:uid="{EB7E9372-5BBE-43F1-9FEF-9F4817DF9B7B}" name="의사수/여" dataDxfId="70"/>
    <tableColumn id="33" xr3:uid="{FC1E2A19-789E-4719-8F5A-E1699F9B4F9B}" name="의사수비율" dataDxfId="69">
      <calculatedColumnFormula>표1_3[[#This Row],[의사수/남]]/표1_3[[#This Row],[의사수/계]]</calculatedColumnFormula>
    </tableColumn>
    <tableColumn id="6" xr3:uid="{6F1780C4-10FB-44D1-B6E2-F855020B8F38}" name="건강보험_x000a_신고의사" dataDxfId="68"/>
    <tableColumn id="25" xr3:uid="{7BBA3275-FC34-44FD-8319-547665BF66C6}" name="의사고시최초응시자수" dataDxfId="67"/>
    <tableColumn id="27" xr3:uid="{838FD18A-740F-4323-9F13-5CB8B97C4940}" name="의사고시최종불합격자수" dataDxfId="66"/>
    <tableColumn id="7" xr3:uid="{79A1F86B-206E-4604-9FAA-259292132116}" name="의사고시합격자수" dataDxfId="65"/>
    <tableColumn id="9" xr3:uid="{F5CD8E8C-386E-451B-B51A-27872CBC845B}" name="의사고시 누적합격자수" dataDxfId="64"/>
    <tableColumn id="29" xr3:uid="{A5626E86-BE88-4627-A1BA-394BBAC23D76}" name="의사고시성비추세" dataDxfId="63">
      <calculatedColumnFormula>(-5*(표1_3[[#This Row],[년도]]-1950)^2/100000)+(16*(표1_3[[#This Row],[년도]]-1950)/10000)+0.8551</calculatedColumnFormula>
    </tableColumn>
    <tableColumn id="10" xr3:uid="{D325DF9B-2521-435B-8F1F-B2DF95AF90B2}" name="의대졸합격/남" dataDxfId="62"/>
    <tableColumn id="11" xr3:uid="{8A117C2E-90C6-4012-A3FE-299847B2429F}" name="의대졸합격/여" dataDxfId="61"/>
    <tableColumn id="12" xr3:uid="{624D5C56-A2E6-4FD7-BD50-B0F368493638}" name="의전졸합격/남" dataDxfId="60"/>
    <tableColumn id="13" xr3:uid="{C11028D3-5A3E-4F74-8B10-4405562F0B86}" name="의전졸합격/여" dataDxfId="59"/>
    <tableColumn id="14" xr3:uid="{73368511-B25A-4FA4-AEA7-59F0C42BA08B}" name="불합합격/남" dataDxfId="58"/>
    <tableColumn id="15" xr3:uid="{3FDC427C-5B36-4E7E-9196-49EDE28052EE}" name="불합합격/여" dataDxfId="57"/>
    <tableColumn id="37" xr3:uid="{CBFD1CBB-1773-435F-A331-F1D6B16781D2}" name="의사고시합격자성비" dataDxfId="56">
      <calculatedColumnFormula>표1_3[[#This Row],[의대졸비율/남]]+표1_3[[#This Row],[의전졸비율/남]]+표1_3[[#This Row],[불합비율/남]]</calculatedColumnFormula>
    </tableColumn>
    <tableColumn id="16" xr3:uid="{B36F8833-4FF0-477F-94D2-B65387C5FB76}" name="의대졸비율/남" dataDxfId="55"/>
    <tableColumn id="17" xr3:uid="{F39B1EFC-B062-483D-86C2-CAD1E0E88FC5}" name="의대졸비율/여" dataDxfId="54"/>
    <tableColumn id="18" xr3:uid="{E2897A15-C6F1-41B2-8349-90B72039420B}" name="의전졸비율/남" dataDxfId="53"/>
    <tableColumn id="19" xr3:uid="{DA228570-3B79-45DE-BFC2-431FD56EB9A4}" name="의전졸비율/여" dataDxfId="52"/>
    <tableColumn id="20" xr3:uid="{5C91C014-D5B1-4CD7-94BF-9A6E748CB320}" name="불합비율/남" dataDxfId="51"/>
    <tableColumn id="21" xr3:uid="{5981C56A-25F8-4DD3-A3F8-FE6FF89F2D1D}" name="불합비율/여" dataDxfId="50"/>
    <tableColumn id="22" xr3:uid="{820D875A-55B7-4FB9-BEFE-96BEB1CC99A5}" name="군입대" dataDxfId="49"/>
    <tableColumn id="23" xr3:uid="{725401DF-0B0C-42A7-B891-7BA2CE731A27}" name="군전역" dataDxfId="48"/>
    <tableColumn id="32" xr3:uid="{C5FD9E10-9128-4A97-922B-20FCB6486B16}" name="군입대비율" dataDxfId="47">
      <calculatedColumnFormula>표1_3[[#This Row],[군입대]]/표1_3[[#This Row],[의대졸합격/남]]</calculatedColumnFormula>
    </tableColumn>
    <tableColumn id="28" xr3:uid="{B34E89AA-0A47-40B3-982D-B5E96C382F04}" name="의대졸업/남" dataDxfId="46"/>
    <tableColumn id="30" xr3:uid="{3C83E464-297D-49BF-8371-A3196C4CD779}" name="의대졸업/여" dataDxfId="45"/>
    <tableColumn id="31" xr3:uid="{28D805D8-FCA9-4B1D-8ADE-336AA23A8128}" name="의전원졸업/남" dataDxfId="44"/>
    <tableColumn id="34" xr3:uid="{2728E7E9-B9A3-4943-A0CF-F1E5A6735FD2}" name="의전원졸업/여" dataDxfId="43"/>
    <tableColumn id="39" xr3:uid="{BCE02F6B-ECBF-48F1-92F3-410294B3EC9E}" name="재시험자/남" dataDxfId="42"/>
    <tableColumn id="40" xr3:uid="{B7F2A2C6-A814-481D-A446-817D6564081C}" name="재시험자/여" dataDxfId="41"/>
    <tableColumn id="41" xr3:uid="{59FE52AE-0BAA-4144-857A-6558EB680355}" name="응시자격자수" dataDxfId="40">
      <calculatedColumnFormula>SUM(표1_3[[#This Row],[의대졸업/남]:[재시험자/여]])</calculatedColumnFormula>
    </tableColumn>
    <tableColumn id="42" xr3:uid="{57678513-5A44-4673-B889-561E7ECCCBF5}" name="응시자격자시험응시율" dataDxfId="39">
      <calculatedColumnFormula>표1_3[[#This Row],[의사고시최초응시자수]]/표1_3[[#This Row],[응시자격자수]]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5FE059-058F-4728-B16E-4BD492FB235A}" name="표1" displayName="표1" ref="A1:AK99" totalsRowShown="0" headerRowDxfId="38" dataDxfId="37">
  <autoFilter ref="A1:AK99" xr:uid="{0000802C-4D06-46D7-BAFF-DC1D45CFB57F}"/>
  <tableColumns count="37">
    <tableColumn id="1" xr3:uid="{AE3B9199-6D89-4382-A29D-7D80D41BCA54}" name="년도" dataDxfId="36"/>
    <tableColumn id="2" xr3:uid="{86F8A4CD-104A-4EE7-B4B5-FCA422A2A642}" name="추계인구" dataDxfId="35"/>
    <tableColumn id="3" xr3:uid="{73377670-DFDE-46C1-961A-EA622048E0E9}" name="의사수/계" dataDxfId="34"/>
    <tableColumn id="4" xr3:uid="{7EE9DAD6-D038-4969-86DA-FAF16D755095}" name="의사수/남" dataDxfId="33"/>
    <tableColumn id="5" xr3:uid="{C7CC8E95-59E2-4DCC-9496-6E424EDDCF86}" name="의사수/여" dataDxfId="32"/>
    <tableColumn id="33" xr3:uid="{596E329E-5B41-4527-BFCC-2615A7B4B2A3}" name="의사수비율" dataDxfId="31">
      <calculatedColumnFormula>표1[[#This Row],[의사수/남]]/표1[[#This Row],[의사수/계]]</calculatedColumnFormula>
    </tableColumn>
    <tableColumn id="6" xr3:uid="{712C1E2A-3DC9-46F3-AC6E-0EECC98A4EE2}" name="건강보험_x000a_신고의사" dataDxfId="30"/>
    <tableColumn id="25" xr3:uid="{61CA113E-7312-425F-B47F-4CEF22520A0B}" name="의사고시 응시자수" dataDxfId="29"/>
    <tableColumn id="27" xr3:uid="{D6160A37-3DB5-444C-AE5D-CDEC3E5BF7FF}" name="의사고시 응시자수2" dataDxfId="28"/>
    <tableColumn id="7" xr3:uid="{AC071CDD-EF9D-4184-BF88-E3ECA51FE0D7}" name="의사고시 합격자수" dataDxfId="27"/>
    <tableColumn id="8" xr3:uid="{86FD7F52-11F5-46CD-B299-359B24C2C5DC}" name="의사고시 불합격자수" dataDxfId="26"/>
    <tableColumn id="26" xr3:uid="{71C87745-A54E-4034-AEF1-C6BDF2FB8BA4}" name="의사고시 불합격자수2" dataDxfId="25"/>
    <tableColumn id="9" xr3:uid="{67761735-3F70-418C-9F24-E192EC71F765}" name="의사고시 누적합격자수" dataDxfId="24"/>
    <tableColumn id="29" xr3:uid="{71676E79-8BE2-4042-988C-5FBFF2182F54}" name="의사고시성비추세" dataDxfId="23">
      <calculatedColumnFormula>(-5*(표1[[#This Row],[년도]]-1950)^2/100000)+(16*(표1[[#This Row],[년도]]-1950)/10000)+0.8551</calculatedColumnFormula>
    </tableColumn>
    <tableColumn id="24" xr3:uid="{B04359DC-8483-4A27-8D36-DC953B121F05}" name="추세코스트" dataDxfId="22">
      <calculatedColumnFormula>(표1[[#This Row],[의대졸비율/남]]+표1[[#This Row],[의전졸비율/남]]+표1[[#This Row],[불합비율/남]])-표1[[#This Row],[의사고시성비추세]]</calculatedColumnFormula>
    </tableColumn>
    <tableColumn id="10" xr3:uid="{09D1ADBB-588C-4144-AE66-0512CFC44B86}" name="의대졸합격/남" dataDxfId="21"/>
    <tableColumn id="11" xr3:uid="{FB58D4B6-D770-42F7-8D77-2F01EF0A212E}" name="의대졸합격/여" dataDxfId="20"/>
    <tableColumn id="12" xr3:uid="{56579ADB-9014-48A5-87CA-57E91CE10C83}" name="의전졸합격/남" dataDxfId="19"/>
    <tableColumn id="13" xr3:uid="{E33D7132-D24D-4AE1-B042-0F21770B27FF}" name="의전졸합격/여" dataDxfId="18"/>
    <tableColumn id="14" xr3:uid="{B5197B4C-E93F-46BB-A9ED-07A2C18322EC}" name="불합합격/남" dataDxfId="17"/>
    <tableColumn id="15" xr3:uid="{1647335A-C5EC-4027-9F9C-434B232E70A5}" name="불합합격/여" dataDxfId="16"/>
    <tableColumn id="37" xr3:uid="{7A5FB209-6917-4391-918C-A81F4F39FD1B}" name="의사고시합격자성비" dataDxfId="15">
      <calculatedColumnFormula>표1[[#This Row],[의대졸비율/남]]+표1[[#This Row],[의전졸비율/남]]+표1[[#This Row],[불합비율/남]]</calculatedColumnFormula>
    </tableColumn>
    <tableColumn id="16" xr3:uid="{4BA08DE5-8FB2-4F6E-929A-B07B803D5D9E}" name="의대졸비율/남" dataDxfId="14"/>
    <tableColumn id="17" xr3:uid="{A2CCE925-B9F4-49F1-BB0B-529807259FC0}" name="의대졸비율/여" dataDxfId="13"/>
    <tableColumn id="18" xr3:uid="{A6BB629D-8A03-45F2-A2E8-D57FF7F089B0}" name="의전졸비율/남" dataDxfId="12"/>
    <tableColumn id="19" xr3:uid="{546E911D-607D-4426-976E-0AC99E2B4E1C}" name="의전졸비율/여" dataDxfId="11"/>
    <tableColumn id="20" xr3:uid="{B5A8E9C5-1A02-475A-B3F8-73BF9279D276}" name="불합비율/남" dataDxfId="10"/>
    <tableColumn id="21" xr3:uid="{C7BB1C08-04DC-4A5B-A595-BC7A2C483A6A}" name="불합비율/여" dataDxfId="9"/>
    <tableColumn id="22" xr3:uid="{1F371EE9-843B-4525-956F-7B5AF1332EAB}" name="군입대" dataDxfId="8"/>
    <tableColumn id="23" xr3:uid="{746EC1FC-196C-47C1-A22F-D030D99DBAF4}" name="군전역" dataDxfId="7"/>
    <tableColumn id="32" xr3:uid="{8D4BC71B-C5F6-43EE-B8BD-A52512E6D4BF}" name="군입대비율" dataDxfId="6">
      <calculatedColumnFormula>표1[[#This Row],[군입대]]/표1[[#This Row],[의대졸합격/남]]</calculatedColumnFormula>
    </tableColumn>
    <tableColumn id="28" xr3:uid="{DFFD65BB-FC3A-452D-93C8-70C2B0A66947}" name="의대졸업/남" dataDxfId="5"/>
    <tableColumn id="30" xr3:uid="{3DC9A759-2800-4E64-99A5-A460E935105F}" name="의대졸업/여" dataDxfId="4"/>
    <tableColumn id="31" xr3:uid="{AD0963B3-8531-476B-841C-90F4452A7BB1}" name="의전원졸업/남" dataDxfId="3"/>
    <tableColumn id="34" xr3:uid="{4812BC31-409B-42FA-A531-D6513F2384D6}" name="의전원졸업/여" dataDxfId="2"/>
    <tableColumn id="35" xr3:uid="{96652DD2-06C5-4F93-87FD-A75F5DC60AFF}" name="졸업합계/남" dataDxfId="1">
      <calculatedColumnFormula>AF2+AH2</calculatedColumnFormula>
    </tableColumn>
    <tableColumn id="36" xr3:uid="{B9A6432C-21C5-41A0-85B8-C487D25DCED0}" name="졸업합계/여" dataDxfId="0">
      <calculatedColumnFormula>AG2+AI2</calculatedColumnFormula>
    </tableColumn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71A7-079A-48C0-BC3F-00DB9B9ACD76}">
  <dimension ref="A1:AJ99"/>
  <sheetViews>
    <sheetView tabSelected="1" topLeftCell="A10" workbookViewId="0">
      <pane xSplit="1" topLeftCell="B1" activePane="topRight" state="frozen"/>
      <selection pane="topRight" activeCell="R16" sqref="R16"/>
    </sheetView>
  </sheetViews>
  <sheetFormatPr defaultRowHeight="16.5" x14ac:dyDescent="0.3"/>
  <cols>
    <col min="6" max="6" width="13.625" bestFit="1" customWidth="1"/>
    <col min="8" max="8" width="10.125" style="32" customWidth="1"/>
    <col min="9" max="9" width="11.75" style="23" customWidth="1"/>
    <col min="10" max="10" width="9" style="23"/>
    <col min="12" max="12" width="10.375" customWidth="1"/>
  </cols>
  <sheetData>
    <row r="1" spans="1:36" ht="40.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  <c r="H1" s="41" t="s">
        <v>39</v>
      </c>
      <c r="I1" s="41" t="s">
        <v>40</v>
      </c>
      <c r="J1" s="41" t="s">
        <v>41</v>
      </c>
      <c r="K1" s="1" t="s">
        <v>23</v>
      </c>
      <c r="L1" s="1" t="s">
        <v>24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36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7" t="s">
        <v>29</v>
      </c>
      <c r="AC1" s="17" t="s">
        <v>30</v>
      </c>
      <c r="AD1" s="17" t="s">
        <v>31</v>
      </c>
      <c r="AE1" s="17" t="s">
        <v>32</v>
      </c>
      <c r="AF1" s="17" t="s">
        <v>33</v>
      </c>
      <c r="AG1" s="17" t="s">
        <v>37</v>
      </c>
      <c r="AH1" s="17" t="s">
        <v>38</v>
      </c>
      <c r="AI1" s="17" t="s">
        <v>42</v>
      </c>
      <c r="AJ1" s="17" t="s">
        <v>43</v>
      </c>
    </row>
    <row r="2" spans="1:36" x14ac:dyDescent="0.25">
      <c r="A2" s="1">
        <v>1950</v>
      </c>
      <c r="B2" s="2">
        <v>19211387</v>
      </c>
      <c r="C2" s="3">
        <v>0</v>
      </c>
      <c r="D2" s="3">
        <v>0</v>
      </c>
      <c r="E2" s="4">
        <v>0</v>
      </c>
      <c r="F2" s="4">
        <v>0</v>
      </c>
      <c r="G2" s="4">
        <v>0</v>
      </c>
      <c r="H2" s="45"/>
      <c r="I2" s="45"/>
      <c r="J2" s="41"/>
      <c r="K2" s="1">
        <v>0</v>
      </c>
      <c r="L2" s="1">
        <f>(-5*(표1_3[[#This Row],[년도]]-1950)^2/100000)+(16*(표1_3[[#This Row],[년도]]-1950)/10000)+0.8551</f>
        <v>0.85509999999999997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40">
        <f>표1_3[[#This Row],[의대졸비율/남]]+표1_3[[#This Row],[의전졸비율/남]]+표1_3[[#This Row],[불합비율/남]]</f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5">
        <v>0</v>
      </c>
      <c r="AA2" s="5">
        <v>0</v>
      </c>
      <c r="AB2" s="5">
        <v>0</v>
      </c>
      <c r="AC2" s="39">
        <v>0</v>
      </c>
      <c r="AD2" s="39">
        <v>0</v>
      </c>
      <c r="AE2" s="39">
        <v>0</v>
      </c>
      <c r="AF2" s="39">
        <v>0</v>
      </c>
      <c r="AG2" s="39">
        <v>0</v>
      </c>
      <c r="AH2" s="39">
        <v>0</v>
      </c>
      <c r="AI2" s="72">
        <f>SUM(표1_3[[#This Row],[의대졸업/남]:[재시험자/여]])</f>
        <v>0</v>
      </c>
      <c r="AJ2" s="74" t="e">
        <f>표1_3[[#This Row],[의사고시최초응시자수]]/표1_3[[#This Row],[응시자격자수]]</f>
        <v>#DIV/0!</v>
      </c>
    </row>
    <row r="3" spans="1:36" s="62" customFormat="1" ht="17.25" thickBot="1" x14ac:dyDescent="0.3">
      <c r="A3" s="50">
        <v>1951</v>
      </c>
      <c r="B3" s="63">
        <v>19452640</v>
      </c>
      <c r="C3" s="64">
        <v>0</v>
      </c>
      <c r="D3" s="64">
        <v>0</v>
      </c>
      <c r="E3" s="54">
        <v>0</v>
      </c>
      <c r="F3" s="54">
        <v>0</v>
      </c>
      <c r="G3" s="54">
        <v>0</v>
      </c>
      <c r="H3" s="65"/>
      <c r="I3" s="65"/>
      <c r="J3" s="66"/>
      <c r="K3" s="50">
        <v>0</v>
      </c>
      <c r="L3" s="50">
        <f>(-5*(표1_3[[#This Row],[년도]]-1950)^2/100000)+(16*(표1_3[[#This Row],[년도]]-1950)/10000)+0.8551</f>
        <v>0.85665000000000002</v>
      </c>
      <c r="M3" s="57">
        <v>0</v>
      </c>
      <c r="N3" s="57">
        <v>0</v>
      </c>
      <c r="O3" s="57">
        <v>0</v>
      </c>
      <c r="P3" s="57">
        <v>0</v>
      </c>
      <c r="Q3" s="57">
        <v>0</v>
      </c>
      <c r="R3" s="57">
        <v>0</v>
      </c>
      <c r="S3" s="58">
        <f>표1_3[[#This Row],[의대졸비율/남]]+표1_3[[#This Row],[의전졸비율/남]]+표1_3[[#This Row],[불합비율/남]]</f>
        <v>0</v>
      </c>
      <c r="T3" s="59">
        <v>0</v>
      </c>
      <c r="U3" s="59">
        <v>0</v>
      </c>
      <c r="V3" s="59">
        <v>0</v>
      </c>
      <c r="W3" s="59">
        <v>0</v>
      </c>
      <c r="X3" s="59">
        <v>0</v>
      </c>
      <c r="Y3" s="59">
        <v>0</v>
      </c>
      <c r="Z3" s="57">
        <v>0</v>
      </c>
      <c r="AA3" s="57">
        <v>0</v>
      </c>
      <c r="AB3" s="57">
        <v>0</v>
      </c>
      <c r="AC3" s="61">
        <v>0</v>
      </c>
      <c r="AD3" s="61">
        <v>0</v>
      </c>
      <c r="AE3" s="61">
        <v>0</v>
      </c>
      <c r="AF3" s="61">
        <v>0</v>
      </c>
      <c r="AG3" s="61">
        <v>0</v>
      </c>
      <c r="AH3" s="61">
        <v>0</v>
      </c>
      <c r="AI3" s="73">
        <f>SUM(표1_3[[#This Row],[의대졸업/남]:[재시험자/여]])</f>
        <v>0</v>
      </c>
      <c r="AJ3" s="75" t="e">
        <f>표1_3[[#This Row],[의사고시최초응시자수]]/표1_3[[#This Row],[응시자격자수]]</f>
        <v>#DIV/0!</v>
      </c>
    </row>
    <row r="4" spans="1:36" x14ac:dyDescent="0.25">
      <c r="A4" s="1">
        <v>1952</v>
      </c>
      <c r="B4" s="2">
        <v>19817775</v>
      </c>
      <c r="C4" s="3">
        <v>0</v>
      </c>
      <c r="D4" s="3">
        <v>0</v>
      </c>
      <c r="E4" s="4">
        <v>0</v>
      </c>
      <c r="F4" s="44">
        <v>0.89015639374425004</v>
      </c>
      <c r="G4" s="4">
        <v>0</v>
      </c>
      <c r="H4" s="46">
        <v>189</v>
      </c>
      <c r="I4" s="47">
        <v>61</v>
      </c>
      <c r="J4" s="47">
        <v>128</v>
      </c>
      <c r="K4" s="1">
        <f t="shared" ref="K4:K35" si="0">J4+K3</f>
        <v>128</v>
      </c>
      <c r="L4" s="1">
        <f>(-5*(표1_3[[#This Row],[년도]]-1950)^2/100000)+(16*(표1_3[[#This Row],[년도]]-1950)/10000)+0.8551</f>
        <v>0.85809999999999997</v>
      </c>
      <c r="M4" s="5">
        <f>표1_3[[#This Row],[의사고시합격자수]]*표1_3[[#This Row],[의사고시성비추세]]</f>
        <v>109.8368</v>
      </c>
      <c r="N4" s="5">
        <f>표1_3[[#This Row],[의사고시합격자수]]*(1-표1_3[[#This Row],[의사고시성비추세]])</f>
        <v>18.163200000000003</v>
      </c>
      <c r="O4" s="5">
        <v>0</v>
      </c>
      <c r="P4" s="5">
        <v>0</v>
      </c>
      <c r="Q4" s="5">
        <v>0</v>
      </c>
      <c r="R4" s="5">
        <v>0</v>
      </c>
      <c r="S4" s="40">
        <f>표1_3[[#This Row],[의대졸비율/남]]+표1_3[[#This Row],[의전졸비율/남]]+표1_3[[#This Row],[불합비율/남]]</f>
        <v>0.85809999999999997</v>
      </c>
      <c r="T4" s="6">
        <f>M4/J4</f>
        <v>0.85809999999999997</v>
      </c>
      <c r="U4" s="6">
        <f>N4/J4</f>
        <v>0.14190000000000003</v>
      </c>
      <c r="V4" s="6">
        <f>표1_3[[#This Row],[의전졸합격/남]]/표1_3[[#This Row],[의사고시합격자수]]</f>
        <v>0</v>
      </c>
      <c r="W4" s="6">
        <f>표1_3[[#This Row],[의전졸합격/여]]/표1_3[[#This Row],[의사고시합격자수]]</f>
        <v>0</v>
      </c>
      <c r="X4" s="6">
        <f>표1_3[[#This Row],[불합합격/남]]/표1_3[[#This Row],[의사고시합격자수]]</f>
        <v>0</v>
      </c>
      <c r="Y4" s="6">
        <f>표1_3[[#This Row],[불합합격/여]]/표1_3[[#This Row],[의사고시합격자수]]</f>
        <v>0</v>
      </c>
      <c r="Z4" s="5">
        <f>표1_3[[#This Row],[의사수비율]]*0.5553*표1_3[[#This Row],[의사고시합격자수]]</f>
        <v>63.270892217111303</v>
      </c>
      <c r="AA4" s="5">
        <v>0</v>
      </c>
      <c r="AB4" s="16">
        <f>표1_3[[#This Row],[군입대]]/표1_3[[#This Row],[의대졸합격/남]]</f>
        <v>0.57604456991747122</v>
      </c>
      <c r="AC4" s="39">
        <v>0</v>
      </c>
      <c r="AD4" s="39">
        <v>0</v>
      </c>
      <c r="AE4" s="39">
        <v>0</v>
      </c>
      <c r="AF4" s="39">
        <v>0</v>
      </c>
      <c r="AG4" s="39">
        <v>0</v>
      </c>
      <c r="AH4" s="39">
        <v>0</v>
      </c>
      <c r="AI4" s="72">
        <f>SUM(표1_3[[#This Row],[의대졸업/남]:[재시험자/여]])</f>
        <v>0</v>
      </c>
      <c r="AJ4" s="74" t="e">
        <f>표1_3[[#This Row],[의사고시최초응시자수]]/표1_3[[#This Row],[응시자격자수]]</f>
        <v>#DIV/0!</v>
      </c>
    </row>
    <row r="5" spans="1:36" x14ac:dyDescent="0.25">
      <c r="A5" s="1">
        <v>1953</v>
      </c>
      <c r="B5" s="2">
        <v>20293199.999999993</v>
      </c>
      <c r="C5" s="3">
        <v>0</v>
      </c>
      <c r="D5" s="3">
        <v>0</v>
      </c>
      <c r="E5" s="4">
        <v>0</v>
      </c>
      <c r="F5" s="44">
        <v>0.89015639374425026</v>
      </c>
      <c r="G5" s="4">
        <v>0</v>
      </c>
      <c r="H5" s="46">
        <v>347</v>
      </c>
      <c r="I5" s="47">
        <v>195</v>
      </c>
      <c r="J5" s="47">
        <v>283</v>
      </c>
      <c r="K5" s="1">
        <f t="shared" si="0"/>
        <v>411</v>
      </c>
      <c r="L5" s="1">
        <f>(-5*(표1_3[[#This Row],[년도]]-1950)^2/100000)+(16*(표1_3[[#This Row],[년도]]-1950)/10000)+0.8551</f>
        <v>0.85944999999999994</v>
      </c>
      <c r="M5" s="5">
        <f>표1_3[[#This Row],[의사고시합격자수]]*표1_3[[#This Row],[의사고시성비추세]]</f>
        <v>243.22434999999999</v>
      </c>
      <c r="N5" s="5">
        <f>표1_3[[#This Row],[의사고시합격자수]]*(1-표1_3[[#This Row],[의사고시성비추세]])</f>
        <v>39.77565000000002</v>
      </c>
      <c r="O5" s="5">
        <v>0</v>
      </c>
      <c r="P5" s="5">
        <v>0</v>
      </c>
      <c r="Q5" s="5">
        <v>0</v>
      </c>
      <c r="R5" s="5">
        <v>0</v>
      </c>
      <c r="S5" s="40">
        <f>표1_3[[#This Row],[의대졸비율/남]]+표1_3[[#This Row],[의전졸비율/남]]+표1_3[[#This Row],[불합비율/남]]</f>
        <v>0.85944999999999994</v>
      </c>
      <c r="T5" s="6">
        <f t="shared" ref="T5:T68" si="1">M5/J5</f>
        <v>0.85944999999999994</v>
      </c>
      <c r="U5" s="6">
        <f t="shared" ref="U5:U68" si="2">N5/J5</f>
        <v>0.14055000000000006</v>
      </c>
      <c r="V5" s="6">
        <f>표1_3[[#This Row],[의전졸합격/남]]/표1_3[[#This Row],[의사고시합격자수]]</f>
        <v>0</v>
      </c>
      <c r="W5" s="6">
        <f>표1_3[[#This Row],[의전졸합격/여]]/표1_3[[#This Row],[의사고시합격자수]]</f>
        <v>0</v>
      </c>
      <c r="X5" s="6">
        <f>표1_3[[#This Row],[불합합격/남]]/표1_3[[#This Row],[의사고시합격자수]]</f>
        <v>0</v>
      </c>
      <c r="Y5" s="6">
        <f>표1_3[[#This Row],[불합합격/여]]/표1_3[[#This Row],[의사고시합격자수]]</f>
        <v>0</v>
      </c>
      <c r="Z5" s="5">
        <f>표1_3[[#This Row],[의사수비율]]*0.5553*표1_3[[#This Row],[의사고시합격자수]]</f>
        <v>139.88798826126956</v>
      </c>
      <c r="AA5" s="5">
        <v>0</v>
      </c>
      <c r="AB5" s="16">
        <f>표1_3[[#This Row],[군입대]]/표1_3[[#This Row],[의대졸합격/남]]</f>
        <v>0.57513973523320983</v>
      </c>
      <c r="AC5" s="39">
        <v>0</v>
      </c>
      <c r="AD5" s="39">
        <v>0</v>
      </c>
      <c r="AE5" s="39">
        <v>0</v>
      </c>
      <c r="AF5" s="39">
        <v>0</v>
      </c>
      <c r="AG5" s="39">
        <v>0</v>
      </c>
      <c r="AH5" s="39">
        <v>0</v>
      </c>
      <c r="AI5" s="72">
        <f>SUM(표1_3[[#This Row],[의대졸업/남]:[재시험자/여]])</f>
        <v>0</v>
      </c>
      <c r="AJ5" s="74" t="e">
        <f>표1_3[[#This Row],[의사고시최초응시자수]]/표1_3[[#This Row],[응시자격자수]]</f>
        <v>#DIV/0!</v>
      </c>
    </row>
    <row r="6" spans="1:36" x14ac:dyDescent="0.25">
      <c r="A6" s="1">
        <v>1954</v>
      </c>
      <c r="B6" s="2">
        <v>20864104</v>
      </c>
      <c r="C6" s="3">
        <v>0</v>
      </c>
      <c r="D6" s="3">
        <v>0</v>
      </c>
      <c r="E6" s="4">
        <v>0</v>
      </c>
      <c r="F6" s="44">
        <v>0.89015639374425026</v>
      </c>
      <c r="G6" s="4">
        <v>0</v>
      </c>
      <c r="H6" s="46">
        <v>162</v>
      </c>
      <c r="I6" s="47">
        <v>37</v>
      </c>
      <c r="J6" s="47">
        <v>125</v>
      </c>
      <c r="K6" s="1">
        <f t="shared" si="0"/>
        <v>536</v>
      </c>
      <c r="L6" s="1">
        <f>(-5*(표1_3[[#This Row],[년도]]-1950)^2/100000)+(16*(표1_3[[#This Row],[년도]]-1950)/10000)+0.8551</f>
        <v>0.86070000000000002</v>
      </c>
      <c r="M6" s="5">
        <f>표1_3[[#This Row],[의사고시합격자수]]*표1_3[[#This Row],[의사고시성비추세]]</f>
        <v>107.58750000000001</v>
      </c>
      <c r="N6" s="5">
        <f>표1_3[[#This Row],[의사고시합격자수]]*(1-표1_3[[#This Row],[의사고시성비추세]])</f>
        <v>17.412499999999998</v>
      </c>
      <c r="O6" s="5">
        <v>0</v>
      </c>
      <c r="P6" s="5">
        <v>0</v>
      </c>
      <c r="Q6" s="5">
        <v>0</v>
      </c>
      <c r="R6" s="5">
        <v>0</v>
      </c>
      <c r="S6" s="40">
        <f>표1_3[[#This Row],[의대졸비율/남]]+표1_3[[#This Row],[의전졸비율/남]]+표1_3[[#This Row],[불합비율/남]]</f>
        <v>0.86070000000000002</v>
      </c>
      <c r="T6" s="6">
        <f t="shared" si="1"/>
        <v>0.86070000000000002</v>
      </c>
      <c r="U6" s="6">
        <f t="shared" si="2"/>
        <v>0.13929999999999998</v>
      </c>
      <c r="V6" s="6">
        <f>표1_3[[#This Row],[의전졸합격/남]]/표1_3[[#This Row],[의사고시합격자수]]</f>
        <v>0</v>
      </c>
      <c r="W6" s="6">
        <f>표1_3[[#This Row],[의전졸합격/여]]/표1_3[[#This Row],[의사고시합격자수]]</f>
        <v>0</v>
      </c>
      <c r="X6" s="6">
        <f>표1_3[[#This Row],[불합합격/남]]/표1_3[[#This Row],[의사고시합격자수]]</f>
        <v>0</v>
      </c>
      <c r="Y6" s="6">
        <f>표1_3[[#This Row],[불합합격/여]]/표1_3[[#This Row],[의사고시합격자수]]</f>
        <v>0</v>
      </c>
      <c r="Z6" s="5">
        <f>표1_3[[#This Row],[의사수비율]]*0.5553*표1_3[[#This Row],[의사고시합격자수]]</f>
        <v>61.787980680772769</v>
      </c>
      <c r="AA6" s="5">
        <v>0</v>
      </c>
      <c r="AB6" s="16">
        <f>표1_3[[#This Row],[군입대]]/표1_3[[#This Row],[의대졸합격/남]]</f>
        <v>0.57430445619400738</v>
      </c>
      <c r="AC6" s="39">
        <v>0</v>
      </c>
      <c r="AD6" s="39">
        <v>0</v>
      </c>
      <c r="AE6" s="39">
        <v>0</v>
      </c>
      <c r="AF6" s="39">
        <v>0</v>
      </c>
      <c r="AG6" s="39">
        <v>0</v>
      </c>
      <c r="AH6" s="39">
        <v>0</v>
      </c>
      <c r="AI6" s="72">
        <f>SUM(표1_3[[#This Row],[의대졸업/남]:[재시험자/여]])</f>
        <v>0</v>
      </c>
      <c r="AJ6" s="74" t="e">
        <f>표1_3[[#This Row],[의사고시최초응시자수]]/표1_3[[#This Row],[응시자격자수]]</f>
        <v>#DIV/0!</v>
      </c>
    </row>
    <row r="7" spans="1:36" x14ac:dyDescent="0.25">
      <c r="A7" s="1">
        <v>1955</v>
      </c>
      <c r="B7" s="2">
        <v>21514564</v>
      </c>
      <c r="C7" s="7">
        <v>5435</v>
      </c>
      <c r="D7" s="7">
        <v>4838</v>
      </c>
      <c r="E7" s="8">
        <v>597</v>
      </c>
      <c r="F7" s="14">
        <f>표1_3[[#This Row],[의사수/남]]/표1_3[[#This Row],[의사수/계]]</f>
        <v>0.89015639374425026</v>
      </c>
      <c r="G7" s="4">
        <v>0</v>
      </c>
      <c r="H7" s="46">
        <v>291</v>
      </c>
      <c r="I7" s="47">
        <v>39</v>
      </c>
      <c r="J7" s="47">
        <v>252</v>
      </c>
      <c r="K7" s="1">
        <f t="shared" si="0"/>
        <v>788</v>
      </c>
      <c r="L7" s="1">
        <f>(-5*(표1_3[[#This Row],[년도]]-1950)^2/100000)+(16*(표1_3[[#This Row],[년도]]-1950)/10000)+0.8551</f>
        <v>0.86185</v>
      </c>
      <c r="M7" s="5">
        <f>표1_3[[#This Row],[의사고시합격자수]]*표1_3[[#This Row],[의사고시성비추세]]</f>
        <v>217.18620000000001</v>
      </c>
      <c r="N7" s="5">
        <f>표1_3[[#This Row],[의사고시합격자수]]*(1-표1_3[[#This Row],[의사고시성비추세]])</f>
        <v>34.813800000000001</v>
      </c>
      <c r="O7" s="5">
        <v>0</v>
      </c>
      <c r="P7" s="5">
        <v>0</v>
      </c>
      <c r="Q7" s="5">
        <v>0</v>
      </c>
      <c r="R7" s="5">
        <v>0</v>
      </c>
      <c r="S7" s="40">
        <f>표1_3[[#This Row],[의대졸비율/남]]+표1_3[[#This Row],[의전졸비율/남]]+표1_3[[#This Row],[불합비율/남]]</f>
        <v>0.86185</v>
      </c>
      <c r="T7" s="6">
        <f t="shared" si="1"/>
        <v>0.86185</v>
      </c>
      <c r="U7" s="6">
        <f t="shared" si="2"/>
        <v>0.13815</v>
      </c>
      <c r="V7" s="6">
        <f>표1_3[[#This Row],[의전졸합격/남]]/표1_3[[#This Row],[의사고시합격자수]]</f>
        <v>0</v>
      </c>
      <c r="W7" s="6">
        <f>표1_3[[#This Row],[의전졸합격/여]]/표1_3[[#This Row],[의사고시합격자수]]</f>
        <v>0</v>
      </c>
      <c r="X7" s="6">
        <f>표1_3[[#This Row],[불합합격/남]]/표1_3[[#This Row],[의사고시합격자수]]</f>
        <v>0</v>
      </c>
      <c r="Y7" s="6">
        <f>표1_3[[#This Row],[불합합격/여]]/표1_3[[#This Row],[의사고시합격자수]]</f>
        <v>0</v>
      </c>
      <c r="Z7" s="5">
        <f>표1_3[[#This Row],[의사수비율]]*0.5553*표1_3[[#This Row],[의사고시합격자수]]</f>
        <v>124.5645690524379</v>
      </c>
      <c r="AA7" s="5">
        <v>63.270892217111317</v>
      </c>
      <c r="AB7" s="16">
        <f>표1_3[[#This Row],[군입대]]/표1_3[[#This Row],[의대졸합격/남]]</f>
        <v>0.57353813940498011</v>
      </c>
      <c r="AC7" s="39">
        <v>0</v>
      </c>
      <c r="AD7" s="39">
        <v>0</v>
      </c>
      <c r="AE7" s="39">
        <v>0</v>
      </c>
      <c r="AF7" s="39">
        <v>0</v>
      </c>
      <c r="AG7" s="39">
        <v>0</v>
      </c>
      <c r="AH7" s="39">
        <v>0</v>
      </c>
      <c r="AI7" s="72">
        <f>SUM(표1_3[[#This Row],[의대졸업/남]:[재시험자/여]])</f>
        <v>0</v>
      </c>
      <c r="AJ7" s="74" t="e">
        <f>표1_3[[#This Row],[의사고시최초응시자수]]/표1_3[[#This Row],[응시자격자수]]</f>
        <v>#DIV/0!</v>
      </c>
    </row>
    <row r="8" spans="1:36" x14ac:dyDescent="0.25">
      <c r="A8" s="1">
        <v>1956</v>
      </c>
      <c r="B8" s="2">
        <v>22227339.000000004</v>
      </c>
      <c r="C8" s="7">
        <v>5723</v>
      </c>
      <c r="D8" s="7">
        <v>5068</v>
      </c>
      <c r="E8" s="8">
        <v>655</v>
      </c>
      <c r="F8" s="14">
        <f>표1_3[[#This Row],[의사수/남]]/표1_3[[#This Row],[의사수/계]]</f>
        <v>0.88554953695614191</v>
      </c>
      <c r="G8" s="4">
        <v>0</v>
      </c>
      <c r="H8" s="46">
        <v>390</v>
      </c>
      <c r="I8" s="47">
        <v>50</v>
      </c>
      <c r="J8" s="47">
        <v>340</v>
      </c>
      <c r="K8" s="1">
        <f t="shared" si="0"/>
        <v>1128</v>
      </c>
      <c r="L8" s="1">
        <f>(-5*(표1_3[[#This Row],[년도]]-1950)^2/100000)+(16*(표1_3[[#This Row],[년도]]-1950)/10000)+0.8551</f>
        <v>0.8629</v>
      </c>
      <c r="M8" s="5">
        <f>표1_3[[#This Row],[의사고시합격자수]]*표1_3[[#This Row],[의사고시성비추세]]</f>
        <v>293.38600000000002</v>
      </c>
      <c r="N8" s="5">
        <f>표1_3[[#This Row],[의사고시합격자수]]*(1-표1_3[[#This Row],[의사고시성비추세]])</f>
        <v>46.613999999999997</v>
      </c>
      <c r="O8" s="5">
        <v>0</v>
      </c>
      <c r="P8" s="5">
        <v>0</v>
      </c>
      <c r="Q8" s="5">
        <v>0</v>
      </c>
      <c r="R8" s="5">
        <v>0</v>
      </c>
      <c r="S8" s="40">
        <f>표1_3[[#This Row],[의대졸비율/남]]+표1_3[[#This Row],[의전졸비율/남]]+표1_3[[#This Row],[불합비율/남]]</f>
        <v>0.86290000000000011</v>
      </c>
      <c r="T8" s="6">
        <f t="shared" si="1"/>
        <v>0.86290000000000011</v>
      </c>
      <c r="U8" s="6">
        <f t="shared" si="2"/>
        <v>0.1371</v>
      </c>
      <c r="V8" s="6">
        <f>표1_3[[#This Row],[의전졸합격/남]]/표1_3[[#This Row],[의사고시합격자수]]</f>
        <v>0</v>
      </c>
      <c r="W8" s="6">
        <f>표1_3[[#This Row],[의전졸합격/여]]/표1_3[[#This Row],[의사고시합격자수]]</f>
        <v>0</v>
      </c>
      <c r="X8" s="6">
        <f>표1_3[[#This Row],[불합합격/남]]/표1_3[[#This Row],[의사고시합격자수]]</f>
        <v>0</v>
      </c>
      <c r="Y8" s="6">
        <f>표1_3[[#This Row],[불합합격/여]]/표1_3[[#This Row],[의사고시합격자수]]</f>
        <v>0</v>
      </c>
      <c r="Z8" s="5">
        <f>표1_3[[#This Row],[의사수비율]]*0.5553*표1_3[[#This Row],[의사고시합격자수]]</f>
        <v>167.19352367639351</v>
      </c>
      <c r="AA8" s="5">
        <v>139.88798826126956</v>
      </c>
      <c r="AB8" s="16">
        <f>표1_3[[#This Row],[군입대]]/표1_3[[#This Row],[의대졸합격/남]]</f>
        <v>0.56987560304988483</v>
      </c>
      <c r="AC8" s="39">
        <v>0</v>
      </c>
      <c r="AD8" s="39">
        <v>0</v>
      </c>
      <c r="AE8" s="39">
        <v>0</v>
      </c>
      <c r="AF8" s="39">
        <v>0</v>
      </c>
      <c r="AG8" s="39">
        <v>0</v>
      </c>
      <c r="AH8" s="39">
        <v>0</v>
      </c>
      <c r="AI8" s="72">
        <f>SUM(표1_3[[#This Row],[의대졸업/남]:[재시험자/여]])</f>
        <v>0</v>
      </c>
      <c r="AJ8" s="74" t="e">
        <f>표1_3[[#This Row],[의사고시최초응시자수]]/표1_3[[#This Row],[응시자격자수]]</f>
        <v>#DIV/0!</v>
      </c>
    </row>
    <row r="9" spans="1:36" x14ac:dyDescent="0.25">
      <c r="A9" s="1">
        <v>1957</v>
      </c>
      <c r="B9" s="2">
        <v>22984010</v>
      </c>
      <c r="C9" s="7">
        <v>6068</v>
      </c>
      <c r="D9" s="7">
        <v>5360</v>
      </c>
      <c r="E9" s="8">
        <v>708</v>
      </c>
      <c r="F9" s="14">
        <f>표1_3[[#This Row],[의사수/남]]/표1_3[[#This Row],[의사수/계]]</f>
        <v>0.88332234673698085</v>
      </c>
      <c r="G9" s="4">
        <v>0</v>
      </c>
      <c r="H9" s="46">
        <v>511</v>
      </c>
      <c r="I9" s="47">
        <v>32</v>
      </c>
      <c r="J9" s="47">
        <v>479</v>
      </c>
      <c r="K9" s="1">
        <f t="shared" si="0"/>
        <v>1607</v>
      </c>
      <c r="L9" s="1">
        <f>(-5*(표1_3[[#This Row],[년도]]-1950)^2/100000)+(16*(표1_3[[#This Row],[년도]]-1950)/10000)+0.8551</f>
        <v>0.86385000000000001</v>
      </c>
      <c r="M9" s="5">
        <f>표1_3[[#This Row],[의사고시합격자수]]*표1_3[[#This Row],[의사고시성비추세]]</f>
        <v>413.78415000000001</v>
      </c>
      <c r="N9" s="5">
        <f>표1_3[[#This Row],[의사고시합격자수]]*(1-표1_3[[#This Row],[의사고시성비추세]])</f>
        <v>65.215850000000003</v>
      </c>
      <c r="O9" s="5">
        <v>0</v>
      </c>
      <c r="P9" s="5">
        <v>0</v>
      </c>
      <c r="Q9" s="5">
        <v>0</v>
      </c>
      <c r="R9" s="5">
        <v>0</v>
      </c>
      <c r="S9" s="40">
        <f>표1_3[[#This Row],[의대졸비율/남]]+표1_3[[#This Row],[의전졸비율/남]]+표1_3[[#This Row],[불합비율/남]]</f>
        <v>0.86385000000000001</v>
      </c>
      <c r="T9" s="6">
        <f t="shared" si="1"/>
        <v>0.86385000000000001</v>
      </c>
      <c r="U9" s="6">
        <f t="shared" si="2"/>
        <v>0.13614999999999999</v>
      </c>
      <c r="V9" s="6">
        <f>표1_3[[#This Row],[의전졸합격/남]]/표1_3[[#This Row],[의사고시합격자수]]</f>
        <v>0</v>
      </c>
      <c r="W9" s="6">
        <f>표1_3[[#This Row],[의전졸합격/여]]/표1_3[[#This Row],[의사고시합격자수]]</f>
        <v>0</v>
      </c>
      <c r="X9" s="6">
        <f>표1_3[[#This Row],[불합합격/남]]/표1_3[[#This Row],[의사고시합격자수]]</f>
        <v>0</v>
      </c>
      <c r="Y9" s="6">
        <f>표1_3[[#This Row],[불합합격/여]]/표1_3[[#This Row],[의사고시합격자수]]</f>
        <v>0</v>
      </c>
      <c r="Z9" s="5">
        <f>표1_3[[#This Row],[의사수비율]]*0.5553*표1_3[[#This Row],[의사고시합격자수]]</f>
        <v>234.95376268951878</v>
      </c>
      <c r="AA9" s="5">
        <v>61.787980680772769</v>
      </c>
      <c r="AB9" s="16">
        <f>표1_3[[#This Row],[군입대]]/표1_3[[#This Row],[의대졸합격/남]]</f>
        <v>0.56781721264460894</v>
      </c>
      <c r="AC9" s="39">
        <v>0</v>
      </c>
      <c r="AD9" s="39">
        <v>0</v>
      </c>
      <c r="AE9" s="39">
        <v>0</v>
      </c>
      <c r="AF9" s="39">
        <v>0</v>
      </c>
      <c r="AG9" s="39">
        <v>0</v>
      </c>
      <c r="AH9" s="39">
        <v>0</v>
      </c>
      <c r="AI9" s="72">
        <f>SUM(표1_3[[#This Row],[의대졸업/남]:[재시험자/여]])</f>
        <v>0</v>
      </c>
      <c r="AJ9" s="74" t="e">
        <f>표1_3[[#This Row],[의사고시최초응시자수]]/표1_3[[#This Row],[응시자격자수]]</f>
        <v>#DIV/0!</v>
      </c>
    </row>
    <row r="10" spans="1:36" x14ac:dyDescent="0.25">
      <c r="A10" s="1">
        <v>1958</v>
      </c>
      <c r="B10" s="2">
        <v>23765501</v>
      </c>
      <c r="C10" s="7">
        <v>6405</v>
      </c>
      <c r="D10" s="7">
        <v>5628</v>
      </c>
      <c r="E10" s="8">
        <v>777</v>
      </c>
      <c r="F10" s="14">
        <f>표1_3[[#This Row],[의사수/남]]/표1_3[[#This Row],[의사수/계]]</f>
        <v>0.87868852459016389</v>
      </c>
      <c r="G10" s="4">
        <v>0</v>
      </c>
      <c r="H10" s="46">
        <v>599</v>
      </c>
      <c r="I10" s="47">
        <v>257</v>
      </c>
      <c r="J10" s="47">
        <v>342</v>
      </c>
      <c r="K10" s="1">
        <f t="shared" si="0"/>
        <v>1949</v>
      </c>
      <c r="L10" s="1">
        <f>(-5*(표1_3[[#This Row],[년도]]-1950)^2/100000)+(16*(표1_3[[#This Row],[년도]]-1950)/10000)+0.8551</f>
        <v>0.86470000000000002</v>
      </c>
      <c r="M10" s="5">
        <f>표1_3[[#This Row],[의사고시합격자수]]*표1_3[[#This Row],[의사고시성비추세]]</f>
        <v>295.72739999999999</v>
      </c>
      <c r="N10" s="5">
        <f>표1_3[[#This Row],[의사고시합격자수]]*(1-표1_3[[#This Row],[의사고시성비추세]])</f>
        <v>46.27259999999999</v>
      </c>
      <c r="O10" s="5">
        <v>0</v>
      </c>
      <c r="P10" s="5">
        <v>0</v>
      </c>
      <c r="Q10" s="5">
        <v>0</v>
      </c>
      <c r="R10" s="5">
        <v>0</v>
      </c>
      <c r="S10" s="40">
        <f>표1_3[[#This Row],[의대졸비율/남]]+표1_3[[#This Row],[의전졸비율/남]]+표1_3[[#This Row],[불합비율/남]]</f>
        <v>0.86469999999999991</v>
      </c>
      <c r="T10" s="6">
        <f t="shared" si="1"/>
        <v>0.86469999999999991</v>
      </c>
      <c r="U10" s="6">
        <f t="shared" si="2"/>
        <v>0.13529999999999998</v>
      </c>
      <c r="V10" s="6">
        <f>표1_3[[#This Row],[의전졸합격/남]]/표1_3[[#This Row],[의사고시합격자수]]</f>
        <v>0</v>
      </c>
      <c r="W10" s="6">
        <f>표1_3[[#This Row],[의전졸합격/여]]/표1_3[[#This Row],[의사고시합격자수]]</f>
        <v>0</v>
      </c>
      <c r="X10" s="6">
        <f>표1_3[[#This Row],[불합합격/남]]/표1_3[[#This Row],[의사고시합격자수]]</f>
        <v>0</v>
      </c>
      <c r="Y10" s="6">
        <f>표1_3[[#This Row],[불합합격/여]]/표1_3[[#This Row],[의사고시합격자수]]</f>
        <v>0</v>
      </c>
      <c r="Z10" s="5">
        <f>표1_3[[#This Row],[의사수비율]]*0.5553*표1_3[[#This Row],[의사고시합격자수]]</f>
        <v>166.87402229508197</v>
      </c>
      <c r="AA10" s="5">
        <v>124.5645690524379</v>
      </c>
      <c r="AB10" s="16">
        <f>표1_3[[#This Row],[군입대]]/표1_3[[#This Row],[의대졸합격/남]]</f>
        <v>0.56428326321836253</v>
      </c>
      <c r="AC10" s="39">
        <v>0</v>
      </c>
      <c r="AD10" s="39">
        <v>0</v>
      </c>
      <c r="AE10" s="39">
        <v>0</v>
      </c>
      <c r="AF10" s="39">
        <v>0</v>
      </c>
      <c r="AG10" s="39">
        <v>0</v>
      </c>
      <c r="AH10" s="39">
        <v>0</v>
      </c>
      <c r="AI10" s="72">
        <f>SUM(표1_3[[#This Row],[의대졸업/남]:[재시험자/여]])</f>
        <v>0</v>
      </c>
      <c r="AJ10" s="74" t="e">
        <f>표1_3[[#This Row],[의사고시최초응시자수]]/표1_3[[#This Row],[응시자격자수]]</f>
        <v>#DIV/0!</v>
      </c>
    </row>
    <row r="11" spans="1:36" x14ac:dyDescent="0.25">
      <c r="A11" s="1">
        <v>1959</v>
      </c>
      <c r="B11" s="2">
        <v>24552846</v>
      </c>
      <c r="C11" s="7">
        <v>6614</v>
      </c>
      <c r="D11" s="7">
        <v>5751</v>
      </c>
      <c r="E11" s="8">
        <v>863</v>
      </c>
      <c r="F11" s="14">
        <f>표1_3[[#This Row],[의사수/남]]/표1_3[[#This Row],[의사수/계]]</f>
        <v>0.86951920169337771</v>
      </c>
      <c r="G11" s="4">
        <v>0</v>
      </c>
      <c r="H11" s="46">
        <v>846</v>
      </c>
      <c r="I11" s="47">
        <v>38</v>
      </c>
      <c r="J11" s="47">
        <v>815</v>
      </c>
      <c r="K11" s="1">
        <f t="shared" si="0"/>
        <v>2764</v>
      </c>
      <c r="L11" s="1">
        <f>(-5*(표1_3[[#This Row],[년도]]-1950)^2/100000)+(16*(표1_3[[#This Row],[년도]]-1950)/10000)+0.8551</f>
        <v>0.86544999999999994</v>
      </c>
      <c r="M11" s="5">
        <f>표1_3[[#This Row],[의사고시합격자수]]*표1_3[[#This Row],[의사고시성비추세]]</f>
        <v>705.34174999999993</v>
      </c>
      <c r="N11" s="5">
        <f>표1_3[[#This Row],[의사고시합격자수]]*(1-표1_3[[#This Row],[의사고시성비추세]])</f>
        <v>109.65825000000005</v>
      </c>
      <c r="O11" s="5">
        <v>0</v>
      </c>
      <c r="P11" s="5">
        <v>0</v>
      </c>
      <c r="Q11" s="5">
        <v>0</v>
      </c>
      <c r="R11" s="5">
        <v>0</v>
      </c>
      <c r="S11" s="40">
        <f>표1_3[[#This Row],[의대졸비율/남]]+표1_3[[#This Row],[의전졸비율/남]]+표1_3[[#This Row],[불합비율/남]]</f>
        <v>0.86544999999999994</v>
      </c>
      <c r="T11" s="6">
        <f t="shared" si="1"/>
        <v>0.86544999999999994</v>
      </c>
      <c r="U11" s="6">
        <f t="shared" si="2"/>
        <v>0.13455000000000006</v>
      </c>
      <c r="V11" s="6">
        <f>표1_3[[#This Row],[의전졸합격/남]]/표1_3[[#This Row],[의사고시합격자수]]</f>
        <v>0</v>
      </c>
      <c r="W11" s="6">
        <f>표1_3[[#This Row],[의전졸합격/여]]/표1_3[[#This Row],[의사고시합격자수]]</f>
        <v>0</v>
      </c>
      <c r="X11" s="6">
        <f>표1_3[[#This Row],[불합합격/남]]/표1_3[[#This Row],[의사고시합격자수]]</f>
        <v>0</v>
      </c>
      <c r="Y11" s="6">
        <f>표1_3[[#This Row],[불합합격/여]]/표1_3[[#This Row],[의사고시합격자수]]</f>
        <v>0</v>
      </c>
      <c r="Z11" s="5">
        <f>표1_3[[#This Row],[의사수비율]]*0.5553*표1_3[[#This Row],[의사고시합격자수]]</f>
        <v>393.51787035077115</v>
      </c>
      <c r="AA11" s="5">
        <v>167.19352367639351</v>
      </c>
      <c r="AB11" s="16">
        <f>표1_3[[#This Row],[군입대]]/표1_3[[#This Row],[의대졸합격/남]]</f>
        <v>0.55791092807248566</v>
      </c>
      <c r="AC11" s="39">
        <v>0</v>
      </c>
      <c r="AD11" s="39">
        <v>0</v>
      </c>
      <c r="AE11" s="39">
        <v>0</v>
      </c>
      <c r="AF11" s="39">
        <v>0</v>
      </c>
      <c r="AG11" s="39">
        <v>0</v>
      </c>
      <c r="AH11" s="39">
        <v>0</v>
      </c>
      <c r="AI11" s="72">
        <f>SUM(표1_3[[#This Row],[의대졸업/남]:[재시험자/여]])</f>
        <v>0</v>
      </c>
      <c r="AJ11" s="74" t="e">
        <f>표1_3[[#This Row],[의사고시최초응시자수]]/표1_3[[#This Row],[응시자격자수]]</f>
        <v>#DIV/0!</v>
      </c>
    </row>
    <row r="12" spans="1:36" x14ac:dyDescent="0.25">
      <c r="A12" s="1">
        <v>1960</v>
      </c>
      <c r="B12" s="2">
        <v>25329521</v>
      </c>
      <c r="C12" s="7">
        <v>7064</v>
      </c>
      <c r="D12" s="7">
        <v>6084</v>
      </c>
      <c r="E12" s="8">
        <v>980</v>
      </c>
      <c r="F12" s="14">
        <f>표1_3[[#This Row],[의사수/남]]/표1_3[[#This Row],[의사수/계]]</f>
        <v>0.86126840317100795</v>
      </c>
      <c r="G12" s="4">
        <v>0</v>
      </c>
      <c r="H12" s="46">
        <v>650</v>
      </c>
      <c r="I12" s="47">
        <v>47</v>
      </c>
      <c r="J12" s="47">
        <v>603</v>
      </c>
      <c r="K12" s="1">
        <f t="shared" si="0"/>
        <v>3367</v>
      </c>
      <c r="L12" s="1">
        <f>(-5*(표1_3[[#This Row],[년도]]-1950)^2/100000)+(16*(표1_3[[#This Row],[년도]]-1950)/10000)+0.8551</f>
        <v>0.86609999999999998</v>
      </c>
      <c r="M12" s="5">
        <f>표1_3[[#This Row],[의사고시합격자수]]*표1_3[[#This Row],[의사고시성비추세]]</f>
        <v>522.25829999999996</v>
      </c>
      <c r="N12" s="5">
        <f>표1_3[[#This Row],[의사고시합격자수]]*(1-표1_3[[#This Row],[의사고시성비추세]])</f>
        <v>80.741700000000009</v>
      </c>
      <c r="O12" s="5">
        <v>0</v>
      </c>
      <c r="P12" s="5">
        <v>0</v>
      </c>
      <c r="Q12" s="5">
        <v>0</v>
      </c>
      <c r="R12" s="5">
        <v>0</v>
      </c>
      <c r="S12" s="40">
        <f>표1_3[[#This Row],[의대졸비율/남]]+표1_3[[#This Row],[의전졸비율/남]]+표1_3[[#This Row],[불합비율/남]]</f>
        <v>0.86609999999999998</v>
      </c>
      <c r="T12" s="6">
        <f t="shared" si="1"/>
        <v>0.86609999999999998</v>
      </c>
      <c r="U12" s="6">
        <f t="shared" si="2"/>
        <v>0.13390000000000002</v>
      </c>
      <c r="V12" s="6">
        <f>표1_3[[#This Row],[의전졸합격/남]]/표1_3[[#This Row],[의사고시합격자수]]</f>
        <v>0</v>
      </c>
      <c r="W12" s="6">
        <f>표1_3[[#This Row],[의전졸합격/여]]/표1_3[[#This Row],[의사고시합격자수]]</f>
        <v>0</v>
      </c>
      <c r="X12" s="6">
        <f>표1_3[[#This Row],[불합합격/남]]/표1_3[[#This Row],[의사고시합격자수]]</f>
        <v>0</v>
      </c>
      <c r="Y12" s="6">
        <f>표1_3[[#This Row],[불합합격/여]]/표1_3[[#This Row],[의사고시합격자수]]</f>
        <v>0</v>
      </c>
      <c r="Z12" s="5">
        <f>표1_3[[#This Row],[의사수비율]]*0.5553*표1_3[[#This Row],[의사고시합격자수]]</f>
        <v>288.392193601359</v>
      </c>
      <c r="AA12" s="5">
        <v>234.95376268951878</v>
      </c>
      <c r="AB12" s="16">
        <f>표1_3[[#This Row],[군입대]]/표1_3[[#This Row],[의대졸합격/남]]</f>
        <v>0.55220222177677025</v>
      </c>
      <c r="AC12" s="39">
        <v>0</v>
      </c>
      <c r="AD12" s="39">
        <v>0</v>
      </c>
      <c r="AE12" s="39">
        <v>0</v>
      </c>
      <c r="AF12" s="39">
        <v>0</v>
      </c>
      <c r="AG12" s="39">
        <v>0</v>
      </c>
      <c r="AH12" s="39">
        <v>0</v>
      </c>
      <c r="AI12" s="72">
        <f>SUM(표1_3[[#This Row],[의대졸업/남]:[재시험자/여]])</f>
        <v>0</v>
      </c>
      <c r="AJ12" s="74" t="e">
        <f>표1_3[[#This Row],[의사고시최초응시자수]]/표1_3[[#This Row],[응시자격자수]]</f>
        <v>#DIV/0!</v>
      </c>
    </row>
    <row r="13" spans="1:36" x14ac:dyDescent="0.25">
      <c r="A13" s="1">
        <v>1961</v>
      </c>
      <c r="B13" s="2">
        <v>26084024.999999996</v>
      </c>
      <c r="C13" s="7">
        <v>7704</v>
      </c>
      <c r="D13" s="7">
        <v>6527</v>
      </c>
      <c r="E13" s="7">
        <v>1177</v>
      </c>
      <c r="F13" s="14">
        <f>표1_3[[#This Row],[의사수/남]]/표1_3[[#This Row],[의사수/계]]</f>
        <v>0.84722222222222221</v>
      </c>
      <c r="G13" s="4">
        <v>0</v>
      </c>
      <c r="H13" s="46">
        <v>711</v>
      </c>
      <c r="I13" s="47">
        <v>21</v>
      </c>
      <c r="J13" s="47">
        <v>722</v>
      </c>
      <c r="K13" s="1">
        <f t="shared" si="0"/>
        <v>4089</v>
      </c>
      <c r="L13" s="1">
        <f>(-5*(표1_3[[#This Row],[년도]]-1950)^2/100000)+(16*(표1_3[[#This Row],[년도]]-1950)/10000)+0.8551</f>
        <v>0.86664999999999992</v>
      </c>
      <c r="M13" s="5">
        <f>표1_3[[#This Row],[의사고시합격자수]]*표1_3[[#This Row],[의사고시성비추세]]</f>
        <v>625.72129999999993</v>
      </c>
      <c r="N13" s="5">
        <f>표1_3[[#This Row],[의사고시합격자수]]*(1-표1_3[[#This Row],[의사고시성비추세]])</f>
        <v>96.278700000000057</v>
      </c>
      <c r="O13" s="5">
        <v>0</v>
      </c>
      <c r="P13" s="5">
        <v>0</v>
      </c>
      <c r="Q13" s="5">
        <v>0</v>
      </c>
      <c r="R13" s="5">
        <v>0</v>
      </c>
      <c r="S13" s="40">
        <f>표1_3[[#This Row],[의대졸비율/남]]+표1_3[[#This Row],[의전졸비율/남]]+표1_3[[#This Row],[불합비율/남]]</f>
        <v>0.86664999999999992</v>
      </c>
      <c r="T13" s="6">
        <f t="shared" si="1"/>
        <v>0.86664999999999992</v>
      </c>
      <c r="U13" s="6">
        <f t="shared" si="2"/>
        <v>0.13335000000000008</v>
      </c>
      <c r="V13" s="6">
        <f>표1_3[[#This Row],[의전졸합격/남]]/표1_3[[#This Row],[의사고시합격자수]]</f>
        <v>0</v>
      </c>
      <c r="W13" s="6">
        <f>표1_3[[#This Row],[의전졸합격/여]]/표1_3[[#This Row],[의사고시합격자수]]</f>
        <v>0</v>
      </c>
      <c r="X13" s="6">
        <f>표1_3[[#This Row],[불합합격/남]]/표1_3[[#This Row],[의사고시합격자수]]</f>
        <v>0</v>
      </c>
      <c r="Y13" s="6">
        <f>표1_3[[#This Row],[불합합격/여]]/표1_3[[#This Row],[의사고시합격자수]]</f>
        <v>0</v>
      </c>
      <c r="Z13" s="5">
        <f>표1_3[[#This Row],[의사수비율]]*0.5553*표1_3[[#This Row],[의사고시합격자수]]</f>
        <v>339.673925</v>
      </c>
      <c r="AA13" s="5">
        <v>166.87402229508197</v>
      </c>
      <c r="AB13" s="16">
        <f>표1_3[[#This Row],[군입대]]/표1_3[[#This Row],[의대졸합격/남]]</f>
        <v>0.54285178561126179</v>
      </c>
      <c r="AC13" s="39">
        <v>0</v>
      </c>
      <c r="AD13" s="39">
        <v>0</v>
      </c>
      <c r="AE13" s="39">
        <v>0</v>
      </c>
      <c r="AF13" s="39">
        <v>0</v>
      </c>
      <c r="AG13" s="39">
        <v>0</v>
      </c>
      <c r="AH13" s="39">
        <v>0</v>
      </c>
      <c r="AI13" s="72">
        <f>SUM(표1_3[[#This Row],[의대졸업/남]:[재시험자/여]])</f>
        <v>0</v>
      </c>
      <c r="AJ13" s="74" t="e">
        <f>표1_3[[#This Row],[의사고시최초응시자수]]/표1_3[[#This Row],[응시자격자수]]</f>
        <v>#DIV/0!</v>
      </c>
    </row>
    <row r="14" spans="1:36" x14ac:dyDescent="0.25">
      <c r="A14" s="1">
        <v>1962</v>
      </c>
      <c r="B14" s="2">
        <v>26812084</v>
      </c>
      <c r="C14" s="7">
        <v>8951</v>
      </c>
      <c r="D14" s="7">
        <v>7551</v>
      </c>
      <c r="E14" s="7">
        <v>1400</v>
      </c>
      <c r="F14" s="14">
        <f>표1_3[[#This Row],[의사수/남]]/표1_3[[#This Row],[의사수/계]]</f>
        <v>0.84359289464864262</v>
      </c>
      <c r="G14" s="4">
        <v>0</v>
      </c>
      <c r="H14" s="46">
        <v>742</v>
      </c>
      <c r="I14" s="47">
        <v>62</v>
      </c>
      <c r="J14" s="47">
        <v>680</v>
      </c>
      <c r="K14" s="1">
        <f t="shared" si="0"/>
        <v>4769</v>
      </c>
      <c r="L14" s="1">
        <f>(-5*(표1_3[[#This Row],[년도]]-1950)^2/100000)+(16*(표1_3[[#This Row],[년도]]-1950)/10000)+0.8551</f>
        <v>0.86709999999999998</v>
      </c>
      <c r="M14" s="5">
        <f>표1_3[[#This Row],[의사고시합격자수]]*표1_3[[#This Row],[의사고시성비추세]]</f>
        <v>589.62800000000004</v>
      </c>
      <c r="N14" s="5">
        <f>표1_3[[#This Row],[의사고시합격자수]]*(1-표1_3[[#This Row],[의사고시성비추세]])</f>
        <v>90.372000000000014</v>
      </c>
      <c r="O14" s="5">
        <v>0</v>
      </c>
      <c r="P14" s="5">
        <v>0</v>
      </c>
      <c r="Q14" s="5">
        <v>0</v>
      </c>
      <c r="R14" s="5">
        <v>0</v>
      </c>
      <c r="S14" s="40">
        <f>표1_3[[#This Row],[의대졸비율/남]]+표1_3[[#This Row],[의전졸비율/남]]+표1_3[[#This Row],[불합비율/남]]</f>
        <v>0.86710000000000009</v>
      </c>
      <c r="T14" s="6">
        <f t="shared" si="1"/>
        <v>0.86710000000000009</v>
      </c>
      <c r="U14" s="6">
        <f t="shared" si="2"/>
        <v>0.13290000000000002</v>
      </c>
      <c r="V14" s="6">
        <f>표1_3[[#This Row],[의전졸합격/남]]/표1_3[[#This Row],[의사고시합격자수]]</f>
        <v>0</v>
      </c>
      <c r="W14" s="6">
        <f>표1_3[[#This Row],[의전졸합격/여]]/표1_3[[#This Row],[의사고시합격자수]]</f>
        <v>0</v>
      </c>
      <c r="X14" s="6">
        <f>표1_3[[#This Row],[불합합격/남]]/표1_3[[#This Row],[의사고시합격자수]]</f>
        <v>0</v>
      </c>
      <c r="Y14" s="6">
        <f>표1_3[[#This Row],[불합합격/여]]/표1_3[[#This Row],[의사고시합격자수]]</f>
        <v>0</v>
      </c>
      <c r="Z14" s="5">
        <f>표1_3[[#This Row],[의사수비율]]*0.5553*표1_3[[#This Row],[의사고시합격자수]]</f>
        <v>318.54405139090608</v>
      </c>
      <c r="AA14" s="5">
        <v>393.51787035077115</v>
      </c>
      <c r="AB14" s="16">
        <f>표1_3[[#This Row],[군입대]]/표1_3[[#This Row],[의대졸합격/남]]</f>
        <v>0.54024580140513345</v>
      </c>
      <c r="AC14" s="39">
        <v>0</v>
      </c>
      <c r="AD14" s="39">
        <v>0</v>
      </c>
      <c r="AE14" s="39">
        <v>0</v>
      </c>
      <c r="AF14" s="39">
        <v>0</v>
      </c>
      <c r="AG14" s="39">
        <v>0</v>
      </c>
      <c r="AH14" s="39">
        <v>0</v>
      </c>
      <c r="AI14" s="72">
        <f>SUM(표1_3[[#This Row],[의대졸업/남]:[재시험자/여]])</f>
        <v>0</v>
      </c>
      <c r="AJ14" s="74" t="e">
        <f>표1_3[[#This Row],[의사고시최초응시자수]]/표1_3[[#This Row],[응시자격자수]]</f>
        <v>#DIV/0!</v>
      </c>
    </row>
    <row r="15" spans="1:36" x14ac:dyDescent="0.25">
      <c r="A15" s="1">
        <v>1963</v>
      </c>
      <c r="B15" s="2">
        <v>27517540</v>
      </c>
      <c r="C15" s="7">
        <v>8649</v>
      </c>
      <c r="D15" s="7">
        <v>7245</v>
      </c>
      <c r="E15" s="7">
        <v>1404</v>
      </c>
      <c r="F15" s="14">
        <f>표1_3[[#This Row],[의사수/남]]/표1_3[[#This Row],[의사수/계]]</f>
        <v>0.83766909469302808</v>
      </c>
      <c r="G15" s="4">
        <v>0</v>
      </c>
      <c r="H15" s="46">
        <v>90</v>
      </c>
      <c r="I15" s="47">
        <v>82</v>
      </c>
      <c r="J15" s="47">
        <v>802</v>
      </c>
      <c r="K15" s="1">
        <f t="shared" si="0"/>
        <v>5571</v>
      </c>
      <c r="L15" s="1">
        <f>(-5*(표1_3[[#This Row],[년도]]-1950)^2/100000)+(16*(표1_3[[#This Row],[년도]]-1950)/10000)+0.8551</f>
        <v>0.86744999999999994</v>
      </c>
      <c r="M15" s="5">
        <f>표1_3[[#This Row],[의사고시합격자수]]*표1_3[[#This Row],[의사고시성비추세]]</f>
        <v>695.69489999999996</v>
      </c>
      <c r="N15" s="5">
        <f>표1_3[[#This Row],[의사고시합격자수]]*(1-표1_3[[#This Row],[의사고시성비추세]])</f>
        <v>106.30510000000004</v>
      </c>
      <c r="O15" s="5">
        <v>0</v>
      </c>
      <c r="P15" s="5">
        <v>0</v>
      </c>
      <c r="Q15" s="5">
        <v>0</v>
      </c>
      <c r="R15" s="5">
        <v>0</v>
      </c>
      <c r="S15" s="40">
        <f>표1_3[[#This Row],[의대졸비율/남]]+표1_3[[#This Row],[의전졸비율/남]]+표1_3[[#This Row],[불합비율/남]]</f>
        <v>0.86744999999999994</v>
      </c>
      <c r="T15" s="6">
        <f t="shared" si="1"/>
        <v>0.86744999999999994</v>
      </c>
      <c r="U15" s="6">
        <f t="shared" si="2"/>
        <v>0.13255000000000006</v>
      </c>
      <c r="V15" s="6">
        <f>표1_3[[#This Row],[의전졸합격/남]]/표1_3[[#This Row],[의사고시합격자수]]</f>
        <v>0</v>
      </c>
      <c r="W15" s="6">
        <f>표1_3[[#This Row],[의전졸합격/여]]/표1_3[[#This Row],[의사고시합격자수]]</f>
        <v>0</v>
      </c>
      <c r="X15" s="6">
        <f>표1_3[[#This Row],[불합합격/남]]/표1_3[[#This Row],[의사고시합격자수]]</f>
        <v>0</v>
      </c>
      <c r="Y15" s="6">
        <f>표1_3[[#This Row],[불합합격/여]]/표1_3[[#This Row],[의사고시합격자수]]</f>
        <v>0</v>
      </c>
      <c r="Z15" s="5">
        <f>표1_3[[#This Row],[의사수비율]]*0.5553*표1_3[[#This Row],[의사고시합격자수]]</f>
        <v>373.05643392299692</v>
      </c>
      <c r="AA15" s="5">
        <v>288.392193601359</v>
      </c>
      <c r="AB15" s="16">
        <f>표1_3[[#This Row],[군입대]]/표1_3[[#This Row],[의대졸합격/남]]</f>
        <v>0.53623568883859429</v>
      </c>
      <c r="AC15" s="39">
        <v>0</v>
      </c>
      <c r="AD15" s="39">
        <v>0</v>
      </c>
      <c r="AE15" s="39">
        <v>0</v>
      </c>
      <c r="AF15" s="39">
        <v>0</v>
      </c>
      <c r="AG15" s="39">
        <v>0</v>
      </c>
      <c r="AH15" s="39">
        <v>0</v>
      </c>
      <c r="AI15" s="72">
        <f>SUM(표1_3[[#This Row],[의대졸업/남]:[재시험자/여]])</f>
        <v>0</v>
      </c>
      <c r="AJ15" s="74" t="e">
        <f>표1_3[[#This Row],[의사고시최초응시자수]]/표1_3[[#This Row],[응시자격자수]]</f>
        <v>#DIV/0!</v>
      </c>
    </row>
    <row r="16" spans="1:36" x14ac:dyDescent="0.25">
      <c r="A16" s="1">
        <v>1964</v>
      </c>
      <c r="B16" s="2">
        <v>28209737</v>
      </c>
      <c r="C16" s="7">
        <v>9695</v>
      </c>
      <c r="D16" s="7">
        <v>8147</v>
      </c>
      <c r="E16" s="7">
        <v>1548</v>
      </c>
      <c r="F16" s="14">
        <f>표1_3[[#This Row],[의사수/남]]/표1_3[[#This Row],[의사수/계]]</f>
        <v>0.84033006704486846</v>
      </c>
      <c r="G16" s="4">
        <v>0</v>
      </c>
      <c r="H16" s="46">
        <v>906</v>
      </c>
      <c r="I16" s="47">
        <v>58</v>
      </c>
      <c r="J16" s="47">
        <v>848</v>
      </c>
      <c r="K16" s="1">
        <f t="shared" si="0"/>
        <v>6419</v>
      </c>
      <c r="L16" s="1">
        <f>(-5*(표1_3[[#This Row],[년도]]-1950)^2/100000)+(16*(표1_3[[#This Row],[년도]]-1950)/10000)+0.8551</f>
        <v>0.86769999999999992</v>
      </c>
      <c r="M16" s="5">
        <f>표1_3[[#This Row],[의사고시합격자수]]*표1_3[[#This Row],[의사고시성비추세]]</f>
        <v>735.80959999999993</v>
      </c>
      <c r="N16" s="5">
        <f>표1_3[[#This Row],[의사고시합격자수]]*(1-표1_3[[#This Row],[의사고시성비추세]])</f>
        <v>112.19040000000007</v>
      </c>
      <c r="O16" s="5">
        <v>0</v>
      </c>
      <c r="P16" s="5">
        <v>0</v>
      </c>
      <c r="Q16" s="5">
        <v>0</v>
      </c>
      <c r="R16" s="5">
        <v>0</v>
      </c>
      <c r="S16" s="40">
        <f>표1_3[[#This Row],[의대졸비율/남]]+표1_3[[#This Row],[의전졸비율/남]]+표1_3[[#This Row],[불합비율/남]]</f>
        <v>0.86769999999999992</v>
      </c>
      <c r="T16" s="6">
        <f t="shared" si="1"/>
        <v>0.86769999999999992</v>
      </c>
      <c r="U16" s="6">
        <f t="shared" si="2"/>
        <v>0.13230000000000008</v>
      </c>
      <c r="V16" s="6">
        <f>표1_3[[#This Row],[의전졸합격/남]]/표1_3[[#This Row],[의사고시합격자수]]</f>
        <v>0</v>
      </c>
      <c r="W16" s="6">
        <f>표1_3[[#This Row],[의전졸합격/여]]/표1_3[[#This Row],[의사고시합격자수]]</f>
        <v>0</v>
      </c>
      <c r="X16" s="6">
        <f>표1_3[[#This Row],[불합합격/남]]/표1_3[[#This Row],[의사고시합격자수]]</f>
        <v>0</v>
      </c>
      <c r="Y16" s="6">
        <f>표1_3[[#This Row],[불합합격/여]]/표1_3[[#This Row],[의사고시합격자수]]</f>
        <v>0</v>
      </c>
      <c r="Z16" s="5">
        <f>표1_3[[#This Row],[의사수비율]]*0.5553*표1_3[[#This Row],[의사고시합격자수]]</f>
        <v>395.70672272305313</v>
      </c>
      <c r="AA16" s="5">
        <v>339.673925</v>
      </c>
      <c r="AB16" s="16">
        <f>표1_3[[#This Row],[군입대]]/표1_3[[#This Row],[의대졸합격/남]]</f>
        <v>0.53778412611503457</v>
      </c>
      <c r="AC16" s="39">
        <v>0</v>
      </c>
      <c r="AD16" s="39">
        <v>0</v>
      </c>
      <c r="AE16" s="39">
        <v>0</v>
      </c>
      <c r="AF16" s="39">
        <v>0</v>
      </c>
      <c r="AG16" s="39">
        <v>0</v>
      </c>
      <c r="AH16" s="39">
        <v>0</v>
      </c>
      <c r="AI16" s="72">
        <f>SUM(표1_3[[#This Row],[의대졸업/남]:[재시험자/여]])</f>
        <v>0</v>
      </c>
      <c r="AJ16" s="74" t="e">
        <f>표1_3[[#This Row],[의사고시최초응시자수]]/표1_3[[#This Row],[응시자격자수]]</f>
        <v>#DIV/0!</v>
      </c>
    </row>
    <row r="17" spans="1:36" x14ac:dyDescent="0.25">
      <c r="A17" s="1">
        <v>1965</v>
      </c>
      <c r="B17" s="2">
        <v>28895557</v>
      </c>
      <c r="C17" s="7">
        <v>10464</v>
      </c>
      <c r="D17" s="7">
        <v>8800</v>
      </c>
      <c r="E17" s="7">
        <v>1664</v>
      </c>
      <c r="F17" s="14">
        <f>표1_3[[#This Row],[의사수/남]]/표1_3[[#This Row],[의사수/계]]</f>
        <v>0.84097859327217128</v>
      </c>
      <c r="G17" s="4">
        <v>0</v>
      </c>
      <c r="H17" s="46">
        <v>853</v>
      </c>
      <c r="I17" s="47">
        <v>72</v>
      </c>
      <c r="J17" s="47">
        <v>781</v>
      </c>
      <c r="K17" s="1">
        <f t="shared" si="0"/>
        <v>7200</v>
      </c>
      <c r="L17" s="1">
        <f>(-5*(표1_3[[#This Row],[년도]]-1950)^2/100000)+(16*(표1_3[[#This Row],[년도]]-1950)/10000)+0.8551</f>
        <v>0.86785000000000001</v>
      </c>
      <c r="M17" s="5">
        <f>표1_3[[#This Row],[의사고시합격자수]]*표1_3[[#This Row],[의사고시성비추세]]</f>
        <v>677.79084999999998</v>
      </c>
      <c r="N17" s="5">
        <f>표1_3[[#This Row],[의사고시합격자수]]*(1-표1_3[[#This Row],[의사고시성비추세]])</f>
        <v>103.20914999999999</v>
      </c>
      <c r="O17" s="5">
        <v>0</v>
      </c>
      <c r="P17" s="5">
        <v>0</v>
      </c>
      <c r="Q17" s="5">
        <v>0</v>
      </c>
      <c r="R17" s="5">
        <v>0</v>
      </c>
      <c r="S17" s="40">
        <f>표1_3[[#This Row],[의대졸비율/남]]+표1_3[[#This Row],[의전졸비율/남]]+표1_3[[#This Row],[불합비율/남]]</f>
        <v>0.86785000000000001</v>
      </c>
      <c r="T17" s="6">
        <f t="shared" si="1"/>
        <v>0.86785000000000001</v>
      </c>
      <c r="U17" s="6">
        <f t="shared" si="2"/>
        <v>0.13214999999999999</v>
      </c>
      <c r="V17" s="6">
        <f>표1_3[[#This Row],[의전졸합격/남]]/표1_3[[#This Row],[의사고시합격자수]]</f>
        <v>0</v>
      </c>
      <c r="W17" s="6">
        <f>표1_3[[#This Row],[의전졸합격/여]]/표1_3[[#This Row],[의사고시합격자수]]</f>
        <v>0</v>
      </c>
      <c r="X17" s="6">
        <f>표1_3[[#This Row],[불합합격/남]]/표1_3[[#This Row],[의사고시합격자수]]</f>
        <v>0</v>
      </c>
      <c r="Y17" s="6">
        <f>표1_3[[#This Row],[불합합격/여]]/표1_3[[#This Row],[의사고시합격자수]]</f>
        <v>0</v>
      </c>
      <c r="Z17" s="5">
        <f>표1_3[[#This Row],[의사수비율]]*0.5553*표1_3[[#This Row],[의사고시합격자수]]</f>
        <v>364.72341743119267</v>
      </c>
      <c r="AA17" s="5">
        <v>318.54405139090608</v>
      </c>
      <c r="AB17" s="16">
        <f>표1_3[[#This Row],[군입대]]/표1_3[[#This Row],[의대졸합격/남]]</f>
        <v>0.53810613913007632</v>
      </c>
      <c r="AC17" s="39">
        <v>0</v>
      </c>
      <c r="AD17" s="39">
        <v>0</v>
      </c>
      <c r="AE17" s="39">
        <v>0</v>
      </c>
      <c r="AF17" s="39">
        <v>0</v>
      </c>
      <c r="AG17" s="39">
        <v>0</v>
      </c>
      <c r="AH17" s="39">
        <v>0</v>
      </c>
      <c r="AI17" s="72">
        <f>SUM(표1_3[[#This Row],[의대졸업/남]:[재시험자/여]])</f>
        <v>0</v>
      </c>
      <c r="AJ17" s="74" t="e">
        <f>표1_3[[#This Row],[의사고시최초응시자수]]/표1_3[[#This Row],[응시자격자수]]</f>
        <v>#DIV/0!</v>
      </c>
    </row>
    <row r="18" spans="1:36" x14ac:dyDescent="0.25">
      <c r="A18" s="1">
        <v>1966</v>
      </c>
      <c r="B18" s="2">
        <v>29572554</v>
      </c>
      <c r="C18" s="7">
        <v>11072</v>
      </c>
      <c r="D18" s="7">
        <v>9308</v>
      </c>
      <c r="E18" s="7">
        <v>1764</v>
      </c>
      <c r="F18" s="14">
        <f>표1_3[[#This Row],[의사수/남]]/표1_3[[#This Row],[의사수/계]]</f>
        <v>0.84067919075144504</v>
      </c>
      <c r="G18" s="4">
        <v>0</v>
      </c>
      <c r="H18" s="46">
        <v>791</v>
      </c>
      <c r="I18" s="47">
        <v>107</v>
      </c>
      <c r="J18" s="47">
        <v>684</v>
      </c>
      <c r="K18" s="1">
        <f t="shared" si="0"/>
        <v>7884</v>
      </c>
      <c r="L18" s="1">
        <f>(-5*(표1_3[[#This Row],[년도]]-1950)^2/100000)+(16*(표1_3[[#This Row],[년도]]-1950)/10000)+0.8551</f>
        <v>0.8679</v>
      </c>
      <c r="M18" s="5">
        <f>표1_3[[#This Row],[의사고시합격자수]]*표1_3[[#This Row],[의사고시성비추세]]</f>
        <v>593.64359999999999</v>
      </c>
      <c r="N18" s="5">
        <f>표1_3[[#This Row],[의사고시합격자수]]*(1-표1_3[[#This Row],[의사고시성비추세]])</f>
        <v>90.356399999999994</v>
      </c>
      <c r="O18" s="5">
        <v>0</v>
      </c>
      <c r="P18" s="5">
        <v>0</v>
      </c>
      <c r="Q18" s="5">
        <v>0</v>
      </c>
      <c r="R18" s="5">
        <v>0</v>
      </c>
      <c r="S18" s="40">
        <f>표1_3[[#This Row],[의대졸비율/남]]+표1_3[[#This Row],[의전졸비율/남]]+표1_3[[#This Row],[불합비율/남]]</f>
        <v>0.8679</v>
      </c>
      <c r="T18" s="6">
        <f t="shared" si="1"/>
        <v>0.8679</v>
      </c>
      <c r="U18" s="6">
        <f t="shared" si="2"/>
        <v>0.1321</v>
      </c>
      <c r="V18" s="6">
        <f>표1_3[[#This Row],[의전졸합격/남]]/표1_3[[#This Row],[의사고시합격자수]]</f>
        <v>0</v>
      </c>
      <c r="W18" s="6">
        <f>표1_3[[#This Row],[의전졸합격/여]]/표1_3[[#This Row],[의사고시합격자수]]</f>
        <v>0</v>
      </c>
      <c r="X18" s="6">
        <f>표1_3[[#This Row],[불합합격/남]]/표1_3[[#This Row],[의사고시합격자수]]</f>
        <v>0</v>
      </c>
      <c r="Y18" s="6">
        <f>표1_3[[#This Row],[불합합격/여]]/표1_3[[#This Row],[의사고시합격자수]]</f>
        <v>0</v>
      </c>
      <c r="Z18" s="5">
        <f>표1_3[[#This Row],[의사수비율]]*0.5553*표1_3[[#This Row],[의사고시합격자수]]</f>
        <v>319.31114176300576</v>
      </c>
      <c r="AA18" s="5">
        <v>373.05643392299692</v>
      </c>
      <c r="AB18" s="16">
        <f>표1_3[[#This Row],[군입대]]/표1_3[[#This Row],[의대졸합격/남]]</f>
        <v>0.53788357486378324</v>
      </c>
      <c r="AC18" s="39">
        <v>0</v>
      </c>
      <c r="AD18" s="39">
        <v>0</v>
      </c>
      <c r="AE18" s="39">
        <v>0</v>
      </c>
      <c r="AF18" s="39">
        <v>0</v>
      </c>
      <c r="AG18" s="39">
        <v>0</v>
      </c>
      <c r="AH18" s="39">
        <v>0</v>
      </c>
      <c r="AI18" s="72">
        <f>SUM(표1_3[[#This Row],[의대졸업/남]:[재시험자/여]])</f>
        <v>0</v>
      </c>
      <c r="AJ18" s="74" t="e">
        <f>표1_3[[#This Row],[의사고시최초응시자수]]/표1_3[[#This Row],[응시자격자수]]</f>
        <v>#DIV/0!</v>
      </c>
    </row>
    <row r="19" spans="1:36" x14ac:dyDescent="0.25">
      <c r="A19" s="1">
        <v>1967</v>
      </c>
      <c r="B19" s="2">
        <v>30236691</v>
      </c>
      <c r="C19" s="7">
        <v>11824</v>
      </c>
      <c r="D19" s="7">
        <v>9951</v>
      </c>
      <c r="E19" s="7">
        <v>1873</v>
      </c>
      <c r="F19" s="14">
        <f>표1_3[[#This Row],[의사수/남]]/표1_3[[#This Row],[의사수/계]]</f>
        <v>0.84159336941813256</v>
      </c>
      <c r="G19" s="4">
        <v>0</v>
      </c>
      <c r="H19" s="46">
        <v>788</v>
      </c>
      <c r="I19" s="47">
        <v>202</v>
      </c>
      <c r="J19" s="47">
        <v>723</v>
      </c>
      <c r="K19" s="1">
        <f t="shared" si="0"/>
        <v>8607</v>
      </c>
      <c r="L19" s="1">
        <f>(-5*(표1_3[[#This Row],[년도]]-1950)^2/100000)+(16*(표1_3[[#This Row],[년도]]-1950)/10000)+0.8551</f>
        <v>0.86785000000000001</v>
      </c>
      <c r="M19" s="5">
        <f>표1_3[[#This Row],[의사고시합격자수]]*표1_3[[#This Row],[의사고시성비추세]]</f>
        <v>627.45555000000002</v>
      </c>
      <c r="N19" s="5">
        <f>표1_3[[#This Row],[의사고시합격자수]]*(1-표1_3[[#This Row],[의사고시성비추세]])</f>
        <v>95.544449999999998</v>
      </c>
      <c r="O19" s="5">
        <v>0</v>
      </c>
      <c r="P19" s="5">
        <v>0</v>
      </c>
      <c r="Q19" s="5">
        <v>0</v>
      </c>
      <c r="R19" s="5">
        <v>0</v>
      </c>
      <c r="S19" s="40">
        <f>표1_3[[#This Row],[의대졸비율/남]]+표1_3[[#This Row],[의전졸비율/남]]+표1_3[[#This Row],[불합비율/남]]</f>
        <v>0.86785000000000001</v>
      </c>
      <c r="T19" s="6">
        <f t="shared" si="1"/>
        <v>0.86785000000000001</v>
      </c>
      <c r="U19" s="6">
        <f t="shared" si="2"/>
        <v>0.13214999999999999</v>
      </c>
      <c r="V19" s="6">
        <f>표1_3[[#This Row],[의전졸합격/남]]/표1_3[[#This Row],[의사고시합격자수]]</f>
        <v>0</v>
      </c>
      <c r="W19" s="6">
        <f>표1_3[[#This Row],[의전졸합격/여]]/표1_3[[#This Row],[의사고시합격자수]]</f>
        <v>0</v>
      </c>
      <c r="X19" s="6">
        <f>표1_3[[#This Row],[불합합격/남]]/표1_3[[#This Row],[의사고시합격자수]]</f>
        <v>0</v>
      </c>
      <c r="Y19" s="6">
        <f>표1_3[[#This Row],[불합합격/여]]/표1_3[[#This Row],[의사고시합격자수]]</f>
        <v>0</v>
      </c>
      <c r="Z19" s="5">
        <f>표1_3[[#This Row],[의사수비율]]*0.5553*표1_3[[#This Row],[의사고시합격자수]]</f>
        <v>337.88450498139377</v>
      </c>
      <c r="AA19" s="5">
        <v>395.70672272305313</v>
      </c>
      <c r="AB19" s="16">
        <f>표1_3[[#This Row],[군입대]]/표1_3[[#This Row],[의대졸합격/남]]</f>
        <v>0.53849950802314805</v>
      </c>
      <c r="AC19" s="39">
        <v>0</v>
      </c>
      <c r="AD19" s="39">
        <v>0</v>
      </c>
      <c r="AE19" s="39">
        <v>0</v>
      </c>
      <c r="AF19" s="39">
        <v>0</v>
      </c>
      <c r="AG19" s="39">
        <v>0</v>
      </c>
      <c r="AH19" s="39">
        <v>0</v>
      </c>
      <c r="AI19" s="72">
        <f>SUM(표1_3[[#This Row],[의대졸업/남]:[재시험자/여]])</f>
        <v>0</v>
      </c>
      <c r="AJ19" s="74" t="e">
        <f>표1_3[[#This Row],[의사고시최초응시자수]]/표1_3[[#This Row],[응시자격자수]]</f>
        <v>#DIV/0!</v>
      </c>
    </row>
    <row r="20" spans="1:36" x14ac:dyDescent="0.25">
      <c r="A20" s="1">
        <v>1968</v>
      </c>
      <c r="B20" s="2">
        <v>30891968.000000004</v>
      </c>
      <c r="C20" s="7">
        <v>12727</v>
      </c>
      <c r="D20" s="7">
        <v>10769</v>
      </c>
      <c r="E20" s="7">
        <v>1958</v>
      </c>
      <c r="F20" s="14">
        <f>표1_3[[#This Row],[의사수/남]]/표1_3[[#This Row],[의사수/계]]</f>
        <v>0.84615384615384615</v>
      </c>
      <c r="G20" s="4">
        <v>0</v>
      </c>
      <c r="H20" s="46">
        <v>815</v>
      </c>
      <c r="I20" s="47">
        <v>155</v>
      </c>
      <c r="J20" s="47">
        <v>660</v>
      </c>
      <c r="K20" s="1">
        <f t="shared" si="0"/>
        <v>9267</v>
      </c>
      <c r="L20" s="1">
        <f>(-5*(표1_3[[#This Row],[년도]]-1950)^2/100000)+(16*(표1_3[[#This Row],[년도]]-1950)/10000)+0.8551</f>
        <v>0.86769999999999992</v>
      </c>
      <c r="M20" s="5">
        <f>표1_3[[#This Row],[의사고시합격자수]]*표1_3[[#This Row],[의사고시성비추세]]</f>
        <v>572.6819999999999</v>
      </c>
      <c r="N20" s="5">
        <f>표1_3[[#This Row],[의사고시합격자수]]*(1-표1_3[[#This Row],[의사고시성비추세]])</f>
        <v>87.318000000000055</v>
      </c>
      <c r="O20" s="5">
        <v>0</v>
      </c>
      <c r="P20" s="5">
        <v>0</v>
      </c>
      <c r="Q20" s="5">
        <v>0</v>
      </c>
      <c r="R20" s="5">
        <v>0</v>
      </c>
      <c r="S20" s="40">
        <f>표1_3[[#This Row],[의대졸비율/남]]+표1_3[[#This Row],[의전졸비율/남]]+표1_3[[#This Row],[불합비율/남]]</f>
        <v>0.8676999999999998</v>
      </c>
      <c r="T20" s="6">
        <f t="shared" si="1"/>
        <v>0.8676999999999998</v>
      </c>
      <c r="U20" s="6">
        <f t="shared" si="2"/>
        <v>0.13230000000000008</v>
      </c>
      <c r="V20" s="6">
        <f>표1_3[[#This Row],[의전졸합격/남]]/표1_3[[#This Row],[의사고시합격자수]]</f>
        <v>0</v>
      </c>
      <c r="W20" s="6">
        <f>표1_3[[#This Row],[의전졸합격/여]]/표1_3[[#This Row],[의사고시합격자수]]</f>
        <v>0</v>
      </c>
      <c r="X20" s="6">
        <f>표1_3[[#This Row],[불합합격/남]]/표1_3[[#This Row],[의사고시합격자수]]</f>
        <v>0</v>
      </c>
      <c r="Y20" s="6">
        <f>표1_3[[#This Row],[불합합격/여]]/표1_3[[#This Row],[의사고시합격자수]]</f>
        <v>0</v>
      </c>
      <c r="Z20" s="5">
        <f>표1_3[[#This Row],[의사수비율]]*0.5553*표1_3[[#This Row],[의사고시합격자수]]</f>
        <v>310.1136923076923</v>
      </c>
      <c r="AA20" s="5">
        <v>364.72341743119267</v>
      </c>
      <c r="AB20" s="16">
        <f>표1_3[[#This Row],[군입대]]/표1_3[[#This Row],[의대졸합격/남]]</f>
        <v>0.54151115681598572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72">
        <f>SUM(표1_3[[#This Row],[의대졸업/남]:[재시험자/여]])</f>
        <v>0</v>
      </c>
      <c r="AJ20" s="74" t="e">
        <f>표1_3[[#This Row],[의사고시최초응시자수]]/표1_3[[#This Row],[응시자격자수]]</f>
        <v>#DIV/0!</v>
      </c>
    </row>
    <row r="21" spans="1:36" x14ac:dyDescent="0.25">
      <c r="A21" s="1">
        <v>1969</v>
      </c>
      <c r="B21" s="2">
        <v>31543830.999999993</v>
      </c>
      <c r="C21" s="7">
        <v>13465</v>
      </c>
      <c r="D21" s="7">
        <v>11415</v>
      </c>
      <c r="E21" s="7">
        <v>2050</v>
      </c>
      <c r="F21" s="14">
        <f>표1_3[[#This Row],[의사수/남]]/표1_3[[#This Row],[의사수/계]]</f>
        <v>0.84775343483104348</v>
      </c>
      <c r="G21" s="4">
        <v>0</v>
      </c>
      <c r="H21" s="46">
        <v>803</v>
      </c>
      <c r="I21" s="47">
        <v>156</v>
      </c>
      <c r="J21" s="47">
        <v>619</v>
      </c>
      <c r="K21" s="1">
        <f t="shared" si="0"/>
        <v>9886</v>
      </c>
      <c r="L21" s="1">
        <f>(-5*(표1_3[[#This Row],[년도]]-1950)^2/100000)+(16*(표1_3[[#This Row],[년도]]-1950)/10000)+0.8551</f>
        <v>0.86744999999999994</v>
      </c>
      <c r="M21" s="5">
        <f>표1_3[[#This Row],[의사고시합격자수]]*표1_3[[#This Row],[의사고시성비추세]]</f>
        <v>536.95155</v>
      </c>
      <c r="N21" s="5">
        <f>표1_3[[#This Row],[의사고시합격자수]]*(1-표1_3[[#This Row],[의사고시성비추세]])</f>
        <v>82.048450000000031</v>
      </c>
      <c r="O21" s="5">
        <v>0</v>
      </c>
      <c r="P21" s="5">
        <v>0</v>
      </c>
      <c r="Q21" s="5">
        <v>0</v>
      </c>
      <c r="R21" s="5">
        <v>0</v>
      </c>
      <c r="S21" s="40">
        <f>표1_3[[#This Row],[의대졸비율/남]]+표1_3[[#This Row],[의전졸비율/남]]+표1_3[[#This Row],[불합비율/남]]</f>
        <v>0.86744999999999994</v>
      </c>
      <c r="T21" s="6">
        <f t="shared" si="1"/>
        <v>0.86744999999999994</v>
      </c>
      <c r="U21" s="6">
        <f t="shared" si="2"/>
        <v>0.13255000000000006</v>
      </c>
      <c r="V21" s="6">
        <f>표1_3[[#This Row],[의전졸합격/남]]/표1_3[[#This Row],[의사고시합격자수]]</f>
        <v>0</v>
      </c>
      <c r="W21" s="6">
        <f>표1_3[[#This Row],[의전졸합격/여]]/표1_3[[#This Row],[의사고시합격자수]]</f>
        <v>0</v>
      </c>
      <c r="X21" s="6">
        <f>표1_3[[#This Row],[불합합격/남]]/표1_3[[#This Row],[의사고시합격자수]]</f>
        <v>0</v>
      </c>
      <c r="Y21" s="6">
        <f>표1_3[[#This Row],[불합합격/여]]/표1_3[[#This Row],[의사고시합격자수]]</f>
        <v>0</v>
      </c>
      <c r="Z21" s="5">
        <f>표1_3[[#This Row],[의사수비율]]*0.5553*표1_3[[#This Row],[의사고시합격자수]]</f>
        <v>291.39888158187898</v>
      </c>
      <c r="AA21" s="5">
        <v>319.31114176300576</v>
      </c>
      <c r="AB21" s="16">
        <f>표1_3[[#This Row],[군입대]]/표1_3[[#This Row],[의대졸합격/남]]</f>
        <v>0.54269120106251478</v>
      </c>
      <c r="AC21" s="39">
        <v>0</v>
      </c>
      <c r="AD21" s="39">
        <v>0</v>
      </c>
      <c r="AE21" s="39">
        <v>0</v>
      </c>
      <c r="AF21" s="39">
        <v>0</v>
      </c>
      <c r="AG21" s="39">
        <v>0</v>
      </c>
      <c r="AH21" s="39">
        <v>0</v>
      </c>
      <c r="AI21" s="72">
        <f>SUM(표1_3[[#This Row],[의대졸업/남]:[재시험자/여]])</f>
        <v>0</v>
      </c>
      <c r="AJ21" s="74" t="e">
        <f>표1_3[[#This Row],[의사고시최초응시자수]]/표1_3[[#This Row],[응시자격자수]]</f>
        <v>#DIV/0!</v>
      </c>
    </row>
    <row r="22" spans="1:36" x14ac:dyDescent="0.25">
      <c r="A22" s="1">
        <v>1970</v>
      </c>
      <c r="B22" s="9">
        <v>32240827</v>
      </c>
      <c r="C22" s="7">
        <v>14404</v>
      </c>
      <c r="D22" s="7">
        <v>12638</v>
      </c>
      <c r="E22" s="7">
        <v>1766</v>
      </c>
      <c r="F22" s="14">
        <f>표1_3[[#This Row],[의사수/남]]/표1_3[[#This Row],[의사수/계]]</f>
        <v>0.87739516800888639</v>
      </c>
      <c r="G22" s="4">
        <v>0</v>
      </c>
      <c r="H22" s="46">
        <v>814</v>
      </c>
      <c r="I22" s="47">
        <v>183</v>
      </c>
      <c r="J22" s="47">
        <v>631</v>
      </c>
      <c r="K22" s="1">
        <f t="shared" si="0"/>
        <v>10517</v>
      </c>
      <c r="L22" s="1">
        <f>(-5*(표1_3[[#This Row],[년도]]-1950)^2/100000)+(16*(표1_3[[#This Row],[년도]]-1950)/10000)+0.8551</f>
        <v>0.86709999999999998</v>
      </c>
      <c r="M22" s="5">
        <f>표1_3[[#This Row],[의사고시합격자수]]*표1_3[[#This Row],[의사고시성비추세]]</f>
        <v>547.14009999999996</v>
      </c>
      <c r="N22" s="5">
        <f>표1_3[[#This Row],[의사고시합격자수]]*(1-표1_3[[#This Row],[의사고시성비추세]])</f>
        <v>83.85990000000001</v>
      </c>
      <c r="O22" s="5">
        <v>0</v>
      </c>
      <c r="P22" s="5">
        <v>0</v>
      </c>
      <c r="Q22" s="5">
        <v>0</v>
      </c>
      <c r="R22" s="5">
        <v>0</v>
      </c>
      <c r="S22" s="40">
        <f>표1_3[[#This Row],[의대졸비율/남]]+표1_3[[#This Row],[의전졸비율/남]]+표1_3[[#This Row],[불합비율/남]]</f>
        <v>0.86709999999999998</v>
      </c>
      <c r="T22" s="6">
        <f t="shared" si="1"/>
        <v>0.86709999999999998</v>
      </c>
      <c r="U22" s="6">
        <f t="shared" si="2"/>
        <v>0.13290000000000002</v>
      </c>
      <c r="V22" s="6">
        <f>표1_3[[#This Row],[의전졸합격/남]]/표1_3[[#This Row],[의사고시합격자수]]</f>
        <v>0</v>
      </c>
      <c r="W22" s="6">
        <f>표1_3[[#This Row],[의전졸합격/여]]/표1_3[[#This Row],[의사고시합격자수]]</f>
        <v>0</v>
      </c>
      <c r="X22" s="6">
        <f>표1_3[[#This Row],[불합합격/남]]/표1_3[[#This Row],[의사고시합격자수]]</f>
        <v>0</v>
      </c>
      <c r="Y22" s="6">
        <f>표1_3[[#This Row],[불합합격/여]]/표1_3[[#This Row],[의사고시합격자수]]</f>
        <v>0</v>
      </c>
      <c r="Z22" s="5">
        <f>표1_3[[#This Row],[의사수비율]]*0.5553*표1_3[[#This Row],[의사고시합격자수]]</f>
        <v>307.43426571785614</v>
      </c>
      <c r="AA22" s="5">
        <v>337.88450498139377</v>
      </c>
      <c r="AB22" s="16">
        <f>표1_3[[#This Row],[군입대]]/표1_3[[#This Row],[의대졸합격/남]]</f>
        <v>0.56189313435051857</v>
      </c>
      <c r="AC22" s="39">
        <v>0</v>
      </c>
      <c r="AD22" s="39">
        <v>0</v>
      </c>
      <c r="AE22" s="39">
        <v>0</v>
      </c>
      <c r="AF22" s="39">
        <v>0</v>
      </c>
      <c r="AG22" s="39">
        <v>0</v>
      </c>
      <c r="AH22" s="39">
        <v>0</v>
      </c>
      <c r="AI22" s="72">
        <f>SUM(표1_3[[#This Row],[의대졸업/남]:[재시험자/여]])</f>
        <v>0</v>
      </c>
      <c r="AJ22" s="74" t="e">
        <f>표1_3[[#This Row],[의사고시최초응시자수]]/표1_3[[#This Row],[응시자격자수]]</f>
        <v>#DIV/0!</v>
      </c>
    </row>
    <row r="23" spans="1:36" x14ac:dyDescent="0.25">
      <c r="A23" s="1">
        <v>1971</v>
      </c>
      <c r="B23" s="9">
        <v>32882704</v>
      </c>
      <c r="C23" s="7">
        <v>15589</v>
      </c>
      <c r="D23" s="7">
        <v>13707</v>
      </c>
      <c r="E23" s="7">
        <v>1882</v>
      </c>
      <c r="F23" s="14">
        <f>표1_3[[#This Row],[의사수/남]]/표1_3[[#This Row],[의사수/계]]</f>
        <v>0.87927384694335753</v>
      </c>
      <c r="G23" s="4">
        <v>0</v>
      </c>
      <c r="H23" s="46">
        <v>759</v>
      </c>
      <c r="I23" s="47">
        <v>101</v>
      </c>
      <c r="J23" s="47">
        <v>658</v>
      </c>
      <c r="K23" s="1">
        <f t="shared" si="0"/>
        <v>11175</v>
      </c>
      <c r="L23" s="1">
        <f>(-5*(표1_3[[#This Row],[년도]]-1950)^2/100000)+(16*(표1_3[[#This Row],[년도]]-1950)/10000)+0.8551</f>
        <v>0.86664999999999992</v>
      </c>
      <c r="M23" s="5">
        <f>표1_3[[#This Row],[의사고시합격자수]]*표1_3[[#This Row],[의사고시성비추세]]</f>
        <v>570.25569999999993</v>
      </c>
      <c r="N23" s="5">
        <f>표1_3[[#This Row],[의사고시합격자수]]*(1-표1_3[[#This Row],[의사고시성비추세]])</f>
        <v>87.744300000000052</v>
      </c>
      <c r="O23" s="5">
        <v>0</v>
      </c>
      <c r="P23" s="5">
        <v>0</v>
      </c>
      <c r="Q23" s="5">
        <v>0</v>
      </c>
      <c r="R23" s="5">
        <v>0</v>
      </c>
      <c r="S23" s="40">
        <f>표1_3[[#This Row],[의대졸비율/남]]+표1_3[[#This Row],[의전졸비율/남]]+표1_3[[#This Row],[불합비율/남]]</f>
        <v>0.86664999999999992</v>
      </c>
      <c r="T23" s="6">
        <f t="shared" si="1"/>
        <v>0.86664999999999992</v>
      </c>
      <c r="U23" s="6">
        <f t="shared" si="2"/>
        <v>0.13335000000000008</v>
      </c>
      <c r="V23" s="6">
        <f>표1_3[[#This Row],[의전졸합격/남]]/표1_3[[#This Row],[의사고시합격자수]]</f>
        <v>0</v>
      </c>
      <c r="W23" s="6">
        <f>표1_3[[#This Row],[의전졸합격/여]]/표1_3[[#This Row],[의사고시합격자수]]</f>
        <v>0</v>
      </c>
      <c r="X23" s="6">
        <f>표1_3[[#This Row],[불합합격/남]]/표1_3[[#This Row],[의사고시합격자수]]</f>
        <v>0</v>
      </c>
      <c r="Y23" s="6">
        <f>표1_3[[#This Row],[불합합격/여]]/표1_3[[#This Row],[의사고시합격자수]]</f>
        <v>0</v>
      </c>
      <c r="Z23" s="5">
        <f>표1_3[[#This Row],[의사수비율]]*0.5553*표1_3[[#This Row],[의사고시합격자수]]</f>
        <v>321.27558482263134</v>
      </c>
      <c r="AA23" s="5">
        <v>310.1136923076923</v>
      </c>
      <c r="AB23" s="16">
        <f>표1_3[[#This Row],[군입대]]/표1_3[[#This Row],[의대졸합격/남]]</f>
        <v>0.56338864271349043</v>
      </c>
      <c r="AC23" s="39">
        <v>0</v>
      </c>
      <c r="AD23" s="39">
        <v>0</v>
      </c>
      <c r="AE23" s="39">
        <v>0</v>
      </c>
      <c r="AF23" s="39">
        <v>0</v>
      </c>
      <c r="AG23" s="39">
        <v>0</v>
      </c>
      <c r="AH23" s="39">
        <v>0</v>
      </c>
      <c r="AI23" s="72">
        <f>SUM(표1_3[[#This Row],[의대졸업/남]:[재시험자/여]])</f>
        <v>0</v>
      </c>
      <c r="AJ23" s="74" t="e">
        <f>표1_3[[#This Row],[의사고시최초응시자수]]/표1_3[[#This Row],[응시자격자수]]</f>
        <v>#DIV/0!</v>
      </c>
    </row>
    <row r="24" spans="1:36" x14ac:dyDescent="0.25">
      <c r="A24" s="1">
        <v>1972</v>
      </c>
      <c r="B24" s="9">
        <v>33505406</v>
      </c>
      <c r="C24" s="7">
        <v>16363</v>
      </c>
      <c r="D24" s="7">
        <v>14382</v>
      </c>
      <c r="E24" s="7">
        <v>1981</v>
      </c>
      <c r="F24" s="14">
        <f>표1_3[[#This Row],[의사수/남]]/표1_3[[#This Row],[의사수/계]]</f>
        <v>0.87893418077369678</v>
      </c>
      <c r="G24" s="4">
        <v>0</v>
      </c>
      <c r="H24" s="46">
        <v>744</v>
      </c>
      <c r="I24" s="47">
        <v>86</v>
      </c>
      <c r="J24" s="47">
        <v>658</v>
      </c>
      <c r="K24" s="1">
        <f t="shared" si="0"/>
        <v>11833</v>
      </c>
      <c r="L24" s="1">
        <f>(-5*(표1_3[[#This Row],[년도]]-1950)^2/100000)+(16*(표1_3[[#This Row],[년도]]-1950)/10000)+0.8551</f>
        <v>0.86609999999999998</v>
      </c>
      <c r="M24" s="5">
        <f>표1_3[[#This Row],[의사고시합격자수]]*표1_3[[#This Row],[의사고시성비추세]]</f>
        <v>569.89379999999994</v>
      </c>
      <c r="N24" s="5">
        <f>표1_3[[#This Row],[의사고시합격자수]]*(1-표1_3[[#This Row],[의사고시성비추세]])</f>
        <v>88.106200000000015</v>
      </c>
      <c r="O24" s="5">
        <v>0</v>
      </c>
      <c r="P24" s="5">
        <v>0</v>
      </c>
      <c r="Q24" s="5">
        <v>0</v>
      </c>
      <c r="R24" s="5">
        <v>0</v>
      </c>
      <c r="S24" s="40">
        <f>표1_3[[#This Row],[의대졸비율/남]]+표1_3[[#This Row],[의전졸비율/남]]+표1_3[[#This Row],[불합비율/남]]</f>
        <v>0.86609999999999987</v>
      </c>
      <c r="T24" s="6">
        <f t="shared" si="1"/>
        <v>0.86609999999999987</v>
      </c>
      <c r="U24" s="6">
        <f t="shared" si="2"/>
        <v>0.13390000000000002</v>
      </c>
      <c r="V24" s="6">
        <f>표1_3[[#This Row],[의전졸합격/남]]/표1_3[[#This Row],[의사고시합격자수]]</f>
        <v>0</v>
      </c>
      <c r="W24" s="6">
        <f>표1_3[[#This Row],[의전졸합격/여]]/표1_3[[#This Row],[의사고시합격자수]]</f>
        <v>0</v>
      </c>
      <c r="X24" s="6">
        <f>표1_3[[#This Row],[불합합격/남]]/표1_3[[#This Row],[의사고시합격자수]]</f>
        <v>0</v>
      </c>
      <c r="Y24" s="6">
        <f>표1_3[[#This Row],[불합합격/여]]/표1_3[[#This Row],[의사고시합격자수]]</f>
        <v>0</v>
      </c>
      <c r="Z24" s="5">
        <f>표1_3[[#This Row],[의사수비율]]*0.5553*표1_3[[#This Row],[의사고시합격자수]]</f>
        <v>321.15147508403106</v>
      </c>
      <c r="AA24" s="5">
        <v>291.39888158187898</v>
      </c>
      <c r="AB24" s="16">
        <f>표1_3[[#This Row],[군입대]]/표1_3[[#This Row],[의대졸합격/남]]</f>
        <v>0.56352863478078041</v>
      </c>
      <c r="AC24" s="39">
        <v>0</v>
      </c>
      <c r="AD24" s="39">
        <v>0</v>
      </c>
      <c r="AE24" s="39">
        <v>0</v>
      </c>
      <c r="AF24" s="39">
        <v>0</v>
      </c>
      <c r="AG24" s="39">
        <v>0</v>
      </c>
      <c r="AH24" s="39">
        <v>0</v>
      </c>
      <c r="AI24" s="72">
        <f>SUM(표1_3[[#This Row],[의대졸업/남]:[재시험자/여]])</f>
        <v>0</v>
      </c>
      <c r="AJ24" s="74" t="e">
        <f>표1_3[[#This Row],[의사고시최초응시자수]]/표1_3[[#This Row],[응시자격자수]]</f>
        <v>#DIV/0!</v>
      </c>
    </row>
    <row r="25" spans="1:36" x14ac:dyDescent="0.25">
      <c r="A25" s="1">
        <v>1973</v>
      </c>
      <c r="B25" s="9">
        <v>34103149</v>
      </c>
      <c r="C25" s="7">
        <v>16377</v>
      </c>
      <c r="D25" s="7">
        <v>14378</v>
      </c>
      <c r="E25" s="7">
        <v>1999</v>
      </c>
      <c r="F25" s="14">
        <f>표1_3[[#This Row],[의사수/남]]/표1_3[[#This Row],[의사수/계]]</f>
        <v>0.87793857238810524</v>
      </c>
      <c r="G25" s="4">
        <v>0</v>
      </c>
      <c r="H25" s="46">
        <v>797</v>
      </c>
      <c r="I25" s="47">
        <v>36</v>
      </c>
      <c r="J25" s="47">
        <v>761</v>
      </c>
      <c r="K25" s="1">
        <f t="shared" si="0"/>
        <v>12594</v>
      </c>
      <c r="L25" s="1">
        <f>(-5*(표1_3[[#This Row],[년도]]-1950)^2/100000)+(16*(표1_3[[#This Row],[년도]]-1950)/10000)+0.8551</f>
        <v>0.86544999999999994</v>
      </c>
      <c r="M25" s="5">
        <f>표1_3[[#This Row],[의사고시합격자수]]*표1_3[[#This Row],[의사고시성비추세]]</f>
        <v>658.60744999999997</v>
      </c>
      <c r="N25" s="5">
        <f>표1_3[[#This Row],[의사고시합격자수]]*(1-표1_3[[#This Row],[의사고시성비추세]])</f>
        <v>102.39255000000004</v>
      </c>
      <c r="O25" s="5">
        <v>0</v>
      </c>
      <c r="P25" s="5">
        <v>0</v>
      </c>
      <c r="Q25" s="5">
        <v>0</v>
      </c>
      <c r="R25" s="5">
        <v>0</v>
      </c>
      <c r="S25" s="40">
        <f>표1_3[[#This Row],[의대졸비율/남]]+표1_3[[#This Row],[의전졸비율/남]]+표1_3[[#This Row],[불합비율/남]]</f>
        <v>0.86544999999999994</v>
      </c>
      <c r="T25" s="6">
        <f t="shared" si="1"/>
        <v>0.86544999999999994</v>
      </c>
      <c r="U25" s="6">
        <f t="shared" si="2"/>
        <v>0.13455000000000006</v>
      </c>
      <c r="V25" s="6">
        <f>표1_3[[#This Row],[의전졸합격/남]]/표1_3[[#This Row],[의사고시합격자수]]</f>
        <v>0</v>
      </c>
      <c r="W25" s="6">
        <f>표1_3[[#This Row],[의전졸합격/여]]/표1_3[[#This Row],[의사고시합격자수]]</f>
        <v>0</v>
      </c>
      <c r="X25" s="6">
        <f>표1_3[[#This Row],[불합합격/남]]/표1_3[[#This Row],[의사고시합격자수]]</f>
        <v>0</v>
      </c>
      <c r="Y25" s="6">
        <f>표1_3[[#This Row],[불합합격/여]]/표1_3[[#This Row],[의사고시합격자수]]</f>
        <v>0</v>
      </c>
      <c r="Z25" s="5">
        <f>표1_3[[#This Row],[의사수비율]]*0.5553*표1_3[[#This Row],[의사고시합격자수]]</f>
        <v>371.00217911705442</v>
      </c>
      <c r="AA25" s="5">
        <v>307.43426571785614</v>
      </c>
      <c r="AB25" s="16">
        <f>표1_3[[#This Row],[군입대]]/표1_3[[#This Row],[의대졸합격/남]]</f>
        <v>0.56331306169867112</v>
      </c>
      <c r="AC25" s="39">
        <v>0</v>
      </c>
      <c r="AD25" s="39">
        <v>0</v>
      </c>
      <c r="AE25" s="39">
        <v>0</v>
      </c>
      <c r="AF25" s="39">
        <v>0</v>
      </c>
      <c r="AG25" s="39">
        <v>0</v>
      </c>
      <c r="AH25" s="39">
        <v>0</v>
      </c>
      <c r="AI25" s="72">
        <f>SUM(표1_3[[#This Row],[의대졸업/남]:[재시험자/여]])</f>
        <v>0</v>
      </c>
      <c r="AJ25" s="74" t="e">
        <f>표1_3[[#This Row],[의사고시최초응시자수]]/표1_3[[#This Row],[응시자격자수]]</f>
        <v>#DIV/0!</v>
      </c>
    </row>
    <row r="26" spans="1:36" x14ac:dyDescent="0.25">
      <c r="A26" s="1">
        <v>1974</v>
      </c>
      <c r="B26" s="9">
        <v>34692266</v>
      </c>
      <c r="C26" s="7">
        <v>15188</v>
      </c>
      <c r="D26" s="7">
        <v>13172</v>
      </c>
      <c r="E26" s="7">
        <v>2016</v>
      </c>
      <c r="F26" s="14">
        <f>표1_3[[#This Row],[의사수/남]]/표1_3[[#This Row],[의사수/계]]</f>
        <v>0.86726362918093236</v>
      </c>
      <c r="G26" s="4">
        <v>0</v>
      </c>
      <c r="H26" s="46">
        <v>878</v>
      </c>
      <c r="I26" s="47">
        <v>118</v>
      </c>
      <c r="J26" s="47">
        <v>760</v>
      </c>
      <c r="K26" s="1">
        <f t="shared" si="0"/>
        <v>13354</v>
      </c>
      <c r="L26" s="1">
        <f>(-5*(표1_3[[#This Row],[년도]]-1950)^2/100000)+(16*(표1_3[[#This Row],[년도]]-1950)/10000)+0.8551</f>
        <v>0.86470000000000002</v>
      </c>
      <c r="M26" s="5">
        <f>표1_3[[#This Row],[의사고시합격자수]]*표1_3[[#This Row],[의사고시성비추세]]</f>
        <v>657.17200000000003</v>
      </c>
      <c r="N26" s="5">
        <f>표1_3[[#This Row],[의사고시합격자수]]*(1-표1_3[[#This Row],[의사고시성비추세]])</f>
        <v>102.82799999999997</v>
      </c>
      <c r="O26" s="5">
        <v>0</v>
      </c>
      <c r="P26" s="5">
        <v>0</v>
      </c>
      <c r="Q26" s="5">
        <v>0</v>
      </c>
      <c r="R26" s="5">
        <v>0</v>
      </c>
      <c r="S26" s="40">
        <f>표1_3[[#This Row],[의대졸비율/남]]+표1_3[[#This Row],[의전졸비율/남]]+표1_3[[#This Row],[불합비율/남]]</f>
        <v>0.86470000000000002</v>
      </c>
      <c r="T26" s="6">
        <f t="shared" si="1"/>
        <v>0.86470000000000002</v>
      </c>
      <c r="U26" s="6">
        <f t="shared" si="2"/>
        <v>0.13529999999999998</v>
      </c>
      <c r="V26" s="6">
        <f>표1_3[[#This Row],[의전졸합격/남]]/표1_3[[#This Row],[의사고시합격자수]]</f>
        <v>0</v>
      </c>
      <c r="W26" s="6">
        <f>표1_3[[#This Row],[의전졸합격/여]]/표1_3[[#This Row],[의사고시합격자수]]</f>
        <v>0</v>
      </c>
      <c r="X26" s="6">
        <f>표1_3[[#This Row],[불합합격/남]]/표1_3[[#This Row],[의사고시합격자수]]</f>
        <v>0</v>
      </c>
      <c r="Y26" s="6">
        <f>표1_3[[#This Row],[불합합격/여]]/표1_3[[#This Row],[의사고시합격자수]]</f>
        <v>0</v>
      </c>
      <c r="Z26" s="5">
        <f>표1_3[[#This Row],[의사수비율]]*0.5553*표1_3[[#This Row],[의사고시합격자수]]</f>
        <v>366.00953489597055</v>
      </c>
      <c r="AA26" s="5">
        <v>321.27558482263134</v>
      </c>
      <c r="AB26" s="16">
        <f>표1_3[[#This Row],[군입대]]/표1_3[[#This Row],[의대졸합격/남]]</f>
        <v>0.55694633200436194</v>
      </c>
      <c r="AC26" s="39">
        <v>0</v>
      </c>
      <c r="AD26" s="39">
        <v>0</v>
      </c>
      <c r="AE26" s="39">
        <v>0</v>
      </c>
      <c r="AF26" s="39">
        <v>0</v>
      </c>
      <c r="AG26" s="39">
        <v>0</v>
      </c>
      <c r="AH26" s="39">
        <v>0</v>
      </c>
      <c r="AI26" s="72">
        <f>SUM(표1_3[[#This Row],[의대졸업/남]:[재시험자/여]])</f>
        <v>0</v>
      </c>
      <c r="AJ26" s="74" t="e">
        <f>표1_3[[#This Row],[의사고시최초응시자수]]/표1_3[[#This Row],[응시자격자수]]</f>
        <v>#DIV/0!</v>
      </c>
    </row>
    <row r="27" spans="1:36" x14ac:dyDescent="0.25">
      <c r="A27" s="1">
        <v>1975</v>
      </c>
      <c r="B27" s="9">
        <v>35280725</v>
      </c>
      <c r="C27" s="7">
        <v>16260</v>
      </c>
      <c r="D27" s="7">
        <v>14044</v>
      </c>
      <c r="E27" s="7">
        <v>2216</v>
      </c>
      <c r="F27" s="14">
        <f>표1_3[[#This Row],[의사수/남]]/표1_3[[#This Row],[의사수/계]]</f>
        <v>0.86371463714637142</v>
      </c>
      <c r="G27" s="4">
        <v>0</v>
      </c>
      <c r="H27" s="48">
        <v>1009</v>
      </c>
      <c r="I27" s="47">
        <v>140</v>
      </c>
      <c r="J27" s="47">
        <v>869</v>
      </c>
      <c r="K27" s="1">
        <f t="shared" si="0"/>
        <v>14223</v>
      </c>
      <c r="L27" s="1">
        <f>(-5*(표1_3[[#This Row],[년도]]-1950)^2/100000)+(16*(표1_3[[#This Row],[년도]]-1950)/10000)+0.8551</f>
        <v>0.86385000000000001</v>
      </c>
      <c r="M27" s="5">
        <f>표1_3[[#This Row],[의사고시합격자수]]*표1_3[[#This Row],[의사고시성비추세]]</f>
        <v>750.68565000000001</v>
      </c>
      <c r="N27" s="5">
        <f>표1_3[[#This Row],[의사고시합격자수]]*(1-표1_3[[#This Row],[의사고시성비추세]])</f>
        <v>118.31434999999999</v>
      </c>
      <c r="O27" s="5">
        <v>0</v>
      </c>
      <c r="P27" s="5">
        <v>0</v>
      </c>
      <c r="Q27" s="5">
        <v>0</v>
      </c>
      <c r="R27" s="5">
        <v>0</v>
      </c>
      <c r="S27" s="40">
        <f>표1_3[[#This Row],[의대졸비율/남]]+표1_3[[#This Row],[의전졸비율/남]]+표1_3[[#This Row],[불합비율/남]]</f>
        <v>0.86385000000000001</v>
      </c>
      <c r="T27" s="6">
        <f t="shared" si="1"/>
        <v>0.86385000000000001</v>
      </c>
      <c r="U27" s="6">
        <f t="shared" si="2"/>
        <v>0.13614999999999999</v>
      </c>
      <c r="V27" s="6">
        <f>표1_3[[#This Row],[의전졸합격/남]]/표1_3[[#This Row],[의사고시합격자수]]</f>
        <v>0</v>
      </c>
      <c r="W27" s="6">
        <f>표1_3[[#This Row],[의전졸합격/여]]/표1_3[[#This Row],[의사고시합격자수]]</f>
        <v>0</v>
      </c>
      <c r="X27" s="6">
        <f>표1_3[[#This Row],[불합합격/남]]/표1_3[[#This Row],[의사고시합격자수]]</f>
        <v>0</v>
      </c>
      <c r="Y27" s="6">
        <f>표1_3[[#This Row],[불합합격/여]]/표1_3[[#This Row],[의사고시합격자수]]</f>
        <v>0</v>
      </c>
      <c r="Z27" s="5">
        <f>표1_3[[#This Row],[의사수비율]]*0.5553*표1_3[[#This Row],[의사고시합격자수]]</f>
        <v>416.79042132841329</v>
      </c>
      <c r="AA27" s="5">
        <v>321.15147508403106</v>
      </c>
      <c r="AB27" s="16">
        <f>표1_3[[#This Row],[군입대]]/표1_3[[#This Row],[의대졸합격/남]]</f>
        <v>0.5552129860593622</v>
      </c>
      <c r="AC27" s="39">
        <v>0</v>
      </c>
      <c r="AD27" s="39">
        <v>0</v>
      </c>
      <c r="AE27" s="39">
        <v>0</v>
      </c>
      <c r="AF27" s="39">
        <v>0</v>
      </c>
      <c r="AG27" s="39">
        <v>0</v>
      </c>
      <c r="AH27" s="39">
        <v>0</v>
      </c>
      <c r="AI27" s="72">
        <f>SUM(표1_3[[#This Row],[의대졸업/남]:[재시험자/여]])</f>
        <v>0</v>
      </c>
      <c r="AJ27" s="74" t="e">
        <f>표1_3[[#This Row],[의사고시최초응시자수]]/표1_3[[#This Row],[응시자격자수]]</f>
        <v>#DIV/0!</v>
      </c>
    </row>
    <row r="28" spans="1:36" s="62" customFormat="1" ht="17.25" thickBot="1" x14ac:dyDescent="0.3">
      <c r="A28" s="50">
        <v>1976</v>
      </c>
      <c r="B28" s="51">
        <v>35848523</v>
      </c>
      <c r="C28" s="52">
        <v>17333</v>
      </c>
      <c r="D28" s="52">
        <v>14989</v>
      </c>
      <c r="E28" s="52">
        <v>2344</v>
      </c>
      <c r="F28" s="53">
        <f>표1_3[[#This Row],[의사수/남]]/표1_3[[#This Row],[의사수/계]]</f>
        <v>0.86476663012750243</v>
      </c>
      <c r="G28" s="54">
        <v>0</v>
      </c>
      <c r="H28" s="55">
        <v>1089</v>
      </c>
      <c r="I28" s="56">
        <v>28</v>
      </c>
      <c r="J28" s="56">
        <v>1035</v>
      </c>
      <c r="K28" s="50">
        <f t="shared" si="0"/>
        <v>15258</v>
      </c>
      <c r="L28" s="50">
        <f>(-5*(표1_3[[#This Row],[년도]]-1950)^2/100000)+(16*(표1_3[[#This Row],[년도]]-1950)/10000)+0.8551</f>
        <v>0.8629</v>
      </c>
      <c r="M28" s="57">
        <f>표1_3[[#This Row],[의사고시합격자수]]*표1_3[[#This Row],[의사고시성비추세]]</f>
        <v>893.10149999999999</v>
      </c>
      <c r="N28" s="57">
        <f>표1_3[[#This Row],[의사고시합격자수]]*(1-표1_3[[#This Row],[의사고시성비추세]])</f>
        <v>141.89850000000001</v>
      </c>
      <c r="O28" s="57">
        <v>0</v>
      </c>
      <c r="P28" s="57">
        <v>0</v>
      </c>
      <c r="Q28" s="57">
        <v>0</v>
      </c>
      <c r="R28" s="57">
        <v>0</v>
      </c>
      <c r="S28" s="58">
        <f>표1_3[[#This Row],[의대졸비율/남]]+표1_3[[#This Row],[의전졸비율/남]]+표1_3[[#This Row],[불합비율/남]]</f>
        <v>0.8629</v>
      </c>
      <c r="T28" s="59">
        <f t="shared" si="1"/>
        <v>0.8629</v>
      </c>
      <c r="U28" s="59">
        <f t="shared" si="2"/>
        <v>0.1371</v>
      </c>
      <c r="V28" s="59">
        <f>표1_3[[#This Row],[의전졸합격/남]]/표1_3[[#This Row],[의사고시합격자수]]</f>
        <v>0</v>
      </c>
      <c r="W28" s="59">
        <f>표1_3[[#This Row],[의전졸합격/여]]/표1_3[[#This Row],[의사고시합격자수]]</f>
        <v>0</v>
      </c>
      <c r="X28" s="59">
        <f>표1_3[[#This Row],[불합합격/남]]/표1_3[[#This Row],[의사고시합격자수]]</f>
        <v>0</v>
      </c>
      <c r="Y28" s="59">
        <f>표1_3[[#This Row],[불합합격/여]]/표1_3[[#This Row],[의사고시합격자수]]</f>
        <v>0</v>
      </c>
      <c r="Z28" s="57">
        <f>표1_3[[#This Row],[의사수비율]]*0.5553*표1_3[[#This Row],[의사고시합격자수]]</f>
        <v>497.01208154964519</v>
      </c>
      <c r="AA28" s="57">
        <v>371.00217911705442</v>
      </c>
      <c r="AB28" s="60">
        <f>표1_3[[#This Row],[군입대]]/표1_3[[#This Row],[의대졸합격/남]]</f>
        <v>0.55650122807950186</v>
      </c>
      <c r="AC28" s="61">
        <v>0</v>
      </c>
      <c r="AD28" s="61">
        <v>0</v>
      </c>
      <c r="AE28" s="61">
        <v>0</v>
      </c>
      <c r="AF28" s="61">
        <v>0</v>
      </c>
      <c r="AG28" s="61">
        <v>0</v>
      </c>
      <c r="AH28" s="61">
        <v>0</v>
      </c>
      <c r="AI28" s="73">
        <f>SUM(표1_3[[#This Row],[의대졸업/남]:[재시험자/여]])</f>
        <v>0</v>
      </c>
      <c r="AJ28" s="75" t="e">
        <f>표1_3[[#This Row],[의사고시최초응시자수]]/표1_3[[#This Row],[응시자격자수]]</f>
        <v>#DIV/0!</v>
      </c>
    </row>
    <row r="29" spans="1:36" x14ac:dyDescent="0.25">
      <c r="A29" s="1">
        <v>1977</v>
      </c>
      <c r="B29" s="9">
        <v>36411795</v>
      </c>
      <c r="C29" s="7">
        <v>18405</v>
      </c>
      <c r="D29" s="7">
        <v>15904</v>
      </c>
      <c r="E29" s="7">
        <v>2501</v>
      </c>
      <c r="F29" s="14">
        <f>표1_3[[#This Row],[의사수/남]]/표1_3[[#This Row],[의사수/계]]</f>
        <v>0.86411301276826946</v>
      </c>
      <c r="G29" s="4">
        <v>0</v>
      </c>
      <c r="H29" s="48">
        <v>1220</v>
      </c>
      <c r="I29" s="47">
        <v>21</v>
      </c>
      <c r="J29" s="49">
        <v>1197</v>
      </c>
      <c r="K29" s="1">
        <f t="shared" si="0"/>
        <v>16455</v>
      </c>
      <c r="L29" s="1">
        <f>(-5*(표1_3[[#This Row],[년도]]-1950)^2/100000)+(16*(표1_3[[#This Row],[년도]]-1950)/10000)+0.8551</f>
        <v>0.86185</v>
      </c>
      <c r="M29" s="5">
        <f>표1_3[[#This Row],[의사고시합격자수]]*(표1_3[[#This Row],[의대졸업/남]]/(표1_3[[#This Row],[의대졸업/남]]+표1_3[[#This Row],[의대졸업/여]]+표1_3[[#This Row],[의전원졸업/남]]+표1_3[[#This Row],[의전원졸업/여]]+AG29+AH29))</f>
        <v>998.84408084696827</v>
      </c>
      <c r="N29" s="5">
        <f>표1_3[[#This Row],[의사고시합격자수]]*(표1_3[[#This Row],[의대졸업/여]]/(표1_3[[#This Row],[의대졸업/남]]+표1_3[[#This Row],[의대졸업/여]]+표1_3[[#This Row],[의전원졸업/남]]+표1_3[[#This Row],[의전원졸업/여]]+AG29+AH29))</f>
        <v>165.89797882579401</v>
      </c>
      <c r="O29" s="5">
        <f>표1_3[[#This Row],[의사고시합격자수]]*(표1_3[[#This Row],[의전원졸업/남]]/(표1_3[[#This Row],[의대졸업/남]]+표1_3[[#This Row],[의대졸업/여]]+표1_3[[#This Row],[의전원졸업/남]]+표1_3[[#This Row],[의전원졸업/여]]+AG29+AH29))</f>
        <v>0</v>
      </c>
      <c r="P29" s="5">
        <f>표1_3[[#This Row],[의사고시합격자수]]*(표1_3[[#This Row],[의전원졸업/여]]/(표1_3[[#This Row],[의대졸업/남]]+표1_3[[#This Row],[의대졸업/여]]+표1_3[[#This Row],[의전원졸업/남]]+표1_3[[#This Row],[의전원졸업/여]]+AG29+AH29))</f>
        <v>0</v>
      </c>
      <c r="Q29" s="5">
        <f>표1_3[[#This Row],[의사고시합격자수]]*(AG29/(표1_3[[#This Row],[의대졸업/남]]+표1_3[[#This Row],[의대졸업/여]]+표1_3[[#This Row],[의전원졸업/남]]+표1_3[[#This Row],[의전원졸업/여]]+AG29+AH29))</f>
        <v>27.835376708373438</v>
      </c>
      <c r="R29" s="5">
        <f>표1_3[[#This Row],[의사고시합격자수]]*(AH29/(표1_3[[#This Row],[의대졸업/남]]+표1_3[[#This Row],[의대졸업/여]]+표1_3[[#This Row],[의전원졸업/남]]+표1_3[[#This Row],[의전원졸업/여]]+AG29+AH29))</f>
        <v>4.4225636188642925</v>
      </c>
      <c r="S29" s="40">
        <f>표1_3[[#This Row],[의대졸비율/남]]+표1_3[[#This Row],[의전졸비율/남]]+표1_3[[#This Row],[불합비율/남]]</f>
        <v>0.8577104908565929</v>
      </c>
      <c r="T29" s="6">
        <f t="shared" si="1"/>
        <v>0.83445620789220409</v>
      </c>
      <c r="U29" s="6">
        <f t="shared" si="2"/>
        <v>0.13859480269489893</v>
      </c>
      <c r="V29" s="6">
        <f>표1_3[[#This Row],[의전졸합격/남]]/표1_3[[#This Row],[의사고시합격자수]]</f>
        <v>0</v>
      </c>
      <c r="W29" s="6">
        <f>표1_3[[#This Row],[의전졸합격/여]]/표1_3[[#This Row],[의사고시합격자수]]</f>
        <v>0</v>
      </c>
      <c r="X29" s="6">
        <f>표1_3[[#This Row],[불합합격/남]]/표1_3[[#This Row],[의사고시합격자수]]</f>
        <v>2.3254282964388837E-2</v>
      </c>
      <c r="Y29" s="6">
        <f>표1_3[[#This Row],[불합합격/여]]/표1_3[[#This Row],[의사고시합격자수]]</f>
        <v>3.694706448508181E-3</v>
      </c>
      <c r="Z29" s="5">
        <f>표1_3[[#This Row],[의사수비율]]*0.5553*표1_3[[#This Row],[의사고시합격자수]]</f>
        <v>574.37082132029343</v>
      </c>
      <c r="AA29" s="5">
        <v>366.00953489597055</v>
      </c>
      <c r="AB29" s="16">
        <f>표1_3[[#This Row],[군입대]]/표1_3[[#This Row],[의대졸합격/남]]</f>
        <v>0.57503551588678048</v>
      </c>
      <c r="AC29" s="39">
        <v>867</v>
      </c>
      <c r="AD29" s="39">
        <v>144</v>
      </c>
      <c r="AE29" s="39">
        <v>0</v>
      </c>
      <c r="AF29" s="39">
        <v>0</v>
      </c>
      <c r="AG29" s="39">
        <f t="shared" ref="AG29:AG72" si="3">I28*S28</f>
        <v>24.161200000000001</v>
      </c>
      <c r="AH29" s="39">
        <f t="shared" ref="AH29:AH72" si="4">I28*(1-S28)</f>
        <v>3.8388</v>
      </c>
      <c r="AI29" s="72">
        <f>SUM(표1_3[[#This Row],[의대졸업/남]:[재시험자/여]])</f>
        <v>1039</v>
      </c>
      <c r="AJ29" s="74">
        <f>표1_3[[#This Row],[의사고시최초응시자수]]/표1_3[[#This Row],[응시자격자수]]</f>
        <v>1.1742059672762271</v>
      </c>
    </row>
    <row r="30" spans="1:36" x14ac:dyDescent="0.25">
      <c r="A30" s="1">
        <v>1978</v>
      </c>
      <c r="B30" s="9">
        <v>36969185</v>
      </c>
      <c r="C30" s="7">
        <v>19577</v>
      </c>
      <c r="D30" s="7">
        <v>16899</v>
      </c>
      <c r="E30" s="7">
        <v>2678</v>
      </c>
      <c r="F30" s="14">
        <f>표1_3[[#This Row],[의사수/남]]/표1_3[[#This Row],[의사수/계]]</f>
        <v>0.86320682433467844</v>
      </c>
      <c r="G30" s="4">
        <v>0</v>
      </c>
      <c r="H30" s="48">
        <v>1230</v>
      </c>
      <c r="I30" s="47">
        <v>17</v>
      </c>
      <c r="J30" s="49">
        <v>1199</v>
      </c>
      <c r="K30" s="1">
        <f t="shared" si="0"/>
        <v>17654</v>
      </c>
      <c r="L30" s="1">
        <f>(-5*(표1_3[[#This Row],[년도]]-1950)^2/100000)+(16*(표1_3[[#This Row],[년도]]-1950)/10000)+0.8551</f>
        <v>0.86070000000000002</v>
      </c>
      <c r="M30" s="5">
        <f>표1_3[[#This Row],[의사고시합격자수]]*(표1_3[[#This Row],[의대졸업/남]]/(표1_3[[#This Row],[의대졸업/남]]+표1_3[[#This Row],[의대졸업/여]]+표1_3[[#This Row],[의전원졸업/남]]+표1_3[[#This Row],[의전원졸업/여]]+AG30+AH30))</f>
        <v>1015.5519864750634</v>
      </c>
      <c r="N30" s="5">
        <f>표1_3[[#This Row],[의사고시합격자수]]*(표1_3[[#This Row],[의대졸업/여]]/(표1_3[[#This Row],[의대졸업/남]]+표1_3[[#This Row],[의대졸업/여]]+표1_3[[#This Row],[의전원졸업/남]]+표1_3[[#This Row],[의전원졸업/여]]+AG30+AH30))</f>
        <v>162.16398985629758</v>
      </c>
      <c r="O30" s="5">
        <f>표1_3[[#This Row],[의사고시합격자수]]*(표1_3[[#This Row],[의전원졸업/남]]/(표1_3[[#This Row],[의대졸업/남]]+표1_3[[#This Row],[의대졸업/여]]+표1_3[[#This Row],[의전원졸업/남]]+표1_3[[#This Row],[의전원졸업/여]]+AG30+AH30))</f>
        <v>0</v>
      </c>
      <c r="P30" s="5">
        <f>표1_3[[#This Row],[의사고시합격자수]]*(표1_3[[#This Row],[의전원졸업/여]]/(표1_3[[#This Row],[의대졸업/남]]+표1_3[[#This Row],[의대졸업/여]]+표1_3[[#This Row],[의전원졸업/남]]+표1_3[[#This Row],[의전원졸업/여]]+AG30+AH30))</f>
        <v>0</v>
      </c>
      <c r="Q30" s="5">
        <f>표1_3[[#This Row],[의사고시합격자수]]*(AG30/(표1_3[[#This Row],[의대졸업/남]]+표1_3[[#This Row],[의대졸업/여]]+표1_3[[#This Row],[의전원졸업/남]]+표1_3[[#This Row],[의전원졸업/여]]+AG30+AH30))</f>
        <v>18.255530388231744</v>
      </c>
      <c r="R30" s="5">
        <f>표1_3[[#This Row],[의사고시합격자수]]*(AH30/(표1_3[[#This Row],[의대졸업/남]]+표1_3[[#This Row],[의대졸업/여]]+표1_3[[#This Row],[의전원졸업/남]]+표1_3[[#This Row],[의전원졸업/여]]+AG30+AH30))</f>
        <v>3.0284932804073099</v>
      </c>
      <c r="S30" s="40">
        <f>표1_3[[#This Row],[의대졸비율/남]]+표1_3[[#This Row],[의전졸비율/남]]+표1_3[[#This Row],[불합비율/남]]</f>
        <v>0.86222478470666819</v>
      </c>
      <c r="T30" s="6">
        <f t="shared" si="1"/>
        <v>0.84699915469146236</v>
      </c>
      <c r="U30" s="6">
        <f t="shared" si="2"/>
        <v>0.1352493660185968</v>
      </c>
      <c r="V30" s="6">
        <f>표1_3[[#This Row],[의전졸합격/남]]/표1_3[[#This Row],[의사고시합격자수]]</f>
        <v>0</v>
      </c>
      <c r="W30" s="6">
        <f>표1_3[[#This Row],[의전졸합격/여]]/표1_3[[#This Row],[의사고시합격자수]]</f>
        <v>0</v>
      </c>
      <c r="X30" s="6">
        <f>표1_3[[#This Row],[불합합격/남]]/표1_3[[#This Row],[의사고시합격자수]]</f>
        <v>1.5225630015205792E-2</v>
      </c>
      <c r="Y30" s="6">
        <f>표1_3[[#This Row],[불합합격/여]]/표1_3[[#This Row],[의사고시합격자수]]</f>
        <v>2.5258492747350374E-3</v>
      </c>
      <c r="Z30" s="5">
        <f>표1_3[[#This Row],[의사수비율]]*0.5553*표1_3[[#This Row],[의사고시합격자수]]</f>
        <v>574.72716071410332</v>
      </c>
      <c r="AA30" s="5">
        <v>416.79042132841329</v>
      </c>
      <c r="AB30" s="16">
        <f>표1_3[[#This Row],[군입대]]/표1_3[[#This Row],[의대졸합격/남]]</f>
        <v>0.56592588894336782</v>
      </c>
      <c r="AC30" s="39">
        <v>1002</v>
      </c>
      <c r="AD30" s="39">
        <v>160</v>
      </c>
      <c r="AE30" s="39">
        <v>0</v>
      </c>
      <c r="AF30" s="39">
        <v>0</v>
      </c>
      <c r="AG30" s="39">
        <f t="shared" si="3"/>
        <v>18.011920307988451</v>
      </c>
      <c r="AH30" s="39">
        <f t="shared" si="4"/>
        <v>2.9880796920115493</v>
      </c>
      <c r="AI30" s="72">
        <f>SUM(표1_3[[#This Row],[의대졸업/남]:[재시험자/여]])</f>
        <v>1183</v>
      </c>
      <c r="AJ30" s="74">
        <f>표1_3[[#This Row],[의사고시최초응시자수]]/표1_3[[#This Row],[응시자격자수]]</f>
        <v>1.0397295012679628</v>
      </c>
    </row>
    <row r="31" spans="1:36" x14ac:dyDescent="0.25">
      <c r="A31" s="1">
        <v>1979</v>
      </c>
      <c r="B31" s="9">
        <v>37534236</v>
      </c>
      <c r="C31" s="7">
        <v>20779</v>
      </c>
      <c r="D31" s="7">
        <v>17922</v>
      </c>
      <c r="E31" s="7">
        <v>2857</v>
      </c>
      <c r="F31" s="14">
        <f>표1_3[[#This Row],[의사수/남]]/표1_3[[#This Row],[의사수/계]]</f>
        <v>0.86250541412002502</v>
      </c>
      <c r="G31" s="4">
        <v>0</v>
      </c>
      <c r="H31" s="48">
        <v>1264</v>
      </c>
      <c r="I31" s="47">
        <v>6</v>
      </c>
      <c r="J31" s="49">
        <v>1219</v>
      </c>
      <c r="K31" s="1">
        <f t="shared" si="0"/>
        <v>18873</v>
      </c>
      <c r="L31" s="1">
        <f>(-5*(표1_3[[#This Row],[년도]]-1950)^2/100000)+(16*(표1_3[[#This Row],[년도]]-1950)/10000)+0.8551</f>
        <v>0.85944999999999994</v>
      </c>
      <c r="M31" s="5">
        <f>표1_3[[#This Row],[의사고시합격자수]]*(표1_3[[#This Row],[의대졸업/남]]/(표1_3[[#This Row],[의대졸업/남]]+표1_3[[#This Row],[의대졸업/여]]+표1_3[[#This Row],[의전원졸업/남]]+표1_3[[#This Row],[의전원졸업/여]]+AG31+AH31))</f>
        <v>1033.1171749598716</v>
      </c>
      <c r="N31" s="5">
        <f>표1_3[[#This Row],[의사고시합격자수]]*(표1_3[[#This Row],[의대졸업/여]]/(표1_3[[#This Row],[의대졸업/남]]+표1_3[[#This Row],[의대졸업/여]]+표1_3[[#This Row],[의전원졸업/남]]+표1_3[[#This Row],[의전원졸업/여]]+AG31+AH31))</f>
        <v>169.25120385232745</v>
      </c>
      <c r="O31" s="5">
        <f>표1_3[[#This Row],[의사고시합격자수]]*(표1_3[[#This Row],[의전원졸업/남]]/(표1_3[[#This Row],[의대졸업/남]]+표1_3[[#This Row],[의대졸업/여]]+표1_3[[#This Row],[의전원졸업/남]]+표1_3[[#This Row],[의전원졸업/여]]+AG31+AH31))</f>
        <v>0</v>
      </c>
      <c r="P31" s="5">
        <f>표1_3[[#This Row],[의사고시합격자수]]*(표1_3[[#This Row],[의전원졸업/여]]/(표1_3[[#This Row],[의대졸업/남]]+표1_3[[#This Row],[의대졸업/여]]+표1_3[[#This Row],[의전원졸업/남]]+표1_3[[#This Row],[의전원졸업/여]]+AG31+AH31))</f>
        <v>0</v>
      </c>
      <c r="Q31" s="5">
        <f>표1_3[[#This Row],[의사고시합격자수]]*(AG31/(표1_3[[#This Row],[의대졸업/남]]+표1_3[[#This Row],[의대졸업/여]]+표1_3[[#This Row],[의전원졸업/남]]+표1_3[[#This Row],[의전원졸업/여]]+AG31+AH31))</f>
        <v>14.340195997974549</v>
      </c>
      <c r="R31" s="5">
        <f>표1_3[[#This Row],[의사고시합격자수]]*(AH31/(표1_3[[#This Row],[의대졸업/남]]+표1_3[[#This Row],[의대졸업/여]]+표1_3[[#This Row],[의전원졸업/남]]+표1_3[[#This Row],[의전원졸업/여]]+AG31+AH31))</f>
        <v>2.2914251898264171</v>
      </c>
      <c r="S31" s="40">
        <f>표1_3[[#This Row],[의대졸비율/남]]+표1_3[[#This Row],[의전졸비율/남]]+표1_3[[#This Row],[불합비율/남]]</f>
        <v>0.85927594008026753</v>
      </c>
      <c r="T31" s="6">
        <f t="shared" si="1"/>
        <v>0.8475120385232745</v>
      </c>
      <c r="U31" s="6">
        <f t="shared" si="2"/>
        <v>0.13884430176565007</v>
      </c>
      <c r="V31" s="6">
        <f>표1_3[[#This Row],[의전졸합격/남]]/표1_3[[#This Row],[의사고시합격자수]]</f>
        <v>0</v>
      </c>
      <c r="W31" s="6">
        <f>표1_3[[#This Row],[의전졸합격/여]]/표1_3[[#This Row],[의사고시합격자수]]</f>
        <v>0</v>
      </c>
      <c r="X31" s="6">
        <f>표1_3[[#This Row],[불합합격/남]]/표1_3[[#This Row],[의사고시합격자수]]</f>
        <v>1.1763901556993066E-2</v>
      </c>
      <c r="Y31" s="6">
        <f>표1_3[[#This Row],[불합합격/여]]/표1_3[[#This Row],[의사고시합격자수]]</f>
        <v>1.8797581540823767E-3</v>
      </c>
      <c r="Z31" s="5">
        <f>표1_3[[#This Row],[의사수비율]]*0.5553*표1_3[[#This Row],[의사고시합격자수]]</f>
        <v>583.83914362577605</v>
      </c>
      <c r="AA31" s="5">
        <v>497.01208154964519</v>
      </c>
      <c r="AB31" s="16">
        <f>표1_3[[#This Row],[군입대]]/표1_3[[#This Row],[의대졸합격/남]]</f>
        <v>0.56512383858922255</v>
      </c>
      <c r="AC31" s="39">
        <v>1056</v>
      </c>
      <c r="AD31" s="39">
        <v>173</v>
      </c>
      <c r="AE31" s="39">
        <v>0</v>
      </c>
      <c r="AF31" s="39">
        <v>0</v>
      </c>
      <c r="AG31" s="39">
        <f t="shared" si="3"/>
        <v>14.65782134001336</v>
      </c>
      <c r="AH31" s="39">
        <f t="shared" si="4"/>
        <v>2.342178659986641</v>
      </c>
      <c r="AI31" s="72">
        <f>SUM(표1_3[[#This Row],[의대졸업/남]:[재시험자/여]])</f>
        <v>1246</v>
      </c>
      <c r="AJ31" s="74">
        <f>표1_3[[#This Row],[의사고시최초응시자수]]/표1_3[[#This Row],[응시자격자수]]</f>
        <v>1.014446227929374</v>
      </c>
    </row>
    <row r="32" spans="1:36" x14ac:dyDescent="0.25">
      <c r="A32" s="1">
        <v>1980</v>
      </c>
      <c r="B32" s="9">
        <v>38123775</v>
      </c>
      <c r="C32" s="7">
        <v>22074</v>
      </c>
      <c r="D32" s="7">
        <v>19028</v>
      </c>
      <c r="E32" s="7">
        <v>3046</v>
      </c>
      <c r="F32" s="14">
        <f>표1_3[[#This Row],[의사수/남]]/표1_3[[#This Row],[의사수/계]]</f>
        <v>0.86200960405907401</v>
      </c>
      <c r="G32" s="4">
        <v>0</v>
      </c>
      <c r="H32" s="48">
        <v>1370</v>
      </c>
      <c r="I32" s="47">
        <v>6</v>
      </c>
      <c r="J32" s="49">
        <v>1322</v>
      </c>
      <c r="K32" s="1">
        <f t="shared" si="0"/>
        <v>20195</v>
      </c>
      <c r="L32" s="1">
        <f>(-5*(표1_3[[#This Row],[년도]]-1950)^2/100000)+(16*(표1_3[[#This Row],[년도]]-1950)/10000)+0.8551</f>
        <v>0.85809999999999997</v>
      </c>
      <c r="M32" s="5">
        <f>표1_3[[#This Row],[의사고시합격자수]]*(표1_3[[#This Row],[의대졸업/남]]/(표1_3[[#This Row],[의대졸업/남]]+표1_3[[#This Row],[의대졸업/여]]+표1_3[[#This Row],[의전원졸업/남]]+표1_3[[#This Row],[의전원졸업/여]]+AG32+AH32))</f>
        <v>1121.8485995457986</v>
      </c>
      <c r="N32" s="5">
        <f>표1_3[[#This Row],[의사고시합격자수]]*(표1_3[[#This Row],[의대졸업/여]]/(표1_3[[#This Row],[의대졸업/남]]+표1_3[[#This Row],[의대졸업/여]]+표1_3[[#This Row],[의전원졸업/남]]+표1_3[[#This Row],[의전원졸업/여]]+AG32+AH32))</f>
        <v>194.1468584405753</v>
      </c>
      <c r="O32" s="5">
        <f>표1_3[[#This Row],[의사고시합격자수]]*(표1_3[[#This Row],[의전원졸업/남]]/(표1_3[[#This Row],[의대졸업/남]]+표1_3[[#This Row],[의대졸업/여]]+표1_3[[#This Row],[의전원졸업/남]]+표1_3[[#This Row],[의전원졸업/여]]+AG32+AH32))</f>
        <v>0</v>
      </c>
      <c r="P32" s="5">
        <f>표1_3[[#This Row],[의사고시합격자수]]*(표1_3[[#This Row],[의전원졸업/여]]/(표1_3[[#This Row],[의대졸업/남]]+표1_3[[#This Row],[의대졸업/여]]+표1_3[[#This Row],[의전원졸업/남]]+표1_3[[#This Row],[의전원졸업/여]]+AG32+AH32))</f>
        <v>0</v>
      </c>
      <c r="Q32" s="5">
        <f>표1_3[[#This Row],[의사고시합격자수]]*(AG32/(표1_3[[#This Row],[의대졸업/남]]+표1_3[[#This Row],[의대졸업/여]]+표1_3[[#This Row],[의전원졸업/남]]+표1_3[[#This Row],[의전원졸업/여]]+AG32+AH32))</f>
        <v>5.1595584835099784</v>
      </c>
      <c r="R32" s="5">
        <f>표1_3[[#This Row],[의사고시합격자수]]*(AH32/(표1_3[[#This Row],[의대졸업/남]]+표1_3[[#This Row],[의대졸업/여]]+표1_3[[#This Row],[의전원졸업/남]]+표1_3[[#This Row],[의전원졸업/여]]+AG32+AH32))</f>
        <v>0.84498353011606209</v>
      </c>
      <c r="S32" s="40">
        <f>표1_3[[#This Row],[의대졸비율/남]]+표1_3[[#This Row],[의전졸비율/남]]+표1_3[[#This Row],[불합비율/남]]</f>
        <v>0.85250238882701102</v>
      </c>
      <c r="T32" s="6">
        <f t="shared" si="1"/>
        <v>0.84859954579863739</v>
      </c>
      <c r="U32" s="6">
        <f t="shared" si="2"/>
        <v>0.14685844057532171</v>
      </c>
      <c r="V32" s="6">
        <f>표1_3[[#This Row],[의전졸합격/남]]/표1_3[[#This Row],[의사고시합격자수]]</f>
        <v>0</v>
      </c>
      <c r="W32" s="6">
        <f>표1_3[[#This Row],[의전졸합격/여]]/표1_3[[#This Row],[의사고시합격자수]]</f>
        <v>0</v>
      </c>
      <c r="X32" s="6">
        <f>표1_3[[#This Row],[불합합격/남]]/표1_3[[#This Row],[의사고시합격자수]]</f>
        <v>3.9028430283736598E-3</v>
      </c>
      <c r="Y32" s="6">
        <f>표1_3[[#This Row],[불합합격/여]]/표1_3[[#This Row],[의사고시합격자수]]</f>
        <v>6.391705976672179E-4</v>
      </c>
      <c r="Z32" s="5">
        <f>표1_3[[#This Row],[의사수비율]]*0.5553*표1_3[[#This Row],[의사고시합격자수]]</f>
        <v>632.80693960315307</v>
      </c>
      <c r="AA32" s="5">
        <v>574.37082132029343</v>
      </c>
      <c r="AB32" s="16">
        <f>표1_3[[#This Row],[군입대]]/표1_3[[#This Row],[의대졸합격/남]]</f>
        <v>0.56407517008922314</v>
      </c>
      <c r="AC32" s="39">
        <v>1121</v>
      </c>
      <c r="AD32" s="39">
        <v>194</v>
      </c>
      <c r="AE32" s="39">
        <v>0</v>
      </c>
      <c r="AF32" s="39">
        <v>0</v>
      </c>
      <c r="AG32" s="39">
        <f t="shared" si="3"/>
        <v>5.155655640481605</v>
      </c>
      <c r="AH32" s="39">
        <f t="shared" si="4"/>
        <v>0.84434435951839482</v>
      </c>
      <c r="AI32" s="72">
        <f>SUM(표1_3[[#This Row],[의대졸업/남]:[재시험자/여]])</f>
        <v>1321</v>
      </c>
      <c r="AJ32" s="74">
        <f>표1_3[[#This Row],[의사고시최초응시자수]]/표1_3[[#This Row],[응시자격자수]]</f>
        <v>1.0370931112793338</v>
      </c>
    </row>
    <row r="33" spans="1:36" x14ac:dyDescent="0.25">
      <c r="A33" s="1">
        <v>1981</v>
      </c>
      <c r="B33" s="9">
        <v>38723248</v>
      </c>
      <c r="C33" s="7">
        <v>23270</v>
      </c>
      <c r="D33" s="7">
        <v>20031</v>
      </c>
      <c r="E33" s="7">
        <v>3239</v>
      </c>
      <c r="F33" s="14">
        <f>표1_3[[#This Row],[의사수/남]]/표1_3[[#This Row],[의사수/계]]</f>
        <v>0.86080790717662226</v>
      </c>
      <c r="G33" s="4">
        <v>0</v>
      </c>
      <c r="H33" s="48">
        <v>1406</v>
      </c>
      <c r="I33" s="47">
        <v>19</v>
      </c>
      <c r="J33" s="49">
        <v>1333</v>
      </c>
      <c r="K33" s="1">
        <f t="shared" si="0"/>
        <v>21528</v>
      </c>
      <c r="L33" s="1">
        <f>(-5*(표1_3[[#This Row],[년도]]-1950)^2/100000)+(16*(표1_3[[#This Row],[년도]]-1950)/10000)+0.8551</f>
        <v>0.85664999999999991</v>
      </c>
      <c r="M33" s="5">
        <f>표1_3[[#This Row],[의사고시합격자수]]*(표1_3[[#This Row],[의대졸업/남]]/(표1_3[[#This Row],[의대졸업/남]]+표1_3[[#This Row],[의대졸업/여]]+표1_3[[#This Row],[의전원졸업/남]]+표1_3[[#This Row],[의전원졸업/여]]+AG33+AH33))</f>
        <v>1175.4185873605948</v>
      </c>
      <c r="N33" s="5">
        <f>표1_3[[#This Row],[의사고시합격자수]]*(표1_3[[#This Row],[의대졸업/여]]/(표1_3[[#This Row],[의대졸업/남]]+표1_3[[#This Row],[의대졸업/여]]+표1_3[[#This Row],[의전원졸업/남]]+표1_3[[#This Row],[의전원졸업/여]]+AG33+AH33))</f>
        <v>151.63494423791821</v>
      </c>
      <c r="O33" s="5">
        <f>표1_3[[#This Row],[의사고시합격자수]]*(표1_3[[#This Row],[의전원졸업/남]]/(표1_3[[#This Row],[의대졸업/남]]+표1_3[[#This Row],[의대졸업/여]]+표1_3[[#This Row],[의전원졸업/남]]+표1_3[[#This Row],[의전원졸업/여]]+AG33+AH33))</f>
        <v>0</v>
      </c>
      <c r="P33" s="5">
        <f>표1_3[[#This Row],[의사고시합격자수]]*(표1_3[[#This Row],[의전원졸업/여]]/(표1_3[[#This Row],[의대졸업/남]]+표1_3[[#This Row],[의대졸업/여]]+표1_3[[#This Row],[의전원졸업/남]]+표1_3[[#This Row],[의전원졸업/여]]+AG33+AH33))</f>
        <v>0</v>
      </c>
      <c r="Q33" s="5">
        <f>표1_3[[#This Row],[의사고시합격자수]]*(AG33/(표1_3[[#This Row],[의대졸업/남]]+표1_3[[#This Row],[의대졸업/여]]+표1_3[[#This Row],[의전원졸업/남]]+표1_3[[#This Row],[의전원졸업/여]]+AG33+AH33))</f>
        <v>5.0693785173519963</v>
      </c>
      <c r="R33" s="5">
        <f>표1_3[[#This Row],[의사고시합격자수]]*(AH33/(표1_3[[#This Row],[의대졸업/남]]+표1_3[[#This Row],[의대졸업/여]]+표1_3[[#This Row],[의전원졸업/남]]+표1_3[[#This Row],[의전원졸업/여]]+AG33+AH33))</f>
        <v>0.87708988413499311</v>
      </c>
      <c r="S33" s="40">
        <f>표1_3[[#This Row],[의대졸비율/남]]+표1_3[[#This Row],[의전졸비율/남]]+표1_3[[#This Row],[불합비율/남]]</f>
        <v>0.88558737125127285</v>
      </c>
      <c r="T33" s="6">
        <f t="shared" si="1"/>
        <v>0.88178438661710035</v>
      </c>
      <c r="U33" s="6">
        <f t="shared" si="2"/>
        <v>0.11375464684014869</v>
      </c>
      <c r="V33" s="6">
        <f>표1_3[[#This Row],[의전졸합격/남]]/표1_3[[#This Row],[의사고시합격자수]]</f>
        <v>0</v>
      </c>
      <c r="W33" s="6">
        <f>표1_3[[#This Row],[의전졸합격/여]]/표1_3[[#This Row],[의사고시합격자수]]</f>
        <v>0</v>
      </c>
      <c r="X33" s="6">
        <f>표1_3[[#This Row],[불합합격/남]]/표1_3[[#This Row],[의사고시합격자수]]</f>
        <v>3.8029846341725401E-3</v>
      </c>
      <c r="Y33" s="6">
        <f>표1_3[[#This Row],[불합합격/여]]/표1_3[[#This Row],[의사고시합격자수]]</f>
        <v>6.5798190857838947E-4</v>
      </c>
      <c r="Z33" s="5">
        <f>표1_3[[#This Row],[의사수비율]]*0.5553*표1_3[[#This Row],[의사고시합격자수]]</f>
        <v>637.18283892995271</v>
      </c>
      <c r="AA33" s="5">
        <v>574.72716071410332</v>
      </c>
      <c r="AB33" s="16">
        <f>표1_3[[#This Row],[군입대]]/표1_3[[#This Row],[의대졸합격/남]]</f>
        <v>0.54209015050608333</v>
      </c>
      <c r="AC33" s="39">
        <v>1186</v>
      </c>
      <c r="AD33" s="39">
        <v>153</v>
      </c>
      <c r="AE33" s="39">
        <v>0</v>
      </c>
      <c r="AF33" s="39">
        <v>0</v>
      </c>
      <c r="AG33" s="39">
        <f t="shared" si="3"/>
        <v>5.1150143329620663</v>
      </c>
      <c r="AH33" s="39">
        <f t="shared" si="4"/>
        <v>0.88498566703793391</v>
      </c>
      <c r="AI33" s="72">
        <f>SUM(표1_3[[#This Row],[의대졸업/남]:[재시험자/여]])</f>
        <v>1345</v>
      </c>
      <c r="AJ33" s="74">
        <f>표1_3[[#This Row],[의사고시최초응시자수]]/표1_3[[#This Row],[응시자격자수]]</f>
        <v>1.0453531598513011</v>
      </c>
    </row>
    <row r="34" spans="1:36" x14ac:dyDescent="0.25">
      <c r="A34" s="1">
        <v>1982</v>
      </c>
      <c r="B34" s="9">
        <v>39326352</v>
      </c>
      <c r="C34" s="7">
        <v>24634</v>
      </c>
      <c r="D34" s="7">
        <v>21213</v>
      </c>
      <c r="E34" s="7">
        <v>3421</v>
      </c>
      <c r="F34" s="14">
        <f>표1_3[[#This Row],[의사수/남]]/표1_3[[#This Row],[의사수/계]]</f>
        <v>0.86112689778355123</v>
      </c>
      <c r="G34" s="4">
        <v>0</v>
      </c>
      <c r="H34" s="48">
        <v>1436</v>
      </c>
      <c r="I34" s="47">
        <v>11</v>
      </c>
      <c r="J34" s="49">
        <v>1398</v>
      </c>
      <c r="K34" s="1">
        <f t="shared" si="0"/>
        <v>22926</v>
      </c>
      <c r="L34" s="1">
        <f>(-5*(표1_3[[#This Row],[년도]]-1950)^2/100000)+(16*(표1_3[[#This Row],[년도]]-1950)/10000)+0.8551</f>
        <v>0.85509999999999997</v>
      </c>
      <c r="M34" s="5">
        <f>표1_3[[#This Row],[의사고시합격자수]]*(표1_3[[#This Row],[의대졸업/남]]/(표1_3[[#This Row],[의대졸업/남]]+표1_3[[#This Row],[의대졸업/여]]+표1_3[[#This Row],[의전원졸업/남]]+표1_3[[#This Row],[의전원졸업/여]]+AG34+AH34))</f>
        <v>1267.2862029646524</v>
      </c>
      <c r="N34" s="5">
        <f>표1_3[[#This Row],[의사고시합격자수]]*(표1_3[[#This Row],[의대졸업/여]]/(표1_3[[#This Row],[의대졸업/남]]+표1_3[[#This Row],[의대졸업/여]]+표1_3[[#This Row],[의전원졸업/남]]+표1_3[[#This Row],[의전원졸업/여]]+AG34+AH34))</f>
        <v>115.57012542759406</v>
      </c>
      <c r="O34" s="5">
        <f>표1_3[[#This Row],[의사고시합격자수]]*(표1_3[[#This Row],[의전원졸업/남]]/(표1_3[[#This Row],[의대졸업/남]]+표1_3[[#This Row],[의대졸업/여]]+표1_3[[#This Row],[의전원졸업/남]]+표1_3[[#This Row],[의전원졸업/여]]+AG34+AH34))</f>
        <v>0</v>
      </c>
      <c r="P34" s="5">
        <f>표1_3[[#This Row],[의사고시합격자수]]*(표1_3[[#This Row],[의전원졸업/여]]/(표1_3[[#This Row],[의대졸업/남]]+표1_3[[#This Row],[의대졸업/여]]+표1_3[[#This Row],[의전원졸업/남]]+표1_3[[#This Row],[의전원졸업/여]]+AG34+AH34))</f>
        <v>0</v>
      </c>
      <c r="Q34" s="5">
        <f>표1_3[[#This Row],[의사고시합격자수]]*(AG34/(표1_3[[#This Row],[의대졸업/남]]+표1_3[[#This Row],[의대졸업/여]]+표1_3[[#This Row],[의전원졸업/남]]+표1_3[[#This Row],[의전원졸업/여]]+AG34+AH34))</f>
        <v>13.411044330203142</v>
      </c>
      <c r="R34" s="5">
        <f>표1_3[[#This Row],[의사고시합격자수]]*(AH34/(표1_3[[#This Row],[의대졸업/남]]+표1_3[[#This Row],[의대졸업/여]]+표1_3[[#This Row],[의전원졸업/남]]+표1_3[[#This Row],[의전원졸업/여]]+AG34+AH34))</f>
        <v>1.7326272775505649</v>
      </c>
      <c r="S34" s="40">
        <f>표1_3[[#This Row],[의대졸비율/남]]+표1_3[[#This Row],[의전졸비율/남]]+표1_3[[#This Row],[불합비율/남]]</f>
        <v>0.91609245156999686</v>
      </c>
      <c r="T34" s="6">
        <f t="shared" si="1"/>
        <v>0.90649942987457255</v>
      </c>
      <c r="U34" s="6">
        <f t="shared" si="2"/>
        <v>8.2668187001140245E-2</v>
      </c>
      <c r="V34" s="6">
        <f>표1_3[[#This Row],[의전졸합격/남]]/표1_3[[#This Row],[의사고시합격자수]]</f>
        <v>0</v>
      </c>
      <c r="W34" s="6">
        <f>표1_3[[#This Row],[의전졸합격/여]]/표1_3[[#This Row],[의사고시합격자수]]</f>
        <v>0</v>
      </c>
      <c r="X34" s="6">
        <f>표1_3[[#This Row],[불합합격/남]]/표1_3[[#This Row],[의사고시합격자수]]</f>
        <v>9.5930216954242791E-3</v>
      </c>
      <c r="Y34" s="6">
        <f>표1_3[[#This Row],[불합합격/여]]/표1_3[[#This Row],[의사고시합격자수]]</f>
        <v>1.2393614288630651E-3</v>
      </c>
      <c r="Z34" s="5">
        <f>표1_3[[#This Row],[의사수비율]]*0.5553*표1_3[[#This Row],[의사고시합격자수]]</f>
        <v>668.50090534220999</v>
      </c>
      <c r="AA34" s="5">
        <v>583.83914362577605</v>
      </c>
      <c r="AB34" s="16">
        <f>표1_3[[#This Row],[군입대]]/표1_3[[#This Row],[의대졸합격/남]]</f>
        <v>0.52750586550878442</v>
      </c>
      <c r="AC34" s="39">
        <v>1590</v>
      </c>
      <c r="AD34" s="39">
        <v>145</v>
      </c>
      <c r="AE34" s="39">
        <v>0</v>
      </c>
      <c r="AF34" s="39">
        <v>0</v>
      </c>
      <c r="AG34" s="39">
        <f t="shared" si="3"/>
        <v>16.826160053774185</v>
      </c>
      <c r="AH34" s="39">
        <f t="shared" si="4"/>
        <v>2.173839946225816</v>
      </c>
      <c r="AI34" s="72">
        <f>SUM(표1_3[[#This Row],[의대졸업/남]:[재시험자/여]])</f>
        <v>1754</v>
      </c>
      <c r="AJ34" s="74">
        <f>표1_3[[#This Row],[의사고시최초응시자수]]/표1_3[[#This Row],[응시자격자수]]</f>
        <v>0.81870011402508547</v>
      </c>
    </row>
    <row r="35" spans="1:36" x14ac:dyDescent="0.25">
      <c r="A35" s="1">
        <v>1983</v>
      </c>
      <c r="B35" s="9">
        <v>39910403</v>
      </c>
      <c r="C35" s="7">
        <v>26017</v>
      </c>
      <c r="D35" s="7">
        <v>22423</v>
      </c>
      <c r="E35" s="7">
        <v>3594</v>
      </c>
      <c r="F35" s="14">
        <f>표1_3[[#This Row],[의사수/남]]/표1_3[[#This Row],[의사수/계]]</f>
        <v>0.86185955336895104</v>
      </c>
      <c r="G35" s="4">
        <v>0</v>
      </c>
      <c r="H35" s="48">
        <v>1449</v>
      </c>
      <c r="I35" s="47">
        <v>46</v>
      </c>
      <c r="J35" s="49">
        <v>1403</v>
      </c>
      <c r="K35" s="1">
        <f t="shared" si="0"/>
        <v>24329</v>
      </c>
      <c r="L35" s="1">
        <f>(-5*(표1_3[[#This Row],[년도]]-1950)^2/100000)+(16*(표1_3[[#This Row],[년도]]-1950)/10000)+0.8551</f>
        <v>0.85344999999999993</v>
      </c>
      <c r="M35" s="5">
        <f>표1_3[[#This Row],[의사고시합격자수]]*(표1_3[[#This Row],[의대졸업/남]]/(표1_3[[#This Row],[의대졸업/남]]+표1_3[[#This Row],[의대졸업/여]]+표1_3[[#This Row],[의전원졸업/남]]+표1_3[[#This Row],[의전원졸업/여]]+AG35+AH35))</f>
        <v>1235.9761904761904</v>
      </c>
      <c r="N35" s="5">
        <f>표1_3[[#This Row],[의사고시합격자수]]*(표1_3[[#This Row],[의대졸업/여]]/(표1_3[[#This Row],[의대졸업/남]]+표1_3[[#This Row],[의대졸업/여]]+표1_3[[#This Row],[의전원졸업/남]]+표1_3[[#This Row],[의전원졸업/여]]+AG35+AH35))</f>
        <v>156.21638655462186</v>
      </c>
      <c r="O35" s="5">
        <f>표1_3[[#This Row],[의사고시합격자수]]*(표1_3[[#This Row],[의전원졸업/남]]/(표1_3[[#This Row],[의대졸업/남]]+표1_3[[#This Row],[의대졸업/여]]+표1_3[[#This Row],[의전원졸업/남]]+표1_3[[#This Row],[의전원졸업/여]]+AG35+AH35))</f>
        <v>0</v>
      </c>
      <c r="P35" s="5">
        <f>표1_3[[#This Row],[의사고시합격자수]]*(표1_3[[#This Row],[의전원졸업/여]]/(표1_3[[#This Row],[의대졸업/남]]+표1_3[[#This Row],[의대졸업/여]]+표1_3[[#This Row],[의전원졸업/남]]+표1_3[[#This Row],[의전원졸업/여]]+AG35+AH35))</f>
        <v>0</v>
      </c>
      <c r="Q35" s="5">
        <f>표1_3[[#This Row],[의사고시합격자수]]*(AG35/(표1_3[[#This Row],[의대졸업/남]]+표1_3[[#This Row],[의대졸업/여]]+표1_3[[#This Row],[의전원졸업/남]]+표1_3[[#This Row],[의전원졸업/여]]+AG35+AH35))</f>
        <v>9.9005986029970323</v>
      </c>
      <c r="R35" s="5">
        <f>표1_3[[#This Row],[의사고시합격자수]]*(AH35/(표1_3[[#This Row],[의대졸업/남]]+표1_3[[#This Row],[의대졸업/여]]+표1_3[[#This Row],[의전원졸업/남]]+표1_3[[#This Row],[의전원졸업/여]]+AG35+AH35))</f>
        <v>0.90682436619064333</v>
      </c>
      <c r="S35" s="40">
        <f>표1_3[[#This Row],[의대졸비율/남]]+표1_3[[#This Row],[의전졸비율/남]]+표1_3[[#This Row],[불합비율/남]]</f>
        <v>0.8880091155232982</v>
      </c>
      <c r="T35" s="6">
        <f t="shared" si="1"/>
        <v>0.88095238095238082</v>
      </c>
      <c r="U35" s="6">
        <f t="shared" si="2"/>
        <v>0.11134453781512606</v>
      </c>
      <c r="V35" s="6">
        <f>표1_3[[#This Row],[의전졸합격/남]]/표1_3[[#This Row],[의사고시합격자수]]</f>
        <v>0</v>
      </c>
      <c r="W35" s="6">
        <f>표1_3[[#This Row],[의전졸합격/여]]/표1_3[[#This Row],[의사고시합격자수]]</f>
        <v>0</v>
      </c>
      <c r="X35" s="6">
        <f>표1_3[[#This Row],[불합합격/남]]/표1_3[[#This Row],[의사고시합격자수]]</f>
        <v>7.0567345709173432E-3</v>
      </c>
      <c r="Y35" s="6">
        <f>표1_3[[#This Row],[불합합격/여]]/표1_3[[#This Row],[의사고시합격자수]]</f>
        <v>6.4634666157565451E-4</v>
      </c>
      <c r="Z35" s="5">
        <f>표1_3[[#This Row],[의사수비율]]*0.5553*표1_3[[#This Row],[의사고시합격자수]]</f>
        <v>671.46262581004726</v>
      </c>
      <c r="AA35" s="5">
        <v>632.80693960315307</v>
      </c>
      <c r="AB35" s="16">
        <f>표1_3[[#This Row],[군입대]]/표1_3[[#This Row],[의대졸합격/남]]</f>
        <v>0.54326501674061345</v>
      </c>
      <c r="AC35" s="39">
        <v>1258</v>
      </c>
      <c r="AD35" s="39">
        <v>159</v>
      </c>
      <c r="AE35" s="39">
        <v>0</v>
      </c>
      <c r="AF35" s="39">
        <v>0</v>
      </c>
      <c r="AG35" s="39">
        <f t="shared" si="3"/>
        <v>10.077016967269966</v>
      </c>
      <c r="AH35" s="39">
        <f t="shared" si="4"/>
        <v>0.92298303273003457</v>
      </c>
      <c r="AI35" s="72">
        <f>SUM(표1_3[[#This Row],[의대졸업/남]:[재시험자/여]])</f>
        <v>1428</v>
      </c>
      <c r="AJ35" s="74">
        <f>표1_3[[#This Row],[의사고시최초응시자수]]/표1_3[[#This Row],[응시자격자수]]</f>
        <v>1.0147058823529411</v>
      </c>
    </row>
    <row r="36" spans="1:36" x14ac:dyDescent="0.25">
      <c r="A36" s="1">
        <v>1984</v>
      </c>
      <c r="B36" s="9">
        <v>40405956</v>
      </c>
      <c r="C36" s="7">
        <v>27567</v>
      </c>
      <c r="D36" s="7">
        <v>23735</v>
      </c>
      <c r="E36" s="7">
        <v>3832</v>
      </c>
      <c r="F36" s="14">
        <f>표1_3[[#This Row],[의사수/남]]/표1_3[[#This Row],[의사수/계]]</f>
        <v>0.86099321652700689</v>
      </c>
      <c r="G36" s="4">
        <v>0</v>
      </c>
      <c r="H36" s="48">
        <v>1616</v>
      </c>
      <c r="I36" s="47">
        <v>63</v>
      </c>
      <c r="J36" s="49">
        <v>1551</v>
      </c>
      <c r="K36" s="1">
        <f t="shared" ref="K36:K67" si="5">J36+K35</f>
        <v>25880</v>
      </c>
      <c r="L36" s="1">
        <f>(-5*(표1_3[[#This Row],[년도]]-1950)^2/100000)+(16*(표1_3[[#This Row],[년도]]-1950)/10000)+0.8551</f>
        <v>0.85170000000000001</v>
      </c>
      <c r="M36" s="5">
        <f>표1_3[[#This Row],[의사고시합격자수]]*(표1_3[[#This Row],[의대졸업/남]]/(표1_3[[#This Row],[의대졸업/남]]+표1_3[[#This Row],[의대졸업/여]]+표1_3[[#This Row],[의전원졸업/남]]+표1_3[[#This Row],[의전원졸업/여]]+AG36+AH36))</f>
        <v>1276.150954653938</v>
      </c>
      <c r="N36" s="5">
        <f>표1_3[[#This Row],[의사고시합격자수]]*(표1_3[[#This Row],[의대졸업/여]]/(표1_3[[#This Row],[의대졸업/남]]+표1_3[[#This Row],[의대졸업/여]]+표1_3[[#This Row],[의전원졸업/남]]+표1_3[[#This Row],[의전원졸업/여]]+AG36+AH36))</f>
        <v>232.27983293556085</v>
      </c>
      <c r="O36" s="5">
        <f>표1_3[[#This Row],[의사고시합격자수]]*(표1_3[[#This Row],[의전원졸업/남]]/(표1_3[[#This Row],[의대졸업/남]]+표1_3[[#This Row],[의대졸업/여]]+표1_3[[#This Row],[의전원졸업/남]]+표1_3[[#This Row],[의전원졸업/여]]+AG36+AH36))</f>
        <v>0</v>
      </c>
      <c r="P36" s="5">
        <f>표1_3[[#This Row],[의사고시합격자수]]*(표1_3[[#This Row],[의전원졸업/여]]/(표1_3[[#This Row],[의대졸업/남]]+표1_3[[#This Row],[의대졸업/여]]+표1_3[[#This Row],[의전원졸업/남]]+표1_3[[#This Row],[의전원졸업/여]]+AG36+AH36))</f>
        <v>0</v>
      </c>
      <c r="Q36" s="5">
        <f>표1_3[[#This Row],[의사고시합격자수]]*(AG36/(표1_3[[#This Row],[의대졸업/남]]+표1_3[[#This Row],[의대졸업/여]]+표1_3[[#This Row],[의전원졸업/남]]+표1_3[[#This Row],[의전원졸업/여]]+AG36+AH36))</f>
        <v>37.801848661172578</v>
      </c>
      <c r="R36" s="5">
        <f>표1_3[[#This Row],[의사고시합격자수]]*(AH36/(표1_3[[#This Row],[의대졸업/남]]+표1_3[[#This Row],[의대졸업/여]]+표1_3[[#This Row],[의전원졸업/남]]+표1_3[[#This Row],[의전원졸업/여]]+AG36+AH36))</f>
        <v>4.7673637493286201</v>
      </c>
      <c r="S36" s="40">
        <f>표1_3[[#This Row],[의대졸비율/남]]+표1_3[[#This Row],[의전졸비율/남]]+표1_3[[#This Row],[불합비율/남]]</f>
        <v>0.84716492799168963</v>
      </c>
      <c r="T36" s="6">
        <f t="shared" si="1"/>
        <v>0.82279236276849643</v>
      </c>
      <c r="U36" s="6">
        <f t="shared" si="2"/>
        <v>0.14976133651551313</v>
      </c>
      <c r="V36" s="6">
        <f>표1_3[[#This Row],[의전졸합격/남]]/표1_3[[#This Row],[의사고시합격자수]]</f>
        <v>0</v>
      </c>
      <c r="W36" s="6">
        <f>표1_3[[#This Row],[의전졸합격/여]]/표1_3[[#This Row],[의사고시합격자수]]</f>
        <v>0</v>
      </c>
      <c r="X36" s="6">
        <f>표1_3[[#This Row],[불합합격/남]]/표1_3[[#This Row],[의사고시합격자수]]</f>
        <v>2.437256522319315E-2</v>
      </c>
      <c r="Y36" s="6">
        <f>표1_3[[#This Row],[불합합격/여]]/표1_3[[#This Row],[의사고시합격자수]]</f>
        <v>3.0737354927973049E-3</v>
      </c>
      <c r="Z36" s="5">
        <f>표1_3[[#This Row],[의사수비율]]*0.5553*표1_3[[#This Row],[의사고시합격자수]]</f>
        <v>741.54788589618022</v>
      </c>
      <c r="AA36" s="5">
        <v>637.18283892995271</v>
      </c>
      <c r="AB36" s="16">
        <f>표1_3[[#This Row],[군입대]]/표1_3[[#This Row],[의대졸합격/남]]</f>
        <v>0.58108163708365557</v>
      </c>
      <c r="AC36" s="39">
        <v>1379</v>
      </c>
      <c r="AD36" s="39">
        <v>251</v>
      </c>
      <c r="AE36" s="39">
        <v>0</v>
      </c>
      <c r="AF36" s="39">
        <v>0</v>
      </c>
      <c r="AG36" s="39">
        <f t="shared" si="3"/>
        <v>40.84841931407172</v>
      </c>
      <c r="AH36" s="39">
        <f t="shared" si="4"/>
        <v>5.1515806859282831</v>
      </c>
      <c r="AI36" s="72">
        <f>SUM(표1_3[[#This Row],[의대졸업/남]:[재시험자/여]])</f>
        <v>1676</v>
      </c>
      <c r="AJ36" s="74">
        <f>표1_3[[#This Row],[의사고시최초응시자수]]/표1_3[[#This Row],[응시자격자수]]</f>
        <v>0.96420047732696901</v>
      </c>
    </row>
    <row r="37" spans="1:36" x14ac:dyDescent="0.25">
      <c r="A37" s="1">
        <v>1985</v>
      </c>
      <c r="B37" s="9">
        <v>40805744</v>
      </c>
      <c r="C37" s="10">
        <v>29151</v>
      </c>
      <c r="D37" s="7">
        <v>25122</v>
      </c>
      <c r="E37" s="7">
        <v>4029</v>
      </c>
      <c r="F37" s="14">
        <f>표1_3[[#This Row],[의사수/남]]/표1_3[[#This Row],[의사수/계]]</f>
        <v>0.86178861788617889</v>
      </c>
      <c r="G37" s="4">
        <v>0</v>
      </c>
      <c r="H37" s="48">
        <v>1767</v>
      </c>
      <c r="I37" s="47">
        <v>180</v>
      </c>
      <c r="J37" s="49">
        <v>1587</v>
      </c>
      <c r="K37" s="1">
        <f t="shared" si="5"/>
        <v>27467</v>
      </c>
      <c r="L37" s="1">
        <f>(-5*(표1_3[[#This Row],[년도]]-1950)^2/100000)+(16*(표1_3[[#This Row],[년도]]-1950)/10000)+0.8551</f>
        <v>0.84984999999999999</v>
      </c>
      <c r="M37" s="5">
        <f>표1_3[[#This Row],[의사고시합격자수]]*(표1_3[[#This Row],[의대졸업/남]]/(표1_3[[#This Row],[의대졸업/남]]+표1_3[[#This Row],[의대졸업/여]]+표1_3[[#This Row],[의전원졸업/남]]+표1_3[[#This Row],[의전원졸업/여]]+AG37+AH37))</f>
        <v>1336.1861642294712</v>
      </c>
      <c r="N37" s="5">
        <f>표1_3[[#This Row],[의사고시합격자수]]*(표1_3[[#This Row],[의대졸업/여]]/(표1_3[[#This Row],[의대졸업/남]]+표1_3[[#This Row],[의대졸업/여]]+표1_3[[#This Row],[의전원졸업/남]]+표1_3[[#This Row],[의전원졸업/여]]+AG37+AH37))</f>
        <v>194.58155230596176</v>
      </c>
      <c r="O37" s="5">
        <f>표1_3[[#This Row],[의사고시합격자수]]*(표1_3[[#This Row],[의전원졸업/남]]/(표1_3[[#This Row],[의대졸업/남]]+표1_3[[#This Row],[의대졸업/여]]+표1_3[[#This Row],[의전원졸업/남]]+표1_3[[#This Row],[의전원졸업/여]]+AG37+AH37))</f>
        <v>0</v>
      </c>
      <c r="P37" s="5">
        <f>표1_3[[#This Row],[의사고시합격자수]]*(표1_3[[#This Row],[의전원졸업/여]]/(표1_3[[#This Row],[의대졸업/남]]+표1_3[[#This Row],[의대졸업/여]]+표1_3[[#This Row],[의전원졸업/남]]+표1_3[[#This Row],[의전원졸업/여]]+AG37+AH37))</f>
        <v>0</v>
      </c>
      <c r="Q37" s="5">
        <f>표1_3[[#This Row],[의사고시합격자수]]*(AG37/(표1_3[[#This Row],[의대졸업/남]]+표1_3[[#This Row],[의대졸업/여]]+표1_3[[#This Row],[의전원졸업/남]]+표1_3[[#This Row],[의전원졸업/여]]+AG37+AH37))</f>
        <v>47.638018372068117</v>
      </c>
      <c r="R37" s="5">
        <f>표1_3[[#This Row],[의사고시합격자수]]*(AH37/(표1_3[[#This Row],[의대졸업/남]]+표1_3[[#This Row],[의대졸업/여]]+표1_3[[#This Row],[의전원졸업/남]]+표1_3[[#This Row],[의전원졸업/여]]+AG37+AH37))</f>
        <v>8.5942650924988069</v>
      </c>
      <c r="S37" s="40">
        <f>표1_3[[#This Row],[의대졸비율/남]]+표1_3[[#This Row],[의전졸비율/남]]+표1_3[[#This Row],[불합비율/남]]</f>
        <v>0.87197491027192131</v>
      </c>
      <c r="T37" s="6">
        <f t="shared" si="1"/>
        <v>0.84195725534308197</v>
      </c>
      <c r="U37" s="6">
        <f t="shared" si="2"/>
        <v>0.12260967379077616</v>
      </c>
      <c r="V37" s="6">
        <f>표1_3[[#This Row],[의전졸합격/남]]/표1_3[[#This Row],[의사고시합격자수]]</f>
        <v>0</v>
      </c>
      <c r="W37" s="6">
        <f>표1_3[[#This Row],[의전졸합격/여]]/표1_3[[#This Row],[의사고시합격자수]]</f>
        <v>0</v>
      </c>
      <c r="X37" s="6">
        <f>표1_3[[#This Row],[불합합격/남]]/표1_3[[#This Row],[의사고시합격자수]]</f>
        <v>3.0017654928839392E-2</v>
      </c>
      <c r="Y37" s="6">
        <f>표1_3[[#This Row],[불합합격/여]]/표1_3[[#This Row],[의사고시합격자수]]</f>
        <v>5.4154159373023354E-3</v>
      </c>
      <c r="Z37" s="5">
        <f>표1_3[[#This Row],[의사수비율]]*0.5553*표1_3[[#This Row],[의사고시합격자수]]</f>
        <v>759.46078536585367</v>
      </c>
      <c r="AA37" s="5">
        <v>668.50090534220999</v>
      </c>
      <c r="AB37" s="16">
        <f>표1_3[[#This Row],[군입대]]/표1_3[[#This Row],[의대졸합격/남]]</f>
        <v>0.56837947113739684</v>
      </c>
      <c r="AC37" s="39">
        <v>1497</v>
      </c>
      <c r="AD37" s="39">
        <v>218</v>
      </c>
      <c r="AE37" s="39">
        <v>0</v>
      </c>
      <c r="AF37" s="39">
        <v>0</v>
      </c>
      <c r="AG37" s="39">
        <f t="shared" si="3"/>
        <v>53.371390463476445</v>
      </c>
      <c r="AH37" s="39">
        <f t="shared" si="4"/>
        <v>9.6286095365235536</v>
      </c>
      <c r="AI37" s="72">
        <f>SUM(표1_3[[#This Row],[의대졸업/남]:[재시험자/여]])</f>
        <v>1778</v>
      </c>
      <c r="AJ37" s="74">
        <f>표1_3[[#This Row],[의사고시최초응시자수]]/표1_3[[#This Row],[응시자격자수]]</f>
        <v>0.99381327334083236</v>
      </c>
    </row>
    <row r="38" spans="1:36" x14ac:dyDescent="0.25">
      <c r="A38" s="1">
        <v>1986</v>
      </c>
      <c r="B38" s="9">
        <v>41213674</v>
      </c>
      <c r="C38" s="10">
        <v>31514</v>
      </c>
      <c r="D38" s="7">
        <v>27151</v>
      </c>
      <c r="E38" s="7">
        <v>4363</v>
      </c>
      <c r="F38" s="14">
        <f>표1_3[[#This Row],[의사수/남]]/표1_3[[#This Row],[의사수/계]]</f>
        <v>0.86155359522751795</v>
      </c>
      <c r="G38" s="4">
        <v>0</v>
      </c>
      <c r="H38" s="48">
        <v>2138</v>
      </c>
      <c r="I38" s="47">
        <v>73</v>
      </c>
      <c r="J38" s="49">
        <v>2065</v>
      </c>
      <c r="K38" s="1">
        <f t="shared" si="5"/>
        <v>29532</v>
      </c>
      <c r="L38" s="1">
        <f>(-5*(표1_3[[#This Row],[년도]]-1950)^2/100000)+(16*(표1_3[[#This Row],[년도]]-1950)/10000)+0.8551</f>
        <v>0.84789999999999999</v>
      </c>
      <c r="M38" s="5">
        <f>표1_3[[#This Row],[의사고시합격자수]]*(표1_3[[#This Row],[의대졸업/남]]/(표1_3[[#This Row],[의대졸업/남]]+표1_3[[#This Row],[의대졸업/여]]+표1_3[[#This Row],[의전원졸업/남]]+표1_3[[#This Row],[의전원졸업/여]]+AG38+AH38))</f>
        <v>1592.2769607843138</v>
      </c>
      <c r="N38" s="5">
        <f>표1_3[[#This Row],[의사고시합격자수]]*(표1_3[[#This Row],[의대졸업/여]]/(표1_3[[#This Row],[의대졸업/남]]+표1_3[[#This Row],[의대졸업/여]]+표1_3[[#This Row],[의전원졸업/남]]+표1_3[[#This Row],[의전원졸업/여]]+AG38+AH38))</f>
        <v>290.51715686274508</v>
      </c>
      <c r="O38" s="5">
        <f>표1_3[[#This Row],[의사고시합격자수]]*(표1_3[[#This Row],[의전원졸업/남]]/(표1_3[[#This Row],[의대졸업/남]]+표1_3[[#This Row],[의대졸업/여]]+표1_3[[#This Row],[의전원졸업/남]]+표1_3[[#This Row],[의전원졸업/여]]+AG38+AH38))</f>
        <v>0</v>
      </c>
      <c r="P38" s="5">
        <f>표1_3[[#This Row],[의사고시합격자수]]*(표1_3[[#This Row],[의전원졸업/여]]/(표1_3[[#This Row],[의대졸업/남]]+표1_3[[#This Row],[의대졸업/여]]+표1_3[[#This Row],[의전원졸업/남]]+표1_3[[#This Row],[의전원졸업/여]]+AG38+AH38))</f>
        <v>0</v>
      </c>
      <c r="Q38" s="5">
        <f>표1_3[[#This Row],[의사고시합격자수]]*(AG38/(표1_3[[#This Row],[의대졸업/남]]+표1_3[[#This Row],[의대졸업/여]]+표1_3[[#This Row],[의전원졸업/남]]+표1_3[[#This Row],[의전원졸업/여]]+AG38+AH38))</f>
        <v>158.87895791572214</v>
      </c>
      <c r="R38" s="5">
        <f>표1_3[[#This Row],[의사고시합격자수]]*(AH38/(표1_3[[#This Row],[의대졸업/남]]+표1_3[[#This Row],[의대졸업/여]]+표1_3[[#This Row],[의전원졸업/남]]+표1_3[[#This Row],[의전원졸업/여]]+AG38+AH38))</f>
        <v>23.326924437219045</v>
      </c>
      <c r="S38" s="40">
        <f>표1_3[[#This Row],[의대졸비율/남]]+표1_3[[#This Row],[의전졸비율/남]]+표1_3[[#This Row],[불합비율/남]]</f>
        <v>0.84801739404360088</v>
      </c>
      <c r="T38" s="6">
        <f t="shared" si="1"/>
        <v>0.77107843137254906</v>
      </c>
      <c r="U38" s="6">
        <f t="shared" si="2"/>
        <v>0.14068627450980392</v>
      </c>
      <c r="V38" s="6">
        <f>표1_3[[#This Row],[의전졸합격/남]]/표1_3[[#This Row],[의사고시합격자수]]</f>
        <v>0</v>
      </c>
      <c r="W38" s="6">
        <f>표1_3[[#This Row],[의전졸합격/여]]/표1_3[[#This Row],[의사고시합격자수]]</f>
        <v>0</v>
      </c>
      <c r="X38" s="6">
        <f>표1_3[[#This Row],[불합합격/남]]/표1_3[[#This Row],[의사고시합격자수]]</f>
        <v>7.693896267105188E-2</v>
      </c>
      <c r="Y38" s="6">
        <f>표1_3[[#This Row],[불합합격/여]]/표1_3[[#This Row],[의사고시합격자수]]</f>
        <v>1.1296331446595179E-2</v>
      </c>
      <c r="Z38" s="5">
        <f>표1_3[[#This Row],[의사수비율]]*0.5553*표1_3[[#This Row],[의사고시합격자수]]</f>
        <v>987.93876910262111</v>
      </c>
      <c r="AA38" s="5">
        <v>671.46262581004726</v>
      </c>
      <c r="AB38" s="16">
        <f>표1_3[[#This Row],[군입대]]/표1_3[[#This Row],[의대졸합격/남]]</f>
        <v>0.62045661240742211</v>
      </c>
      <c r="AC38" s="39">
        <v>1573</v>
      </c>
      <c r="AD38" s="39">
        <v>287</v>
      </c>
      <c r="AE38" s="39">
        <v>0</v>
      </c>
      <c r="AF38" s="39">
        <v>0</v>
      </c>
      <c r="AG38" s="39">
        <f t="shared" si="3"/>
        <v>156.95548384894585</v>
      </c>
      <c r="AH38" s="39">
        <f t="shared" si="4"/>
        <v>23.044516151054165</v>
      </c>
      <c r="AI38" s="72">
        <f>SUM(표1_3[[#This Row],[의대졸업/남]:[재시험자/여]])</f>
        <v>2040</v>
      </c>
      <c r="AJ38" s="74">
        <f>표1_3[[#This Row],[의사고시최초응시자수]]/표1_3[[#This Row],[응시자격자수]]</f>
        <v>1.0480392156862746</v>
      </c>
    </row>
    <row r="39" spans="1:36" x14ac:dyDescent="0.25">
      <c r="A39" s="1">
        <v>1987</v>
      </c>
      <c r="B39" s="9">
        <v>41621690</v>
      </c>
      <c r="C39" s="10">
        <v>34087</v>
      </c>
      <c r="D39" s="7">
        <v>29413</v>
      </c>
      <c r="E39" s="7">
        <v>4674</v>
      </c>
      <c r="F39" s="14">
        <f>표1_3[[#This Row],[의사수/남]]/표1_3[[#This Row],[의사수/계]]</f>
        <v>0.86288027693842229</v>
      </c>
      <c r="G39" s="4">
        <v>0</v>
      </c>
      <c r="H39" s="48">
        <v>2635</v>
      </c>
      <c r="I39" s="47">
        <v>36</v>
      </c>
      <c r="J39" s="49">
        <v>2599</v>
      </c>
      <c r="K39" s="1">
        <f t="shared" si="5"/>
        <v>32131</v>
      </c>
      <c r="L39" s="1">
        <f>(-5*(표1_3[[#This Row],[년도]]-1950)^2/100000)+(16*(표1_3[[#This Row],[년도]]-1950)/10000)+0.8551</f>
        <v>0.84584999999999999</v>
      </c>
      <c r="M39" s="5">
        <f>표1_3[[#This Row],[의사고시합격자수]]*(표1_3[[#This Row],[의대졸업/남]]/(표1_3[[#This Row],[의대졸업/남]]+표1_3[[#This Row],[의대졸업/여]]+표1_3[[#This Row],[의전원졸업/남]]+표1_3[[#This Row],[의전원졸업/여]]+AG39+AH39))</f>
        <v>2225.3134271586155</v>
      </c>
      <c r="N39" s="5">
        <f>표1_3[[#This Row],[의사고시합격자수]]*(표1_3[[#This Row],[의대졸업/여]]/(표1_3[[#This Row],[의대졸업/남]]+표1_3[[#This Row],[의대졸업/여]]+표1_3[[#This Row],[의전원졸업/남]]+표1_3[[#This Row],[의전원졸업/여]]+AG39+AH39))</f>
        <v>301.51958919741344</v>
      </c>
      <c r="O39" s="5">
        <f>표1_3[[#This Row],[의사고시합격자수]]*(표1_3[[#This Row],[의전원졸업/남]]/(표1_3[[#This Row],[의대졸업/남]]+표1_3[[#This Row],[의대졸업/여]]+표1_3[[#This Row],[의전원졸업/남]]+표1_3[[#This Row],[의전원졸업/여]]+AG39+AH39))</f>
        <v>0</v>
      </c>
      <c r="P39" s="5">
        <f>표1_3[[#This Row],[의사고시합격자수]]*(표1_3[[#This Row],[의전원졸업/여]]/(표1_3[[#This Row],[의대졸업/남]]+표1_3[[#This Row],[의대졸업/여]]+표1_3[[#This Row],[의전원졸업/남]]+표1_3[[#This Row],[의전원졸업/여]]+AG39+AH39))</f>
        <v>0</v>
      </c>
      <c r="Q39" s="5">
        <f>표1_3[[#This Row],[의사고시합격자수]]*(AG39/(표1_3[[#This Row],[의대졸업/남]]+표1_3[[#This Row],[의대졸업/여]]+표1_3[[#This Row],[의전원졸업/남]]+표1_3[[#This Row],[의전원졸업/여]]+AG39+AH39))</f>
        <v>61.198857405747539</v>
      </c>
      <c r="R39" s="5">
        <f>표1_3[[#This Row],[의사고시합격자수]]*(AH39/(표1_3[[#This Row],[의대졸업/남]]+표1_3[[#This Row],[의대졸업/여]]+표1_3[[#This Row],[의전원졸업/남]]+표1_3[[#This Row],[의전원졸업/여]]+AG39+AH39))</f>
        <v>10.968126238223558</v>
      </c>
      <c r="S39" s="40">
        <f>표1_3[[#This Row],[의대졸비율/남]]+표1_3[[#This Row],[의전졸비율/남]]+표1_3[[#This Row],[불합비율/남]]</f>
        <v>0.87976617336066287</v>
      </c>
      <c r="T39" s="6">
        <f t="shared" si="1"/>
        <v>0.85621909471281854</v>
      </c>
      <c r="U39" s="6">
        <f t="shared" si="2"/>
        <v>0.11601369341955114</v>
      </c>
      <c r="V39" s="6">
        <f>표1_3[[#This Row],[의전졸합격/남]]/표1_3[[#This Row],[의사고시합격자수]]</f>
        <v>0</v>
      </c>
      <c r="W39" s="6">
        <f>표1_3[[#This Row],[의전졸합격/여]]/표1_3[[#This Row],[의사고시합격자수]]</f>
        <v>0</v>
      </c>
      <c r="X39" s="6">
        <f>표1_3[[#This Row],[불합합격/남]]/표1_3[[#This Row],[의사고시합격자수]]</f>
        <v>2.3547078647844378E-2</v>
      </c>
      <c r="Y39" s="6">
        <f>표1_3[[#This Row],[불합합격/여]]/표1_3[[#This Row],[의사고시합격자수]]</f>
        <v>4.2201332197859013E-3</v>
      </c>
      <c r="Z39" s="5">
        <f>표1_3[[#This Row],[의사수비율]]*0.5553*표1_3[[#This Row],[의사고시합격자수]]</f>
        <v>1245.3301288203716</v>
      </c>
      <c r="AA39" s="5">
        <v>741.54788589618022</v>
      </c>
      <c r="AB39" s="16">
        <f>표1_3[[#This Row],[군입대]]/표1_3[[#This Row],[의대졸합격/남]]</f>
        <v>0.55962010277827134</v>
      </c>
      <c r="AC39" s="39">
        <v>2251</v>
      </c>
      <c r="AD39" s="39">
        <v>305</v>
      </c>
      <c r="AE39" s="39">
        <v>0</v>
      </c>
      <c r="AF39" s="39">
        <v>0</v>
      </c>
      <c r="AG39" s="39">
        <f t="shared" si="3"/>
        <v>61.905269765182865</v>
      </c>
      <c r="AH39" s="39">
        <f t="shared" si="4"/>
        <v>11.094730234817135</v>
      </c>
      <c r="AI39" s="72">
        <f>SUM(표1_3[[#This Row],[의대졸업/남]:[재시험자/여]])</f>
        <v>2629</v>
      </c>
      <c r="AJ39" s="74">
        <f>표1_3[[#This Row],[의사고시최초응시자수]]/표1_3[[#This Row],[응시자격자수]]</f>
        <v>1.00228223659186</v>
      </c>
    </row>
    <row r="40" spans="1:36" x14ac:dyDescent="0.25">
      <c r="A40" s="1">
        <v>1988</v>
      </c>
      <c r="B40" s="9">
        <v>42031247</v>
      </c>
      <c r="C40" s="10">
        <v>36747</v>
      </c>
      <c r="D40" s="7">
        <v>31649</v>
      </c>
      <c r="E40" s="7">
        <v>5098</v>
      </c>
      <c r="F40" s="14">
        <f>표1_3[[#This Row],[의사수/남]]/표1_3[[#This Row],[의사수/계]]</f>
        <v>0.86126758646964374</v>
      </c>
      <c r="G40" s="4">
        <v>0</v>
      </c>
      <c r="H40" s="48">
        <v>2825</v>
      </c>
      <c r="I40" s="47">
        <v>127</v>
      </c>
      <c r="J40" s="49">
        <v>2698</v>
      </c>
      <c r="K40" s="1">
        <f t="shared" si="5"/>
        <v>34829</v>
      </c>
      <c r="L40" s="1">
        <f>(-5*(표1_3[[#This Row],[년도]]-1950)^2/100000)+(16*(표1_3[[#This Row],[년도]]-1950)/10000)+0.8551</f>
        <v>0.84370000000000001</v>
      </c>
      <c r="M40" s="5">
        <f>표1_3[[#This Row],[의사고시합격자수]]*(표1_3[[#This Row],[의대졸업/남]]/(표1_3[[#This Row],[의대졸업/남]]+표1_3[[#This Row],[의대졸업/여]]+표1_3[[#This Row],[의전원졸업/남]]+표1_3[[#This Row],[의전원졸업/여]]+AG40+AH40))</f>
        <v>2251.3898440623752</v>
      </c>
      <c r="N40" s="5">
        <f>표1_3[[#This Row],[의사고시합격자수]]*(표1_3[[#This Row],[의대졸업/여]]/(표1_3[[#This Row],[의대졸업/남]]+표1_3[[#This Row],[의대졸업/여]]+표1_3[[#This Row],[의전원졸업/남]]+표1_3[[#This Row],[의전원졸업/여]]+AG40+AH40))</f>
        <v>407.77449020391839</v>
      </c>
      <c r="O40" s="5">
        <f>표1_3[[#This Row],[의사고시합격자수]]*(표1_3[[#This Row],[의전원졸업/남]]/(표1_3[[#This Row],[의대졸업/남]]+표1_3[[#This Row],[의대졸업/여]]+표1_3[[#This Row],[의전원졸업/남]]+표1_3[[#This Row],[의전원졸업/여]]+AG40+AH40))</f>
        <v>0</v>
      </c>
      <c r="P40" s="5">
        <f>표1_3[[#This Row],[의사고시합격자수]]*(표1_3[[#This Row],[의전원졸업/여]]/(표1_3[[#This Row],[의대졸업/남]]+표1_3[[#This Row],[의대졸업/여]]+표1_3[[#This Row],[의전원졸업/남]]+표1_3[[#This Row],[의전원졸업/여]]+AG40+AH40))</f>
        <v>0</v>
      </c>
      <c r="Q40" s="5">
        <f>표1_3[[#This Row],[의사고시합격자수]]*(AG40/(표1_3[[#This Row],[의대졸업/남]]+표1_3[[#This Row],[의대졸업/여]]+표1_3[[#This Row],[의전원졸업/남]]+표1_3[[#This Row],[의전원졸업/여]]+AG40+AH40))</f>
        <v>34.166305032456798</v>
      </c>
      <c r="R40" s="5">
        <f>표1_3[[#This Row],[의사고시합격자수]]*(AH40/(표1_3[[#This Row],[의대졸업/남]]+표1_3[[#This Row],[의대졸업/여]]+표1_3[[#This Row],[의전원졸업/남]]+표1_3[[#This Row],[의전원졸업/여]]+AG40+AH40))</f>
        <v>4.6693607012497154</v>
      </c>
      <c r="S40" s="40">
        <f>표1_3[[#This Row],[의대졸비율/남]]+표1_3[[#This Row],[의전졸비율/남]]+표1_3[[#This Row],[불합비율/남]]</f>
        <v>0.84712978098400005</v>
      </c>
      <c r="T40" s="6">
        <f t="shared" si="1"/>
        <v>0.83446621351459427</v>
      </c>
      <c r="U40" s="6">
        <f t="shared" si="2"/>
        <v>0.15113954418232706</v>
      </c>
      <c r="V40" s="6">
        <f>표1_3[[#This Row],[의전졸합격/남]]/표1_3[[#This Row],[의사고시합격자수]]</f>
        <v>0</v>
      </c>
      <c r="W40" s="6">
        <f>표1_3[[#This Row],[의전졸합격/여]]/표1_3[[#This Row],[의사고시합격자수]]</f>
        <v>0</v>
      </c>
      <c r="X40" s="6">
        <f>표1_3[[#This Row],[불합합격/남]]/표1_3[[#This Row],[의사고시합격자수]]</f>
        <v>1.266356746940578E-2</v>
      </c>
      <c r="Y40" s="6">
        <f>표1_3[[#This Row],[불합합격/여]]/표1_3[[#This Row],[의사고시합격자수]]</f>
        <v>1.7306748336729857E-3</v>
      </c>
      <c r="Z40" s="5">
        <f>표1_3[[#This Row],[의사수비율]]*0.5553*표1_3[[#This Row],[의사고시합격자수]]</f>
        <v>1290.3505812882684</v>
      </c>
      <c r="AA40" s="5">
        <v>759.46078536585367</v>
      </c>
      <c r="AB40" s="16">
        <f>표1_3[[#This Row],[군입대]]/표1_3[[#This Row],[의대졸합격/남]]</f>
        <v>0.57313511682187324</v>
      </c>
      <c r="AC40" s="39">
        <v>2087</v>
      </c>
      <c r="AD40" s="39">
        <v>378</v>
      </c>
      <c r="AE40" s="39">
        <v>0</v>
      </c>
      <c r="AF40" s="39">
        <v>0</v>
      </c>
      <c r="AG40" s="39">
        <f t="shared" si="3"/>
        <v>31.671582240983863</v>
      </c>
      <c r="AH40" s="39">
        <f t="shared" si="4"/>
        <v>4.328417759016137</v>
      </c>
      <c r="AI40" s="72">
        <f>SUM(표1_3[[#This Row],[의대졸업/남]:[재시험자/여]])</f>
        <v>2501</v>
      </c>
      <c r="AJ40" s="74">
        <f>표1_3[[#This Row],[의사고시최초응시자수]]/표1_3[[#This Row],[응시자격자수]]</f>
        <v>1.129548180727709</v>
      </c>
    </row>
    <row r="41" spans="1:36" x14ac:dyDescent="0.25">
      <c r="A41" s="1">
        <v>1989</v>
      </c>
      <c r="B41" s="9">
        <v>42449038</v>
      </c>
      <c r="C41" s="10">
        <v>39672</v>
      </c>
      <c r="D41" s="7">
        <v>33995</v>
      </c>
      <c r="E41" s="7">
        <v>5677</v>
      </c>
      <c r="F41" s="14">
        <f>표1_3[[#This Row],[의사수/남]]/표1_3[[#This Row],[의사수/계]]</f>
        <v>0.85690159306311753</v>
      </c>
      <c r="G41" s="4">
        <v>0</v>
      </c>
      <c r="H41" s="48">
        <v>3157</v>
      </c>
      <c r="I41" s="47">
        <v>224</v>
      </c>
      <c r="J41" s="49">
        <v>2933</v>
      </c>
      <c r="K41" s="1">
        <f t="shared" si="5"/>
        <v>37762</v>
      </c>
      <c r="L41" s="1">
        <f>(-5*(표1_3[[#This Row],[년도]]-1950)^2/100000)+(16*(표1_3[[#This Row],[년도]]-1950)/10000)+0.8551</f>
        <v>0.84144999999999992</v>
      </c>
      <c r="M41" s="5">
        <f>표1_3[[#This Row],[의사고시합격자수]]*(표1_3[[#This Row],[의대졸업/남]]/(표1_3[[#This Row],[의대졸업/남]]+표1_3[[#This Row],[의대졸업/여]]+표1_3[[#This Row],[의전원졸업/남]]+표1_3[[#This Row],[의전원졸업/여]]+AG41+AH41))</f>
        <v>2270.5001581777919</v>
      </c>
      <c r="N41" s="5">
        <f>표1_3[[#This Row],[의사고시합격자수]]*(표1_3[[#This Row],[의대졸업/여]]/(표1_3[[#This Row],[의대졸업/남]]+표1_3[[#This Row],[의대졸업/여]]+표1_3[[#This Row],[의전원졸업/남]]+표1_3[[#This Row],[의전원졸업/여]]+AG41+AH41))</f>
        <v>544.66023410313187</v>
      </c>
      <c r="O41" s="5">
        <f>표1_3[[#This Row],[의사고시합격자수]]*(표1_3[[#This Row],[의전원졸업/남]]/(표1_3[[#This Row],[의대졸업/남]]+표1_3[[#This Row],[의대졸업/여]]+표1_3[[#This Row],[의전원졸업/남]]+표1_3[[#This Row],[의전원졸업/여]]+AG41+AH41))</f>
        <v>0</v>
      </c>
      <c r="P41" s="5">
        <f>표1_3[[#This Row],[의사고시합격자수]]*(표1_3[[#This Row],[의전원졸업/여]]/(표1_3[[#This Row],[의대졸업/남]]+표1_3[[#This Row],[의대졸업/여]]+표1_3[[#This Row],[의전원졸업/남]]+표1_3[[#This Row],[의전원졸업/여]]+AG41+AH41))</f>
        <v>0</v>
      </c>
      <c r="Q41" s="5">
        <f>표1_3[[#This Row],[의사고시합격자수]]*(AG41/(표1_3[[#This Row],[의대졸업/남]]+표1_3[[#This Row],[의대졸업/여]]+표1_3[[#This Row],[의전원졸업/남]]+표1_3[[#This Row],[의전원졸업/여]]+AG41+AH41))</f>
        <v>99.825441078301537</v>
      </c>
      <c r="R41" s="5">
        <f>표1_3[[#This Row],[의사고시합격자수]]*(AH41/(표1_3[[#This Row],[의대졸업/남]]+표1_3[[#This Row],[의대졸업/여]]+표1_3[[#This Row],[의전원졸업/남]]+표1_3[[#This Row],[의전원졸업/여]]+AG41+AH41))</f>
        <v>18.014166640774704</v>
      </c>
      <c r="S41" s="40">
        <f>표1_3[[#This Row],[의대졸비율/남]]+표1_3[[#This Row],[의전졸비율/남]]+표1_3[[#This Row],[불합비율/남]]</f>
        <v>0.80815738126699399</v>
      </c>
      <c r="T41" s="6">
        <f t="shared" si="1"/>
        <v>0.774122113255299</v>
      </c>
      <c r="U41" s="6">
        <f t="shared" si="2"/>
        <v>0.18570072761784243</v>
      </c>
      <c r="V41" s="6">
        <f>표1_3[[#This Row],[의전졸합격/남]]/표1_3[[#This Row],[의사고시합격자수]]</f>
        <v>0</v>
      </c>
      <c r="W41" s="6">
        <f>표1_3[[#This Row],[의전졸합격/여]]/표1_3[[#This Row],[의사고시합격자수]]</f>
        <v>0</v>
      </c>
      <c r="X41" s="6">
        <f>표1_3[[#This Row],[불합합격/남]]/표1_3[[#This Row],[의사고시합격자수]]</f>
        <v>3.4035268011695034E-2</v>
      </c>
      <c r="Y41" s="6">
        <f>표1_3[[#This Row],[불합합격/여]]/표1_3[[#This Row],[의사고시합격자수]]</f>
        <v>6.1418911151635541E-3</v>
      </c>
      <c r="Z41" s="5">
        <f>표1_3[[#This Row],[의사수비율]]*0.5553*표1_3[[#This Row],[의사고시합격자수]]</f>
        <v>1395.6312544237749</v>
      </c>
      <c r="AA41" s="5">
        <v>987.93876910262111</v>
      </c>
      <c r="AB41" s="16">
        <f>표1_3[[#This Row],[군입대]]/표1_3[[#This Row],[의대졸합격/남]]</f>
        <v>0.61468009565956161</v>
      </c>
      <c r="AC41" s="39">
        <v>2447</v>
      </c>
      <c r="AD41" s="39">
        <v>587</v>
      </c>
      <c r="AE41" s="39">
        <v>0</v>
      </c>
      <c r="AF41" s="39">
        <v>0</v>
      </c>
      <c r="AG41" s="39">
        <f t="shared" si="3"/>
        <v>107.585482184968</v>
      </c>
      <c r="AH41" s="39">
        <f t="shared" si="4"/>
        <v>19.414517815031996</v>
      </c>
      <c r="AI41" s="72">
        <f>SUM(표1_3[[#This Row],[의대졸업/남]:[재시험자/여]])</f>
        <v>3161</v>
      </c>
      <c r="AJ41" s="74">
        <f>표1_3[[#This Row],[의사고시최초응시자수]]/표1_3[[#This Row],[응시자격자수]]</f>
        <v>0.99873457766529583</v>
      </c>
    </row>
    <row r="42" spans="1:36" x14ac:dyDescent="0.25">
      <c r="A42" s="1">
        <v>1990</v>
      </c>
      <c r="B42" s="9">
        <v>42869283</v>
      </c>
      <c r="C42" s="7">
        <v>42458</v>
      </c>
      <c r="D42" s="7">
        <v>36238</v>
      </c>
      <c r="E42" s="7">
        <v>6220</v>
      </c>
      <c r="F42" s="14">
        <f>표1_3[[#This Row],[의사수/남]]/표1_3[[#This Row],[의사수/계]]</f>
        <v>0.85350228461067412</v>
      </c>
      <c r="G42" s="4">
        <v>0</v>
      </c>
      <c r="H42" s="48">
        <v>3108</v>
      </c>
      <c r="I42" s="47">
        <v>310</v>
      </c>
      <c r="J42" s="49">
        <v>2798</v>
      </c>
      <c r="K42" s="1">
        <f t="shared" si="5"/>
        <v>40560</v>
      </c>
      <c r="L42" s="1">
        <f>(-5*(표1_3[[#This Row],[년도]]-1950)^2/100000)+(16*(표1_3[[#This Row],[년도]]-1950)/10000)+0.8551</f>
        <v>0.83909999999999996</v>
      </c>
      <c r="M42" s="5">
        <f>표1_3[[#This Row],[의사고시합격자수]]*(표1_3[[#This Row],[의대졸업/남]]/(표1_3[[#This Row],[의대졸업/남]]+표1_3[[#This Row],[의대졸업/여]]+표1_3[[#This Row],[의전원졸업/남]]+표1_3[[#This Row],[의전원졸업/여]]+AG42+AH42))</f>
        <v>2062.4176449662041</v>
      </c>
      <c r="N42" s="5">
        <f>표1_3[[#This Row],[의사고시합격자수]]*(표1_3[[#This Row],[의대졸업/여]]/(표1_3[[#This Row],[의대졸업/남]]+표1_3[[#This Row],[의대졸업/여]]+표1_3[[#This Row],[의전원졸업/남]]+표1_3[[#This Row],[의전원졸업/여]]+AG42+AH42))</f>
        <v>512.6182853077197</v>
      </c>
      <c r="O42" s="5">
        <f>표1_3[[#This Row],[의사고시합격자수]]*(표1_3[[#This Row],[의전원졸업/남]]/(표1_3[[#This Row],[의대졸업/남]]+표1_3[[#This Row],[의대졸업/여]]+표1_3[[#This Row],[의전원졸업/남]]+표1_3[[#This Row],[의전원졸업/여]]+AG42+AH42))</f>
        <v>0</v>
      </c>
      <c r="P42" s="5">
        <f>표1_3[[#This Row],[의사고시합격자수]]*(표1_3[[#This Row],[의전원졸업/여]]/(표1_3[[#This Row],[의대졸업/남]]+표1_3[[#This Row],[의대졸업/여]]+표1_3[[#This Row],[의전원졸업/남]]+표1_3[[#This Row],[의전원졸업/여]]+AG42+AH42))</f>
        <v>0</v>
      </c>
      <c r="Q42" s="5">
        <f>표1_3[[#This Row],[의사고시합격자수]]*(AG42/(표1_3[[#This Row],[의대졸업/남]]+표1_3[[#This Row],[의대졸업/여]]+표1_3[[#This Row],[의전원졸업/남]]+표1_3[[#This Row],[의전원졸업/여]]+AG42+AH42))</f>
        <v>180.19005870645714</v>
      </c>
      <c r="R42" s="5">
        <f>표1_3[[#This Row],[의사고시합격자수]]*(AH42/(표1_3[[#This Row],[의대졸업/남]]+표1_3[[#This Row],[의대졸업/여]]+표1_3[[#This Row],[의전원졸업/남]]+표1_3[[#This Row],[의전원졸업/여]]+AG42+AH42))</f>
        <v>42.774011019618989</v>
      </c>
      <c r="S42" s="40">
        <f>표1_3[[#This Row],[의대졸비율/남]]+표1_3[[#This Row],[의전졸비율/남]]+표1_3[[#This Row],[불합비율/남]]</f>
        <v>0.8015038254727167</v>
      </c>
      <c r="T42" s="6">
        <f t="shared" si="1"/>
        <v>0.73710423336890785</v>
      </c>
      <c r="U42" s="6">
        <f t="shared" si="2"/>
        <v>0.18320882248310211</v>
      </c>
      <c r="V42" s="6">
        <f>표1_3[[#This Row],[의전졸합격/남]]/표1_3[[#This Row],[의사고시합격자수]]</f>
        <v>0</v>
      </c>
      <c r="W42" s="6">
        <f>표1_3[[#This Row],[의전졸합격/여]]/표1_3[[#This Row],[의사고시합격자수]]</f>
        <v>0</v>
      </c>
      <c r="X42" s="6">
        <f>표1_3[[#This Row],[불합합격/남]]/표1_3[[#This Row],[의사고시합격자수]]</f>
        <v>6.4399592103808842E-2</v>
      </c>
      <c r="Y42" s="6">
        <f>표1_3[[#This Row],[불합합격/여]]/표1_3[[#This Row],[의사고시합격자수]]</f>
        <v>1.5287352044181197E-2</v>
      </c>
      <c r="Z42" s="5">
        <f>표1_3[[#This Row],[의사수비율]]*0.5553*표1_3[[#This Row],[의사고시합격자수]]</f>
        <v>1326.1115925667721</v>
      </c>
      <c r="AA42" s="5">
        <v>1245.3301288203716</v>
      </c>
      <c r="AB42" s="16">
        <f>표1_3[[#This Row],[군입대]]/표1_3[[#This Row],[의대졸합격/남]]</f>
        <v>0.64298887075731093</v>
      </c>
      <c r="AC42" s="39">
        <v>2072</v>
      </c>
      <c r="AD42" s="39">
        <v>515</v>
      </c>
      <c r="AE42" s="39">
        <v>0</v>
      </c>
      <c r="AF42" s="39">
        <v>0</v>
      </c>
      <c r="AG42" s="39">
        <f t="shared" si="3"/>
        <v>181.02725340380664</v>
      </c>
      <c r="AH42" s="39">
        <f t="shared" si="4"/>
        <v>42.972746596193346</v>
      </c>
      <c r="AI42" s="72">
        <f>SUM(표1_3[[#This Row],[의대졸업/남]:[재시험자/여]])</f>
        <v>2811</v>
      </c>
      <c r="AJ42" s="74">
        <f>표1_3[[#This Row],[의사고시최초응시자수]]/표1_3[[#This Row],[응시자격자수]]</f>
        <v>1.1056563500533618</v>
      </c>
    </row>
    <row r="43" spans="1:36" x14ac:dyDescent="0.25">
      <c r="A43" s="1">
        <v>1991</v>
      </c>
      <c r="B43" s="9">
        <v>43295704</v>
      </c>
      <c r="C43" s="10">
        <v>45401</v>
      </c>
      <c r="D43" s="7">
        <v>38356</v>
      </c>
      <c r="E43" s="7">
        <v>7045</v>
      </c>
      <c r="F43" s="14">
        <f>표1_3[[#This Row],[의사수/남]]/표1_3[[#This Row],[의사수/계]]</f>
        <v>0.84482720644919718</v>
      </c>
      <c r="G43" s="4">
        <v>0</v>
      </c>
      <c r="H43" s="48">
        <v>3196</v>
      </c>
      <c r="I43" s="47">
        <v>232</v>
      </c>
      <c r="J43" s="49">
        <v>2964</v>
      </c>
      <c r="K43" s="1">
        <f t="shared" si="5"/>
        <v>43524</v>
      </c>
      <c r="L43" s="1">
        <f>(-5*(표1_3[[#This Row],[년도]]-1950)^2/100000)+(16*(표1_3[[#This Row],[년도]]-1950)/10000)+0.8551</f>
        <v>0.83665</v>
      </c>
      <c r="M43" s="5">
        <f>표1_3[[#This Row],[의사고시합격자수]]*(표1_3[[#This Row],[의대졸업/남]]/(표1_3[[#This Row],[의대졸업/남]]+표1_3[[#This Row],[의대졸업/여]]+표1_3[[#This Row],[의전원졸업/남]]+표1_3[[#This Row],[의전원졸업/여]]+AG43+AH43))</f>
        <v>2152.2744853399877</v>
      </c>
      <c r="N43" s="5">
        <f>표1_3[[#This Row],[의사고시합격자수]]*(표1_3[[#This Row],[의대졸업/여]]/(표1_3[[#This Row],[의대졸업/남]]+표1_3[[#This Row],[의대졸업/여]]+표1_3[[#This Row],[의전원졸업/남]]+표1_3[[#This Row],[의전원졸업/여]]+AG43+AH43))</f>
        <v>525.12538989394886</v>
      </c>
      <c r="O43" s="5">
        <f>표1_3[[#This Row],[의사고시합격자수]]*(표1_3[[#This Row],[의전원졸업/남]]/(표1_3[[#This Row],[의대졸업/남]]+표1_3[[#This Row],[의대졸업/여]]+표1_3[[#This Row],[의전원졸업/남]]+표1_3[[#This Row],[의전원졸업/여]]+AG43+AH43))</f>
        <v>0</v>
      </c>
      <c r="P43" s="5">
        <f>표1_3[[#This Row],[의사고시합격자수]]*(표1_3[[#This Row],[의전원졸업/여]]/(표1_3[[#This Row],[의대졸업/남]]+표1_3[[#This Row],[의대졸업/여]]+표1_3[[#This Row],[의전원졸업/남]]+표1_3[[#This Row],[의전원졸업/여]]+AG43+AH43))</f>
        <v>0</v>
      </c>
      <c r="Q43" s="5">
        <f>표1_3[[#This Row],[의사고시합격자수]]*(AG43/(표1_3[[#This Row],[의대졸업/남]]+표1_3[[#This Row],[의대졸업/여]]+표1_3[[#This Row],[의전원졸업/남]]+표1_3[[#This Row],[의전원졸업/여]]+AG43+AH43))</f>
        <v>229.71109638095791</v>
      </c>
      <c r="R43" s="5">
        <f>표1_3[[#This Row],[의사고시합격자수]]*(AH43/(표1_3[[#This Row],[의대졸업/남]]+표1_3[[#This Row],[의대졸업/여]]+표1_3[[#This Row],[의전원졸업/남]]+표1_3[[#This Row],[의전원졸업/여]]+AG43+AH43))</f>
        <v>56.889028385105732</v>
      </c>
      <c r="S43" s="40">
        <f>표1_3[[#This Row],[의대졸비율/남]]+표1_3[[#This Row],[의전졸비율/남]]+표1_3[[#This Row],[불합비율/남]]</f>
        <v>0.80363886022973874</v>
      </c>
      <c r="T43" s="6">
        <f t="shared" si="1"/>
        <v>0.72613849033063016</v>
      </c>
      <c r="U43" s="6">
        <f t="shared" si="2"/>
        <v>0.17716781035558329</v>
      </c>
      <c r="V43" s="6">
        <f>표1_3[[#This Row],[의전졸합격/남]]/표1_3[[#This Row],[의사고시합격자수]]</f>
        <v>0</v>
      </c>
      <c r="W43" s="6">
        <f>표1_3[[#This Row],[의전졸합격/여]]/표1_3[[#This Row],[의사고시합격자수]]</f>
        <v>0</v>
      </c>
      <c r="X43" s="6">
        <f>표1_3[[#This Row],[불합합격/남]]/표1_3[[#This Row],[의사고시합격자수]]</f>
        <v>7.7500369899108607E-2</v>
      </c>
      <c r="Y43" s="6">
        <f>표1_3[[#This Row],[불합합격/여]]/표1_3[[#This Row],[의사고시합격자수]]</f>
        <v>1.9193329414678047E-2</v>
      </c>
      <c r="Z43" s="5">
        <f>표1_3[[#This Row],[의사수비율]]*0.5553*표1_3[[#This Row],[의사고시합격자수]]</f>
        <v>1390.5088715050329</v>
      </c>
      <c r="AA43" s="5">
        <v>1290.3505812882684</v>
      </c>
      <c r="AB43" s="16">
        <f>표1_3[[#This Row],[군입대]]/표1_3[[#This Row],[의대졸합격/남]]</f>
        <v>0.64606484023127686</v>
      </c>
      <c r="AC43" s="39">
        <v>2328</v>
      </c>
      <c r="AD43" s="39">
        <v>568</v>
      </c>
      <c r="AE43" s="39">
        <v>0</v>
      </c>
      <c r="AF43" s="39">
        <v>0</v>
      </c>
      <c r="AG43" s="39">
        <f t="shared" si="3"/>
        <v>248.46618589654219</v>
      </c>
      <c r="AH43" s="39">
        <f t="shared" si="4"/>
        <v>61.533814103457821</v>
      </c>
      <c r="AI43" s="72">
        <f>SUM(표1_3[[#This Row],[의대졸업/남]:[재시험자/여]])</f>
        <v>3206</v>
      </c>
      <c r="AJ43" s="74">
        <f>표1_3[[#This Row],[의사고시최초응시자수]]/표1_3[[#This Row],[응시자격자수]]</f>
        <v>0.99688084840923263</v>
      </c>
    </row>
    <row r="44" spans="1:36" x14ac:dyDescent="0.25">
      <c r="A44" s="1">
        <v>1992</v>
      </c>
      <c r="B44" s="9">
        <v>43747962</v>
      </c>
      <c r="C44" s="10">
        <v>48295</v>
      </c>
      <c r="D44" s="7">
        <v>40671</v>
      </c>
      <c r="E44" s="7">
        <v>7624</v>
      </c>
      <c r="F44" s="14">
        <f>표1_3[[#This Row],[의사수/남]]/표1_3[[#This Row],[의사수/계]]</f>
        <v>0.8421368671705145</v>
      </c>
      <c r="G44" s="4">
        <v>0</v>
      </c>
      <c r="H44" s="48">
        <v>3135</v>
      </c>
      <c r="I44" s="47">
        <v>221</v>
      </c>
      <c r="J44" s="49">
        <v>2914</v>
      </c>
      <c r="K44" s="1">
        <f t="shared" si="5"/>
        <v>46438</v>
      </c>
      <c r="L44" s="1">
        <f>(-5*(표1_3[[#This Row],[년도]]-1950)^2/100000)+(16*(표1_3[[#This Row],[년도]]-1950)/10000)+0.8551</f>
        <v>0.83409999999999995</v>
      </c>
      <c r="M44" s="5">
        <f>표1_3[[#This Row],[의사고시합격자수]]*(표1_3[[#This Row],[의대졸업/남]]/(표1_3[[#This Row],[의대졸업/남]]+표1_3[[#This Row],[의대졸업/여]]+표1_3[[#This Row],[의전원졸업/남]]+표1_3[[#This Row],[의전원졸업/여]]+AG44+AH44))</f>
        <v>2134.0878828229029</v>
      </c>
      <c r="N44" s="5">
        <f>표1_3[[#This Row],[의사고시합격자수]]*(표1_3[[#This Row],[의대졸업/여]]/(표1_3[[#This Row],[의대졸업/남]]+표1_3[[#This Row],[의대졸업/여]]+표1_3[[#This Row],[의전원졸업/남]]+표1_3[[#This Row],[의전원졸업/여]]+AG44+AH44))</f>
        <v>554.86284953395477</v>
      </c>
      <c r="O44" s="5">
        <f>표1_3[[#This Row],[의사고시합격자수]]*(표1_3[[#This Row],[의전원졸업/남]]/(표1_3[[#This Row],[의대졸업/남]]+표1_3[[#This Row],[의대졸업/여]]+표1_3[[#This Row],[의전원졸업/남]]+표1_3[[#This Row],[의전원졸업/여]]+AG44+AH44))</f>
        <v>0</v>
      </c>
      <c r="P44" s="5">
        <f>표1_3[[#This Row],[의사고시합격자수]]*(표1_3[[#This Row],[의전원졸업/여]]/(표1_3[[#This Row],[의대졸업/남]]+표1_3[[#This Row],[의대졸업/여]]+표1_3[[#This Row],[의전원졸업/남]]+표1_3[[#This Row],[의전원졸업/여]]+AG44+AH44))</f>
        <v>0</v>
      </c>
      <c r="Q44" s="5">
        <f>표1_3[[#This Row],[의사고시합격자수]]*(AG44/(표1_3[[#This Row],[의대졸업/남]]+표1_3[[#This Row],[의대졸업/여]]+표1_3[[#This Row],[의전원졸업/남]]+표1_3[[#This Row],[의전원졸업/여]]+AG44+AH44))</f>
        <v>180.85833694427242</v>
      </c>
      <c r="R44" s="5">
        <f>표1_3[[#This Row],[의사고시합격자수]]*(AH44/(표1_3[[#This Row],[의대졸업/남]]+표1_3[[#This Row],[의대졸업/여]]+표1_3[[#This Row],[의전원졸업/남]]+표1_3[[#This Row],[의전원졸업/여]]+AG44+AH44))</f>
        <v>44.190930698870034</v>
      </c>
      <c r="S44" s="40">
        <f>표1_3[[#This Row],[의대졸비율/남]]+표1_3[[#This Row],[의전졸비율/남]]+표1_3[[#This Row],[불합비율/남]]</f>
        <v>0.79442217562360162</v>
      </c>
      <c r="T44" s="6">
        <f t="shared" si="1"/>
        <v>0.73235685752330226</v>
      </c>
      <c r="U44" s="6">
        <f t="shared" si="2"/>
        <v>0.1904127829560586</v>
      </c>
      <c r="V44" s="6">
        <f>표1_3[[#This Row],[의전졸합격/남]]/표1_3[[#This Row],[의사고시합격자수]]</f>
        <v>0</v>
      </c>
      <c r="W44" s="6">
        <f>표1_3[[#This Row],[의전졸합격/여]]/표1_3[[#This Row],[의사고시합격자수]]</f>
        <v>0</v>
      </c>
      <c r="X44" s="6">
        <f>표1_3[[#This Row],[불합합격/남]]/표1_3[[#This Row],[의사고시합격자수]]</f>
        <v>6.2065318100299388E-2</v>
      </c>
      <c r="Y44" s="6">
        <f>표1_3[[#This Row],[불합합격/여]]/표1_3[[#This Row],[의사고시합격자수]]</f>
        <v>1.5165041420339751E-2</v>
      </c>
      <c r="Z44" s="5">
        <f>표1_3[[#This Row],[의사수비율]]*0.5553*표1_3[[#This Row],[의사고시합격자수]]</f>
        <v>1362.6988872181385</v>
      </c>
      <c r="AA44" s="5">
        <v>1395.6312544237749</v>
      </c>
      <c r="AB44" s="16">
        <f>표1_3[[#This Row],[군입대]]/표1_3[[#This Row],[의대졸합격/남]]</f>
        <v>0.63853925519487231</v>
      </c>
      <c r="AC44" s="39">
        <v>2200</v>
      </c>
      <c r="AD44" s="39">
        <v>572</v>
      </c>
      <c r="AE44" s="39">
        <v>0</v>
      </c>
      <c r="AF44" s="39">
        <v>0</v>
      </c>
      <c r="AG44" s="39">
        <f t="shared" si="3"/>
        <v>186.44421557329937</v>
      </c>
      <c r="AH44" s="39">
        <f t="shared" si="4"/>
        <v>45.555784426700612</v>
      </c>
      <c r="AI44" s="72">
        <f>SUM(표1_3[[#This Row],[의대졸업/남]:[재시험자/여]])</f>
        <v>3004</v>
      </c>
      <c r="AJ44" s="74">
        <f>표1_3[[#This Row],[의사고시최초응시자수]]/표1_3[[#This Row],[응시자격자수]]</f>
        <v>1.0436085219707056</v>
      </c>
    </row>
    <row r="45" spans="1:36" x14ac:dyDescent="0.25">
      <c r="A45" s="1">
        <v>1993</v>
      </c>
      <c r="B45" s="9">
        <v>44194628</v>
      </c>
      <c r="C45" s="10">
        <v>51425</v>
      </c>
      <c r="D45" s="7">
        <v>42776</v>
      </c>
      <c r="E45" s="7">
        <v>8649</v>
      </c>
      <c r="F45" s="14">
        <f>표1_3[[#This Row],[의사수/남]]/표1_3[[#This Row],[의사수/계]]</f>
        <v>0.83181332036947009</v>
      </c>
      <c r="G45" s="4">
        <v>0</v>
      </c>
      <c r="H45" s="48">
        <v>3182</v>
      </c>
      <c r="I45" s="47">
        <v>71</v>
      </c>
      <c r="J45" s="49">
        <v>3111</v>
      </c>
      <c r="K45" s="1">
        <f t="shared" si="5"/>
        <v>49549</v>
      </c>
      <c r="L45" s="1">
        <f>(-5*(표1_3[[#This Row],[년도]]-1950)^2/100000)+(16*(표1_3[[#This Row],[년도]]-1950)/10000)+0.8551</f>
        <v>0.83145000000000002</v>
      </c>
      <c r="M45" s="5">
        <f>표1_3[[#This Row],[의사고시합격자수]]*(표1_3[[#This Row],[의대졸업/남]]/(표1_3[[#This Row],[의대졸업/남]]+표1_3[[#This Row],[의대졸업/여]]+표1_3[[#This Row],[의전원졸업/남]]+표1_3[[#This Row],[의전원졸업/여]]+AG45+AH45))</f>
        <v>2289.9830393487109</v>
      </c>
      <c r="N45" s="5">
        <f>표1_3[[#This Row],[의사고시합격자수]]*(표1_3[[#This Row],[의대졸업/여]]/(표1_3[[#This Row],[의대졸업/남]]+표1_3[[#This Row],[의대졸업/여]]+표1_3[[#This Row],[의전원졸업/남]]+표1_3[[#This Row],[의전원졸업/여]]+AG45+AH45))</f>
        <v>587.79748982360923</v>
      </c>
      <c r="O45" s="5">
        <f>표1_3[[#This Row],[의사고시합격자수]]*(표1_3[[#This Row],[의전원졸업/남]]/(표1_3[[#This Row],[의대졸업/남]]+표1_3[[#This Row],[의대졸업/여]]+표1_3[[#This Row],[의전원졸업/남]]+표1_3[[#This Row],[의전원졸업/여]]+AG45+AH45))</f>
        <v>0</v>
      </c>
      <c r="P45" s="5">
        <f>표1_3[[#This Row],[의사고시합격자수]]*(표1_3[[#This Row],[의전원졸업/여]]/(표1_3[[#This Row],[의대졸업/남]]+표1_3[[#This Row],[의대졸업/여]]+표1_3[[#This Row],[의전원졸업/남]]+표1_3[[#This Row],[의전원졸업/여]]+AG45+AH45))</f>
        <v>0</v>
      </c>
      <c r="Q45" s="5">
        <f>표1_3[[#This Row],[의사고시합격자수]]*(AG45/(표1_3[[#This Row],[의대졸업/남]]+표1_3[[#This Row],[의대졸업/여]]+표1_3[[#This Row],[의전원졸업/남]]+표1_3[[#This Row],[의전원졸업/여]]+AG45+AH45))</f>
        <v>185.27471941271048</v>
      </c>
      <c r="R45" s="5">
        <f>표1_3[[#This Row],[의사고시합격자수]]*(AH45/(표1_3[[#This Row],[의대졸업/남]]+표1_3[[#This Row],[의대졸업/여]]+표1_3[[#This Row],[의전원졸업/남]]+표1_3[[#This Row],[의전원졸업/여]]+AG45+AH45))</f>
        <v>47.944751414969318</v>
      </c>
      <c r="S45" s="40">
        <f>표1_3[[#This Row],[의대졸비율/남]]+표1_3[[#This Row],[의전졸비율/남]]+표1_3[[#This Row],[불합비율/남]]</f>
        <v>0.79564698127978828</v>
      </c>
      <c r="T45" s="6">
        <f t="shared" si="1"/>
        <v>0.73609226594301214</v>
      </c>
      <c r="U45" s="6">
        <f t="shared" si="2"/>
        <v>0.18894165535956581</v>
      </c>
      <c r="V45" s="6">
        <f>표1_3[[#This Row],[의전졸합격/남]]/표1_3[[#This Row],[의사고시합격자수]]</f>
        <v>0</v>
      </c>
      <c r="W45" s="6">
        <f>표1_3[[#This Row],[의전졸합격/여]]/표1_3[[#This Row],[의사고시합격자수]]</f>
        <v>0</v>
      </c>
      <c r="X45" s="6">
        <f>표1_3[[#This Row],[불합합격/남]]/표1_3[[#This Row],[의사고시합격자수]]</f>
        <v>5.9554715336776108E-2</v>
      </c>
      <c r="Y45" s="6">
        <f>표1_3[[#This Row],[불합합격/여]]/표1_3[[#This Row],[의사고시합격자수]]</f>
        <v>1.5411363360645875E-2</v>
      </c>
      <c r="Z45" s="5">
        <f>표1_3[[#This Row],[의사수비율]]*0.5553*표1_3[[#This Row],[의사고시합격자수]]</f>
        <v>1436.9893693884299</v>
      </c>
      <c r="AA45" s="5">
        <v>1326.1115925667721</v>
      </c>
      <c r="AB45" s="16">
        <f>표1_3[[#This Row],[군입대]]/표1_3[[#This Row],[의대졸합격/남]]</f>
        <v>0.62751092243771411</v>
      </c>
      <c r="AC45" s="39">
        <v>2170</v>
      </c>
      <c r="AD45" s="39">
        <v>557</v>
      </c>
      <c r="AE45" s="39">
        <v>0</v>
      </c>
      <c r="AF45" s="39">
        <v>0</v>
      </c>
      <c r="AG45" s="39">
        <f t="shared" si="3"/>
        <v>175.56730081281597</v>
      </c>
      <c r="AH45" s="39">
        <f t="shared" si="4"/>
        <v>45.432699187184042</v>
      </c>
      <c r="AI45" s="72">
        <f>SUM(표1_3[[#This Row],[의대졸업/남]:[재시험자/여]])</f>
        <v>2948</v>
      </c>
      <c r="AJ45" s="74">
        <f>표1_3[[#This Row],[의사고시최초응시자수]]/표1_3[[#This Row],[응시자격자수]]</f>
        <v>1.0793758480325644</v>
      </c>
    </row>
    <row r="46" spans="1:36" x14ac:dyDescent="0.25">
      <c r="A46" s="1">
        <v>1994</v>
      </c>
      <c r="B46" s="9">
        <v>44641540</v>
      </c>
      <c r="C46" s="10">
        <v>54314</v>
      </c>
      <c r="D46" s="7">
        <v>44718</v>
      </c>
      <c r="E46" s="7">
        <v>9596</v>
      </c>
      <c r="F46" s="14">
        <f>표1_3[[#This Row],[의사수/남]]/표1_3[[#This Row],[의사수/계]]</f>
        <v>0.82332363663143937</v>
      </c>
      <c r="G46" s="4">
        <v>0</v>
      </c>
      <c r="H46" s="48">
        <v>2981</v>
      </c>
      <c r="I46" s="47">
        <v>76</v>
      </c>
      <c r="J46" s="49">
        <v>2905</v>
      </c>
      <c r="K46" s="1">
        <f t="shared" si="5"/>
        <v>52454</v>
      </c>
      <c r="L46" s="1">
        <f>(-5*(표1_3[[#This Row],[년도]]-1950)^2/100000)+(16*(표1_3[[#This Row],[년도]]-1950)/10000)+0.8551</f>
        <v>0.82869999999999999</v>
      </c>
      <c r="M46" s="5">
        <f>표1_3[[#This Row],[의사고시합격자수]]*(표1_3[[#This Row],[의대졸업/남]]/(표1_3[[#This Row],[의대졸업/남]]+표1_3[[#This Row],[의대졸업/여]]+표1_3[[#This Row],[의전원졸업/남]]+표1_3[[#This Row],[의전원졸업/여]]+AG46+AH46))</f>
        <v>2306.259541984733</v>
      </c>
      <c r="N46" s="5">
        <f>표1_3[[#This Row],[의사고시합격자수]]*(표1_3[[#This Row],[의대졸업/여]]/(표1_3[[#This Row],[의대졸업/남]]+표1_3[[#This Row],[의대졸업/여]]+표1_3[[#This Row],[의전원졸업/남]]+표1_3[[#This Row],[의전원졸업/여]]+AG46+AH46))</f>
        <v>527.17383761276892</v>
      </c>
      <c r="O46" s="5">
        <f>표1_3[[#This Row],[의사고시합격자수]]*(표1_3[[#This Row],[의전원졸업/남]]/(표1_3[[#This Row],[의대졸업/남]]+표1_3[[#This Row],[의대졸업/여]]+표1_3[[#This Row],[의전원졸업/남]]+표1_3[[#This Row],[의전원졸업/여]]+AG46+AH46))</f>
        <v>0</v>
      </c>
      <c r="P46" s="5">
        <f>표1_3[[#This Row],[의사고시합격자수]]*(표1_3[[#This Row],[의전원졸업/여]]/(표1_3[[#This Row],[의대졸업/남]]+표1_3[[#This Row],[의대졸업/여]]+표1_3[[#This Row],[의전원졸업/남]]+표1_3[[#This Row],[의전원졸업/여]]+AG46+AH46))</f>
        <v>0</v>
      </c>
      <c r="Q46" s="5">
        <f>표1_3[[#This Row],[의사고시합격자수]]*(AG46/(표1_3[[#This Row],[의대졸업/남]]+표1_3[[#This Row],[의대졸업/여]]+표1_3[[#This Row],[의전원졸업/남]]+표1_3[[#This Row],[의전원졸업/여]]+AG46+AH46))</f>
        <v>56.941765483644254</v>
      </c>
      <c r="R46" s="5">
        <f>표1_3[[#This Row],[의사고시합격자수]]*(AH46/(표1_3[[#This Row],[의대졸업/남]]+표1_3[[#This Row],[의대졸업/여]]+표1_3[[#This Row],[의전원졸업/남]]+표1_3[[#This Row],[의전원졸업/여]]+AG46+AH46))</f>
        <v>14.624854918854014</v>
      </c>
      <c r="S46" s="40">
        <f>표1_3[[#This Row],[의대졸비율/남]]+표1_3[[#This Row],[의전졸비율/남]]+표1_3[[#This Row],[불합비율/남]]</f>
        <v>0.81349442597878741</v>
      </c>
      <c r="T46" s="6">
        <f t="shared" si="1"/>
        <v>0.79389312977099247</v>
      </c>
      <c r="U46" s="6">
        <f t="shared" si="2"/>
        <v>0.18147120055517002</v>
      </c>
      <c r="V46" s="6">
        <f>표1_3[[#This Row],[의전졸합격/남]]/표1_3[[#This Row],[의사고시합격자수]]</f>
        <v>0</v>
      </c>
      <c r="W46" s="6">
        <f>표1_3[[#This Row],[의전졸합격/여]]/표1_3[[#This Row],[의사고시합격자수]]</f>
        <v>0</v>
      </c>
      <c r="X46" s="6">
        <f>표1_3[[#This Row],[불합합격/남]]/표1_3[[#This Row],[의사고시합격자수]]</f>
        <v>1.9601296207794924E-2</v>
      </c>
      <c r="Y46" s="6">
        <f>표1_3[[#This Row],[불합합격/여]]/표1_3[[#This Row],[의사고시합격자수]]</f>
        <v>5.0343734660426897E-3</v>
      </c>
      <c r="Z46" s="5">
        <f>표1_3[[#This Row],[의사수비율]]*0.5553*표1_3[[#This Row],[의사고시합격자수]]</f>
        <v>1328.1416427992781</v>
      </c>
      <c r="AA46" s="5">
        <v>1390.5088715050329</v>
      </c>
      <c r="AB46" s="16">
        <f>표1_3[[#This Row],[군입대]]/표1_3[[#This Row],[의대졸합격/남]]</f>
        <v>0.57588559250200388</v>
      </c>
      <c r="AC46" s="39">
        <v>2288</v>
      </c>
      <c r="AD46" s="39">
        <v>523</v>
      </c>
      <c r="AE46" s="39">
        <v>0</v>
      </c>
      <c r="AF46" s="39">
        <v>0</v>
      </c>
      <c r="AG46" s="39">
        <f t="shared" si="3"/>
        <v>56.490935670864971</v>
      </c>
      <c r="AH46" s="39">
        <f t="shared" si="4"/>
        <v>14.509064329135033</v>
      </c>
      <c r="AI46" s="72">
        <f>SUM(표1_3[[#This Row],[의대졸업/남]:[재시험자/여]])</f>
        <v>2882</v>
      </c>
      <c r="AJ46" s="74">
        <f>표1_3[[#This Row],[의사고시최초응시자수]]/표1_3[[#This Row],[응시자격자수]]</f>
        <v>1.0343511450381679</v>
      </c>
    </row>
    <row r="47" spans="1:36" x14ac:dyDescent="0.25">
      <c r="A47" s="1">
        <v>1995</v>
      </c>
      <c r="B47" s="9">
        <v>45092991</v>
      </c>
      <c r="C47" s="7">
        <v>57096</v>
      </c>
      <c r="D47" s="7">
        <v>46911</v>
      </c>
      <c r="E47" s="7">
        <v>10185</v>
      </c>
      <c r="F47" s="14">
        <f>표1_3[[#This Row],[의사수/남]]/표1_3[[#This Row],[의사수/계]]</f>
        <v>0.82161622530474987</v>
      </c>
      <c r="G47" s="4">
        <v>0</v>
      </c>
      <c r="H47" s="48">
        <v>2971</v>
      </c>
      <c r="I47" s="47">
        <v>150</v>
      </c>
      <c r="J47" s="49">
        <v>2807</v>
      </c>
      <c r="K47" s="1">
        <f t="shared" si="5"/>
        <v>55261</v>
      </c>
      <c r="L47" s="1">
        <f>(-5*(표1_3[[#This Row],[년도]]-1950)^2/100000)+(16*(표1_3[[#This Row],[년도]]-1950)/10000)+0.8551</f>
        <v>0.82584999999999997</v>
      </c>
      <c r="M47" s="5">
        <f>표1_3[[#This Row],[의사고시합격자수]]*(표1_3[[#This Row],[의대졸업/남]]/(표1_3[[#This Row],[의대졸업/남]]+표1_3[[#This Row],[의대졸업/여]]+표1_3[[#This Row],[의전원졸업/남]]+표1_3[[#This Row],[의전원졸업/여]]+AG47+AH47))</f>
        <v>2238.6762589928057</v>
      </c>
      <c r="N47" s="5">
        <f>표1_3[[#This Row],[의사고시합격자수]]*(표1_3[[#This Row],[의대졸업/여]]/(표1_3[[#This Row],[의대졸업/남]]+표1_3[[#This Row],[의대졸업/여]]+표1_3[[#This Row],[의전원졸업/남]]+표1_3[[#This Row],[의전원졸업/여]]+AG47+AH47))</f>
        <v>495.23980815347721</v>
      </c>
      <c r="O47" s="5">
        <f>표1_3[[#This Row],[의사고시합격자수]]*(표1_3[[#This Row],[의전원졸업/남]]/(표1_3[[#This Row],[의대졸업/남]]+표1_3[[#This Row],[의대졸업/여]]+표1_3[[#This Row],[의전원졸업/남]]+표1_3[[#This Row],[의전원졸업/여]]+AG47+AH47))</f>
        <v>0</v>
      </c>
      <c r="P47" s="5">
        <f>표1_3[[#This Row],[의사고시합격자수]]*(표1_3[[#This Row],[의전원졸업/여]]/(표1_3[[#This Row],[의대졸업/남]]+표1_3[[#This Row],[의대졸업/여]]+표1_3[[#This Row],[의전원졸업/남]]+표1_3[[#This Row],[의전원졸업/여]]+AG47+AH47))</f>
        <v>0</v>
      </c>
      <c r="Q47" s="5">
        <f>표1_3[[#This Row],[의사고시합격자수]]*(AG47/(표1_3[[#This Row],[의대졸업/남]]+표1_3[[#This Row],[의대졸업/여]]+표1_3[[#This Row],[의전원졸업/남]]+표1_3[[#This Row],[의전원졸업/여]]+AG47+AH47))</f>
        <v>59.453372005106779</v>
      </c>
      <c r="R47" s="5">
        <f>표1_3[[#This Row],[의사고시합격자수]]*(AH47/(표1_3[[#This Row],[의대졸업/남]]+표1_3[[#This Row],[의대졸업/여]]+표1_3[[#This Row],[의전원졸업/남]]+표1_3[[#This Row],[의전원졸업/여]]+AG47+AH47))</f>
        <v>13.630560848610251</v>
      </c>
      <c r="S47" s="40">
        <f>표1_3[[#This Row],[의대졸비율/남]]+표1_3[[#This Row],[의전졸비율/남]]+표1_3[[#This Row],[불합비율/남]]</f>
        <v>0.81871379800424382</v>
      </c>
      <c r="T47" s="6">
        <f t="shared" si="1"/>
        <v>0.79753340184994859</v>
      </c>
      <c r="U47" s="6">
        <f t="shared" si="2"/>
        <v>0.17643028434395341</v>
      </c>
      <c r="V47" s="6">
        <f>표1_3[[#This Row],[의전졸합격/남]]/표1_3[[#This Row],[의사고시합격자수]]</f>
        <v>0</v>
      </c>
      <c r="W47" s="6">
        <f>표1_3[[#This Row],[의전졸합격/여]]/표1_3[[#This Row],[의사고시합격자수]]</f>
        <v>0</v>
      </c>
      <c r="X47" s="6">
        <f>표1_3[[#This Row],[불합합격/남]]/표1_3[[#This Row],[의사고시합격자수]]</f>
        <v>2.1180396154295254E-2</v>
      </c>
      <c r="Y47" s="6">
        <f>표1_3[[#This Row],[불합합격/여]]/표1_3[[#This Row],[의사고시합격자수]]</f>
        <v>4.8559176518027259E-3</v>
      </c>
      <c r="Z47" s="5">
        <f>표1_3[[#This Row],[의사수비율]]*0.5553*표1_3[[#This Row],[의사고시합격자수]]</f>
        <v>1280.6754761822194</v>
      </c>
      <c r="AA47" s="5">
        <v>1362.6988872181385</v>
      </c>
      <c r="AB47" s="16">
        <f>표1_3[[#This Row],[군입대]]/표1_3[[#This Row],[의대졸합격/남]]</f>
        <v>0.57206819031457601</v>
      </c>
      <c r="AC47" s="39">
        <v>2328</v>
      </c>
      <c r="AD47" s="39">
        <v>515</v>
      </c>
      <c r="AE47" s="39">
        <v>0</v>
      </c>
      <c r="AF47" s="39">
        <v>0</v>
      </c>
      <c r="AG47" s="39">
        <f t="shared" si="3"/>
        <v>61.825576374387843</v>
      </c>
      <c r="AH47" s="39">
        <f t="shared" si="4"/>
        <v>14.174423625612157</v>
      </c>
      <c r="AI47" s="72">
        <f>SUM(표1_3[[#This Row],[의대졸업/남]:[재시험자/여]])</f>
        <v>2919</v>
      </c>
      <c r="AJ47" s="74">
        <f>표1_3[[#This Row],[의사고시최초응시자수]]/표1_3[[#This Row],[응시자격자수]]</f>
        <v>1.0178143199725933</v>
      </c>
    </row>
    <row r="48" spans="1:36" x14ac:dyDescent="0.25">
      <c r="A48" s="1">
        <v>1996</v>
      </c>
      <c r="B48" s="9">
        <v>45524681</v>
      </c>
      <c r="C48" s="10">
        <v>59307</v>
      </c>
      <c r="D48" s="7">
        <v>48613</v>
      </c>
      <c r="E48" s="7">
        <v>10694</v>
      </c>
      <c r="F48" s="14">
        <f>표1_3[[#This Row],[의사수/남]]/표1_3[[#This Row],[의사수/계]]</f>
        <v>0.81968401706375305</v>
      </c>
      <c r="G48" s="4">
        <v>0</v>
      </c>
      <c r="H48" s="48">
        <v>3054</v>
      </c>
      <c r="I48" s="47">
        <v>861</v>
      </c>
      <c r="J48" s="49">
        <v>2193</v>
      </c>
      <c r="K48" s="1">
        <f t="shared" si="5"/>
        <v>57454</v>
      </c>
      <c r="L48" s="1">
        <f>(-5*(표1_3[[#This Row],[년도]]-1950)^2/100000)+(16*(표1_3[[#This Row],[년도]]-1950)/10000)+0.8551</f>
        <v>0.82289999999999996</v>
      </c>
      <c r="M48" s="5">
        <f>표1_3[[#This Row],[의사고시합격자수]]*(표1_3[[#This Row],[의대졸업/남]]/(표1_3[[#This Row],[의대졸업/남]]+표1_3[[#This Row],[의대졸업/여]]+표1_3[[#This Row],[의전원졸업/남]]+표1_3[[#This Row],[의전원졸업/여]]+AG48+AH48))</f>
        <v>1656.3260643821391</v>
      </c>
      <c r="N48" s="5">
        <f>표1_3[[#This Row],[의사고시합격자수]]*(표1_3[[#This Row],[의대졸업/여]]/(표1_3[[#This Row],[의대졸업/남]]+표1_3[[#This Row],[의대졸업/여]]+표1_3[[#This Row],[의전원졸업/남]]+표1_3[[#This Row],[의전원졸업/여]]+AG48+AH48))</f>
        <v>422.81100726895119</v>
      </c>
      <c r="O48" s="5">
        <f>표1_3[[#This Row],[의사고시합격자수]]*(표1_3[[#This Row],[의전원졸업/남]]/(표1_3[[#This Row],[의대졸업/남]]+표1_3[[#This Row],[의대졸업/여]]+표1_3[[#This Row],[의전원졸업/남]]+표1_3[[#This Row],[의전원졸업/여]]+AG48+AH48))</f>
        <v>0</v>
      </c>
      <c r="P48" s="5">
        <f>표1_3[[#This Row],[의사고시합격자수]]*(표1_3[[#This Row],[의전원졸업/여]]/(표1_3[[#This Row],[의대졸업/남]]+표1_3[[#This Row],[의대졸업/여]]+표1_3[[#This Row],[의전원졸업/남]]+표1_3[[#This Row],[의전원졸업/여]]+AG48+AH48))</f>
        <v>0</v>
      </c>
      <c r="Q48" s="5">
        <f>표1_3[[#This Row],[의사고시합격자수]]*(AG48/(표1_3[[#This Row],[의대졸업/남]]+표1_3[[#This Row],[의대졸업/여]]+표1_3[[#This Row],[의전원졸업/남]]+표1_3[[#This Row],[의전원졸업/여]]+AG48+AH48))</f>
        <v>93.221150520420906</v>
      </c>
      <c r="R48" s="5">
        <f>표1_3[[#This Row],[의사고시합격자수]]*(AH48/(표1_3[[#This Row],[의대졸업/남]]+표1_3[[#This Row],[의대졸업/여]]+표1_3[[#This Row],[의전원졸업/남]]+표1_3[[#This Row],[의전원졸업/여]]+AG48+AH48))</f>
        <v>20.641777828488749</v>
      </c>
      <c r="S48" s="40">
        <f>표1_3[[#This Row],[의대졸비율/남]]+표1_3[[#This Row],[의전졸비율/남]]+표1_3[[#This Row],[불합비율/남]]</f>
        <v>0.79778714769838577</v>
      </c>
      <c r="T48" s="6">
        <f t="shared" si="1"/>
        <v>0.75527864312911042</v>
      </c>
      <c r="U48" s="6">
        <f t="shared" si="2"/>
        <v>0.19280027691242643</v>
      </c>
      <c r="V48" s="6">
        <f>표1_3[[#This Row],[의전졸합격/남]]/표1_3[[#This Row],[의사고시합격자수]]</f>
        <v>0</v>
      </c>
      <c r="W48" s="6">
        <f>표1_3[[#This Row],[의전졸합격/여]]/표1_3[[#This Row],[의사고시합격자수]]</f>
        <v>0</v>
      </c>
      <c r="X48" s="6">
        <f>표1_3[[#This Row],[불합합격/남]]/표1_3[[#This Row],[의사고시합격자수]]</f>
        <v>4.2508504569275379E-2</v>
      </c>
      <c r="Y48" s="6">
        <f>표1_3[[#This Row],[불합합격/여]]/표1_3[[#This Row],[의사고시합격자수]]</f>
        <v>9.4125753891877561E-3</v>
      </c>
      <c r="Z48" s="5">
        <f>표1_3[[#This Row],[의사수비율]]*0.5553*표1_3[[#This Row],[의사고시합격자수]]</f>
        <v>998.18898254337603</v>
      </c>
      <c r="AA48" s="5">
        <v>1436.9893693884299</v>
      </c>
      <c r="AB48" s="16">
        <f>표1_3[[#This Row],[군입대]]/표1_3[[#This Row],[의대졸합격/남]]</f>
        <v>0.60265246318860011</v>
      </c>
      <c r="AC48" s="39">
        <v>2182</v>
      </c>
      <c r="AD48" s="39">
        <v>557</v>
      </c>
      <c r="AE48" s="39">
        <v>0</v>
      </c>
      <c r="AF48" s="39">
        <v>0</v>
      </c>
      <c r="AG48" s="39">
        <f t="shared" si="3"/>
        <v>122.80706970063657</v>
      </c>
      <c r="AH48" s="39">
        <f t="shared" si="4"/>
        <v>27.192930299363425</v>
      </c>
      <c r="AI48" s="72">
        <f>SUM(표1_3[[#This Row],[의대졸업/남]:[재시험자/여]])</f>
        <v>2889</v>
      </c>
      <c r="AJ48" s="74">
        <f>표1_3[[#This Row],[의사고시최초응시자수]]/표1_3[[#This Row],[응시자격자수]]</f>
        <v>1.0571131879543094</v>
      </c>
    </row>
    <row r="49" spans="1:36" ht="17.25" thickBot="1" x14ac:dyDescent="0.3">
      <c r="A49" s="1">
        <v>1997</v>
      </c>
      <c r="B49" s="9">
        <v>45953580</v>
      </c>
      <c r="C49" s="10">
        <v>62517</v>
      </c>
      <c r="D49" s="7">
        <v>51243</v>
      </c>
      <c r="E49" s="7">
        <v>11274</v>
      </c>
      <c r="F49" s="14">
        <f>표1_3[[#This Row],[의사수/남]]/표1_3[[#This Row],[의사수/계]]</f>
        <v>0.81966505110609911</v>
      </c>
      <c r="G49" s="4">
        <v>0</v>
      </c>
      <c r="H49" s="48">
        <v>3622</v>
      </c>
      <c r="I49" s="47">
        <v>383</v>
      </c>
      <c r="J49" s="49">
        <v>3239</v>
      </c>
      <c r="K49" s="1">
        <f t="shared" si="5"/>
        <v>60693</v>
      </c>
      <c r="L49" s="1">
        <f>(-5*(표1_3[[#This Row],[년도]]-1950)^2/100000)+(16*(표1_3[[#This Row],[년도]]-1950)/10000)+0.8551</f>
        <v>0.81984999999999997</v>
      </c>
      <c r="M49" s="5">
        <f>표1_3[[#This Row],[의사고시합격자수]]*(표1_3[[#This Row],[의대졸업/남]]/(표1_3[[#This Row],[의대졸업/남]]+표1_3[[#This Row],[의대졸업/여]]+표1_3[[#This Row],[의전원졸업/남]]+표1_3[[#This Row],[의전원졸업/여]]+AG49+AH49))</f>
        <v>1992.8872035300606</v>
      </c>
      <c r="N49" s="5">
        <f>표1_3[[#This Row],[의사고시합격자수]]*(표1_3[[#This Row],[의대졸업/여]]/(표1_3[[#This Row],[의대졸업/남]]+표1_3[[#This Row],[의대졸업/여]]+표1_3[[#This Row],[의전원졸업/남]]+표1_3[[#This Row],[의전원졸업/여]]+AG49+AH49))</f>
        <v>477.00661886376167</v>
      </c>
      <c r="O49" s="5">
        <f>표1_3[[#This Row],[의사고시합격자수]]*(표1_3[[#This Row],[의전원졸업/남]]/(표1_3[[#This Row],[의대졸업/남]]+표1_3[[#This Row],[의대졸업/여]]+표1_3[[#This Row],[의전원졸업/남]]+표1_3[[#This Row],[의전원졸업/여]]+AG49+AH49))</f>
        <v>0</v>
      </c>
      <c r="P49" s="5">
        <f>표1_3[[#This Row],[의사고시합격자수]]*(표1_3[[#This Row],[의전원졸업/여]]/(표1_3[[#This Row],[의대졸업/남]]+표1_3[[#This Row],[의대졸업/여]]+표1_3[[#This Row],[의전원졸업/남]]+표1_3[[#This Row],[의전원졸업/여]]+AG49+AH49))</f>
        <v>0</v>
      </c>
      <c r="Q49" s="5">
        <f>표1_3[[#This Row],[의사고시합격자수]]*(AG49/(표1_3[[#This Row],[의대졸업/남]]+표1_3[[#This Row],[의대졸업/여]]+표1_3[[#This Row],[의전원졸업/남]]+표1_3[[#This Row],[의전원졸업/여]]+AG49+AH49))</f>
        <v>613.58302370964054</v>
      </c>
      <c r="R49" s="5">
        <f>표1_3[[#This Row],[의사고시합격자수]]*(AH49/(표1_3[[#This Row],[의대졸업/남]]+표1_3[[#This Row],[의대졸업/여]]+표1_3[[#This Row],[의전원졸업/남]]+표1_3[[#This Row],[의전원졸업/여]]+AG49+AH49))</f>
        <v>155.52315389653708</v>
      </c>
      <c r="S49" s="40">
        <f>표1_3[[#This Row],[의대졸비율/남]]+표1_3[[#This Row],[의전졸비율/남]]+표1_3[[#This Row],[불합비율/남]]</f>
        <v>0.80471448818762004</v>
      </c>
      <c r="T49" s="6">
        <f t="shared" si="1"/>
        <v>0.61527854384997238</v>
      </c>
      <c r="U49" s="6">
        <f t="shared" si="2"/>
        <v>0.14726971869829011</v>
      </c>
      <c r="V49" s="6">
        <f>표1_3[[#This Row],[의전졸합격/남]]/표1_3[[#This Row],[의사고시합격자수]]</f>
        <v>0</v>
      </c>
      <c r="W49" s="6">
        <f>표1_3[[#This Row],[의전졸합격/여]]/표1_3[[#This Row],[의사고시합격자수]]</f>
        <v>0</v>
      </c>
      <c r="X49" s="6">
        <f>표1_3[[#This Row],[불합합격/남]]/표1_3[[#This Row],[의사고시합격자수]]</f>
        <v>0.1894359443376476</v>
      </c>
      <c r="Y49" s="6">
        <f>표1_3[[#This Row],[불합합격/여]]/표1_3[[#This Row],[의사고시합격자수]]</f>
        <v>4.8015793114089871E-2</v>
      </c>
      <c r="Z49" s="5">
        <f>표1_3[[#This Row],[의사수비율]]*0.5553*표1_3[[#This Row],[의사고시합격자수]]</f>
        <v>1474.2632493257834</v>
      </c>
      <c r="AA49" s="5">
        <v>1328.1416427992781</v>
      </c>
      <c r="AB49" s="16">
        <f>표1_3[[#This Row],[군입대]]/표1_3[[#This Row],[의대졸합격/남]]</f>
        <v>0.73976251476469757</v>
      </c>
      <c r="AC49" s="39">
        <v>2231</v>
      </c>
      <c r="AD49" s="39">
        <v>534</v>
      </c>
      <c r="AE49" s="39">
        <v>0</v>
      </c>
      <c r="AF49" s="39">
        <v>0</v>
      </c>
      <c r="AG49" s="39">
        <f t="shared" si="3"/>
        <v>686.89473416831015</v>
      </c>
      <c r="AH49" s="39">
        <f t="shared" si="4"/>
        <v>174.10526583168985</v>
      </c>
      <c r="AI49" s="72">
        <f>SUM(표1_3[[#This Row],[의대졸업/남]:[재시험자/여]])</f>
        <v>3626</v>
      </c>
      <c r="AJ49" s="74">
        <f>표1_3[[#This Row],[의사고시최초응시자수]]/표1_3[[#This Row],[응시자격자수]]</f>
        <v>0.99889685603971323</v>
      </c>
    </row>
    <row r="50" spans="1:36" ht="17.25" thickBot="1" x14ac:dyDescent="0.3">
      <c r="A50" s="1">
        <v>1998</v>
      </c>
      <c r="B50" s="9">
        <v>46286503</v>
      </c>
      <c r="C50" s="10">
        <v>65339</v>
      </c>
      <c r="D50" s="7">
        <v>53460</v>
      </c>
      <c r="E50" s="7">
        <v>11879</v>
      </c>
      <c r="F50" s="14">
        <f>표1_3[[#This Row],[의사수/남]]/표1_3[[#This Row],[의사수/계]]</f>
        <v>0.81819434028681182</v>
      </c>
      <c r="G50" s="4">
        <v>0</v>
      </c>
      <c r="H50" s="48">
        <v>3177</v>
      </c>
      <c r="I50" s="47">
        <v>335</v>
      </c>
      <c r="J50" s="49">
        <v>2842</v>
      </c>
      <c r="K50" s="1">
        <f t="shared" si="5"/>
        <v>63535</v>
      </c>
      <c r="L50" s="1">
        <f>(-5*(표1_3[[#This Row],[년도]]-1950)^2/100000)+(16*(표1_3[[#This Row],[년도]]-1950)/10000)+0.8551</f>
        <v>0.81669999999999998</v>
      </c>
      <c r="M50" s="5">
        <f>표1_3[[#This Row],[의사고시합격자수]]*(표1_3[[#This Row],[의대졸업/남]]/(표1_3[[#This Row],[의대졸업/남]]+표1_3[[#This Row],[의대졸업/여]]+표1_3[[#This Row],[의전원졸업/남]]+표1_3[[#This Row],[의전원졸업/여]]+AG50+AH50))</f>
        <v>1950.0767295597484</v>
      </c>
      <c r="N50" s="5">
        <f>표1_3[[#This Row],[의사고시합격자수]]*(표1_3[[#This Row],[의대졸업/여]]/(표1_3[[#This Row],[의대졸업/남]]+표1_3[[#This Row],[의대졸업/여]]+표1_3[[#This Row],[의전원졸업/남]]+표1_3[[#This Row],[의전원졸업/여]]+AG50+AH50))</f>
        <v>549.63207547169816</v>
      </c>
      <c r="O50" s="5">
        <f>표1_3[[#This Row],[의사고시합격자수]]*(표1_3[[#This Row],[의전원졸업/남]]/(표1_3[[#This Row],[의대졸업/남]]+표1_3[[#This Row],[의대졸업/여]]+표1_3[[#This Row],[의전원졸업/남]]+표1_3[[#This Row],[의전원졸업/여]]+AG50+AH50))</f>
        <v>0</v>
      </c>
      <c r="P50" s="5">
        <f>표1_3[[#This Row],[의사고시합격자수]]*(표1_3[[#This Row],[의전원졸업/여]]/(표1_3[[#This Row],[의대졸업/남]]+표1_3[[#This Row],[의대졸업/여]]+표1_3[[#This Row],[의전원졸업/남]]+표1_3[[#This Row],[의전원졸업/여]]+AG50+AH50))</f>
        <v>0</v>
      </c>
      <c r="Q50" s="5">
        <f>표1_3[[#This Row],[의사고시합격자수]]*(AG50/(표1_3[[#This Row],[의대졸업/남]]+표1_3[[#This Row],[의대졸업/여]]+표1_3[[#This Row],[의전원졸업/남]]+표1_3[[#This Row],[의전원졸업/여]]+AG50+AH50))</f>
        <v>275.44668377024834</v>
      </c>
      <c r="R50" s="5">
        <f>표1_3[[#This Row],[의사고시합격자수]]*(AH50/(표1_3[[#This Row],[의대졸업/남]]+표1_3[[#This Row],[의대졸업/여]]+표1_3[[#This Row],[의전원졸업/남]]+표1_3[[#This Row],[의전원졸업/여]]+AG50+AH50))</f>
        <v>66.844511198305099</v>
      </c>
      <c r="S50" s="40">
        <f>표1_3[[#This Row],[의대졸비율/남]]+표1_3[[#This Row],[의전졸비율/남]]+표1_3[[#This Row],[불합비율/남]]</f>
        <v>0.78308353741379189</v>
      </c>
      <c r="T50" s="6">
        <f t="shared" si="1"/>
        <v>0.68616352201257858</v>
      </c>
      <c r="U50" s="6">
        <f t="shared" si="2"/>
        <v>0.19339622641509435</v>
      </c>
      <c r="V50" s="6">
        <f>표1_3[[#This Row],[의전졸합격/남]]/표1_3[[#This Row],[의사고시합격자수]]</f>
        <v>0</v>
      </c>
      <c r="W50" s="6">
        <f>표1_3[[#This Row],[의전졸합격/여]]/표1_3[[#This Row],[의사고시합격자수]]</f>
        <v>0</v>
      </c>
      <c r="X50" s="6">
        <f>표1_3[[#This Row],[불합합격/남]]/표1_3[[#This Row],[의사고시합격자수]]</f>
        <v>9.6920015401213352E-2</v>
      </c>
      <c r="Y50" s="6">
        <f>표1_3[[#This Row],[불합합격/여]]/표1_3[[#This Row],[의사고시합격자수]]</f>
        <v>2.3520236171113686E-2</v>
      </c>
      <c r="Z50" s="18">
        <v>1334</v>
      </c>
      <c r="AA50" s="5">
        <v>1280.6754761822194</v>
      </c>
      <c r="AB50" s="16">
        <f>표1_3[[#This Row],[군입대]]/표1_3[[#This Row],[의대졸합격/남]]</f>
        <v>0.68407564675732802</v>
      </c>
      <c r="AC50" s="39">
        <v>2182</v>
      </c>
      <c r="AD50" s="39">
        <v>615</v>
      </c>
      <c r="AE50" s="39">
        <v>0</v>
      </c>
      <c r="AF50" s="39">
        <v>0</v>
      </c>
      <c r="AG50" s="39">
        <f t="shared" si="3"/>
        <v>308.20564897585848</v>
      </c>
      <c r="AH50" s="39">
        <f t="shared" si="4"/>
        <v>74.79435102414152</v>
      </c>
      <c r="AI50" s="72">
        <f>SUM(표1_3[[#This Row],[의대졸업/남]:[재시험자/여]])</f>
        <v>3180</v>
      </c>
      <c r="AJ50" s="74">
        <f>표1_3[[#This Row],[의사고시최초응시자수]]/표1_3[[#This Row],[응시자격자수]]</f>
        <v>0.99905660377358485</v>
      </c>
    </row>
    <row r="51" spans="1:36" ht="17.25" thickBot="1" x14ac:dyDescent="0.3">
      <c r="A51" s="1">
        <v>1999</v>
      </c>
      <c r="B51" s="9">
        <v>46616677</v>
      </c>
      <c r="C51" s="10">
        <v>69632</v>
      </c>
      <c r="D51" s="7">
        <v>57534</v>
      </c>
      <c r="E51" s="7">
        <v>12098</v>
      </c>
      <c r="F51" s="14">
        <f>표1_3[[#This Row],[의사수/남]]/표1_3[[#This Row],[의사수/계]]</f>
        <v>0.8262580422794118</v>
      </c>
      <c r="G51" s="4">
        <v>0</v>
      </c>
      <c r="H51" s="48">
        <v>3091</v>
      </c>
      <c r="I51" s="47">
        <v>220</v>
      </c>
      <c r="J51" s="49">
        <v>2871</v>
      </c>
      <c r="K51" s="1">
        <f t="shared" si="5"/>
        <v>66406</v>
      </c>
      <c r="L51" s="1">
        <f>(-5*(표1_3[[#This Row],[년도]]-1950)^2/100000)+(16*(표1_3[[#This Row],[년도]]-1950)/10000)+0.8551</f>
        <v>0.81345000000000001</v>
      </c>
      <c r="M51" s="5">
        <f>표1_3[[#This Row],[의사고시합격자수]]*(표1_3[[#This Row],[의대졸업/남]]/(표1_3[[#This Row],[의대졸업/남]]+표1_3[[#This Row],[의대졸업/여]]+표1_3[[#This Row],[의전원졸업/남]]+표1_3[[#This Row],[의전원졸업/여]]+AG51+AH51))</f>
        <v>1956.5744680851064</v>
      </c>
      <c r="N51" s="5">
        <f>표1_3[[#This Row],[의사고시합격자수]]*(표1_3[[#This Row],[의대졸업/여]]/(표1_3[[#This Row],[의대졸업/남]]+표1_3[[#This Row],[의대졸업/여]]+표1_3[[#This Row],[의전원졸업/남]]+표1_3[[#This Row],[의전원졸업/여]]+AG51+AH51))</f>
        <v>604.37234042553189</v>
      </c>
      <c r="O51" s="5">
        <f>표1_3[[#This Row],[의사고시합격자수]]*(표1_3[[#This Row],[의전원졸업/남]]/(표1_3[[#This Row],[의대졸업/남]]+표1_3[[#This Row],[의대졸업/여]]+표1_3[[#This Row],[의전원졸업/남]]+표1_3[[#This Row],[의전원졸업/여]]+AG51+AH51))</f>
        <v>0</v>
      </c>
      <c r="P51" s="5">
        <f>표1_3[[#This Row],[의사고시합격자수]]*(표1_3[[#This Row],[의전원졸업/여]]/(표1_3[[#This Row],[의대졸업/남]]+표1_3[[#This Row],[의대졸업/여]]+표1_3[[#This Row],[의전원졸업/남]]+표1_3[[#This Row],[의전원졸업/여]]+AG51+AH51))</f>
        <v>0</v>
      </c>
      <c r="Q51" s="5">
        <f>표1_3[[#This Row],[의사고시합격자수]]*(AG51/(표1_3[[#This Row],[의대졸업/남]]+표1_3[[#This Row],[의대졸업/여]]+표1_3[[#This Row],[의전원졸업/남]]+표1_3[[#This Row],[의전원졸업/여]]+AG51+AH51))</f>
        <v>242.79754997792517</v>
      </c>
      <c r="R51" s="5">
        <f>표1_3[[#This Row],[의사고시합격자수]]*(AH51/(표1_3[[#This Row],[의대졸업/남]]+표1_3[[#This Row],[의대졸업/여]]+표1_3[[#This Row],[의전원졸업/남]]+표1_3[[#This Row],[의전원졸업/여]]+AG51+AH51))</f>
        <v>67.255641511436551</v>
      </c>
      <c r="S51" s="40">
        <f>표1_3[[#This Row],[의대졸비율/남]]+표1_3[[#This Row],[의전졸비율/남]]+표1_3[[#This Row],[불합비율/남]]</f>
        <v>0.76606479208047085</v>
      </c>
      <c r="T51" s="6">
        <f t="shared" si="1"/>
        <v>0.68149580915538366</v>
      </c>
      <c r="U51" s="6">
        <f t="shared" si="2"/>
        <v>0.21050934880722114</v>
      </c>
      <c r="V51" s="6">
        <f>표1_3[[#This Row],[의전졸합격/남]]/표1_3[[#This Row],[의사고시합격자수]]</f>
        <v>0</v>
      </c>
      <c r="W51" s="6">
        <f>표1_3[[#This Row],[의전졸합격/여]]/표1_3[[#This Row],[의사고시합격자수]]</f>
        <v>0</v>
      </c>
      <c r="X51" s="6">
        <f>표1_3[[#This Row],[불합합격/남]]/표1_3[[#This Row],[의사고시합격자수]]</f>
        <v>8.4568982925087133E-2</v>
      </c>
      <c r="Y51" s="6">
        <f>표1_3[[#This Row],[불합합격/여]]/표1_3[[#This Row],[의사고시합격자수]]</f>
        <v>2.3425859112308097E-2</v>
      </c>
      <c r="Z51" s="18">
        <v>1296</v>
      </c>
      <c r="AA51" s="5">
        <v>998.18898254337603</v>
      </c>
      <c r="AB51" s="16">
        <f>표1_3[[#This Row],[군입대]]/표1_3[[#This Row],[의대졸합격/남]]</f>
        <v>0.66238214856620881</v>
      </c>
      <c r="AC51" s="39">
        <v>2114</v>
      </c>
      <c r="AD51" s="39">
        <v>653</v>
      </c>
      <c r="AE51" s="39">
        <v>0</v>
      </c>
      <c r="AF51" s="39">
        <v>0</v>
      </c>
      <c r="AG51" s="39">
        <f t="shared" si="3"/>
        <v>262.33298503362028</v>
      </c>
      <c r="AH51" s="39">
        <f t="shared" si="4"/>
        <v>72.667014966379725</v>
      </c>
      <c r="AI51" s="72">
        <f>SUM(표1_3[[#This Row],[의대졸업/남]:[재시험자/여]])</f>
        <v>3102</v>
      </c>
      <c r="AJ51" s="74">
        <f>표1_3[[#This Row],[의사고시최초응시자수]]/표1_3[[#This Row],[응시자격자수]]</f>
        <v>0.99645390070921991</v>
      </c>
    </row>
    <row r="52" spans="1:36" ht="17.25" thickBot="1" x14ac:dyDescent="0.3">
      <c r="A52" s="1">
        <v>2000</v>
      </c>
      <c r="B52" s="9">
        <v>47008111</v>
      </c>
      <c r="C52" s="7">
        <v>72411</v>
      </c>
      <c r="D52" s="7">
        <v>59656</v>
      </c>
      <c r="E52" s="7">
        <v>12755</v>
      </c>
      <c r="F52" s="14">
        <f>표1_3[[#This Row],[의사수/남]]/표1_3[[#This Row],[의사수/계]]</f>
        <v>0.82385272955766387</v>
      </c>
      <c r="G52" s="4">
        <v>0</v>
      </c>
      <c r="H52" s="48">
        <v>2961</v>
      </c>
      <c r="I52" s="47">
        <v>189</v>
      </c>
      <c r="J52" s="49">
        <v>2772</v>
      </c>
      <c r="K52" s="1">
        <f t="shared" si="5"/>
        <v>69178</v>
      </c>
      <c r="L52" s="1">
        <f>(-5*(표1_3[[#This Row],[년도]]-1950)^2/100000)+(16*(표1_3[[#This Row],[년도]]-1950)/10000)+0.8551</f>
        <v>0.81009999999999993</v>
      </c>
      <c r="M52" s="5">
        <f>표1_3[[#This Row],[의사고시합격자수]]*(표1_3[[#This Row],[의대졸업/남]]/(표1_3[[#This Row],[의대졸업/남]]+표1_3[[#This Row],[의대졸업/여]]+표1_3[[#This Row],[의전원졸업/남]]+표1_3[[#This Row],[의전원졸업/여]]+AG52+AH52))</f>
        <v>1965.8765432098764</v>
      </c>
      <c r="N52" s="5">
        <f>표1_3[[#This Row],[의사고시합격자수]]*(표1_3[[#This Row],[의대졸업/여]]/(표1_3[[#This Row],[의대졸업/남]]+표1_3[[#This Row],[의대졸업/여]]+표1_3[[#This Row],[의전원졸업/남]]+표1_3[[#This Row],[의전원졸업/여]]+AG52+AH52))</f>
        <v>596.98765432098764</v>
      </c>
      <c r="O52" s="5">
        <f>표1_3[[#This Row],[의사고시합격자수]]*(표1_3[[#This Row],[의전원졸업/남]]/(표1_3[[#This Row],[의대졸업/남]]+표1_3[[#This Row],[의대졸업/여]]+표1_3[[#This Row],[의전원졸업/남]]+표1_3[[#This Row],[의전원졸업/여]]+AG52+AH52))</f>
        <v>0</v>
      </c>
      <c r="P52" s="5">
        <f>표1_3[[#This Row],[의사고시합격자수]]*(표1_3[[#This Row],[의전원졸업/여]]/(표1_3[[#This Row],[의대졸업/남]]+표1_3[[#This Row],[의대졸업/여]]+표1_3[[#This Row],[의전원졸업/남]]+표1_3[[#This Row],[의전원졸업/여]]+AG52+AH52))</f>
        <v>0</v>
      </c>
      <c r="Q52" s="5">
        <f>표1_3[[#This Row],[의사고시합격자수]]*(AG52/(표1_3[[#This Row],[의대졸업/남]]+표1_3[[#This Row],[의대졸업/여]]+표1_3[[#This Row],[의전원졸업/남]]+표1_3[[#This Row],[의전원졸업/여]]+AG52+AH52))</f>
        <v>160.21157503510094</v>
      </c>
      <c r="R52" s="5">
        <f>표1_3[[#This Row],[의사고시합격자수]]*(AH52/(표1_3[[#This Row],[의대졸업/남]]+표1_3[[#This Row],[의대졸업/여]]+표1_3[[#This Row],[의전원졸업/남]]+표1_3[[#This Row],[의전원졸업/여]]+AG52+AH52))</f>
        <v>48.924227434034854</v>
      </c>
      <c r="S52" s="40">
        <f>표1_3[[#This Row],[의대졸비율/남]]+표1_3[[#This Row],[의전졸비율/남]]+표1_3[[#This Row],[불합비율/남]]</f>
        <v>0.76698705564393121</v>
      </c>
      <c r="T52" s="6">
        <f t="shared" si="1"/>
        <v>0.70919067215363507</v>
      </c>
      <c r="U52" s="6">
        <f t="shared" si="2"/>
        <v>0.21536351165980797</v>
      </c>
      <c r="V52" s="6">
        <f>표1_3[[#This Row],[의전졸합격/남]]/표1_3[[#This Row],[의사고시합격자수]]</f>
        <v>0</v>
      </c>
      <c r="W52" s="6">
        <f>표1_3[[#This Row],[의전졸합격/여]]/표1_3[[#This Row],[의사고시합격자수]]</f>
        <v>0</v>
      </c>
      <c r="X52" s="6">
        <f>표1_3[[#This Row],[불합합격/남]]/표1_3[[#This Row],[의사고시합격자수]]</f>
        <v>5.7796383490296151E-2</v>
      </c>
      <c r="Y52" s="6">
        <f>표1_3[[#This Row],[불합합격/여]]/표1_3[[#This Row],[의사고시합격자수]]</f>
        <v>1.7649432696260771E-2</v>
      </c>
      <c r="Z52" s="18">
        <v>1259</v>
      </c>
      <c r="AA52" s="5">
        <v>1474.2632493257834</v>
      </c>
      <c r="AB52" s="16">
        <f>표1_3[[#This Row],[군입대]]/표1_3[[#This Row],[의대졸합격/남]]</f>
        <v>0.64042678791228114</v>
      </c>
      <c r="AC52" s="39">
        <v>2068</v>
      </c>
      <c r="AD52" s="39">
        <v>628</v>
      </c>
      <c r="AE52" s="39">
        <v>0</v>
      </c>
      <c r="AF52" s="39">
        <v>0</v>
      </c>
      <c r="AG52" s="39">
        <f t="shared" si="3"/>
        <v>168.53425425770359</v>
      </c>
      <c r="AH52" s="39">
        <f t="shared" si="4"/>
        <v>51.465745742296413</v>
      </c>
      <c r="AI52" s="72">
        <f>SUM(표1_3[[#This Row],[의대졸업/남]:[재시험자/여]])</f>
        <v>2916</v>
      </c>
      <c r="AJ52" s="74">
        <f>표1_3[[#This Row],[의사고시최초응시자수]]/표1_3[[#This Row],[응시자격자수]]</f>
        <v>1.0154320987654322</v>
      </c>
    </row>
    <row r="53" spans="1:36" ht="17.25" thickBot="1" x14ac:dyDescent="0.3">
      <c r="A53" s="1">
        <v>2001</v>
      </c>
      <c r="B53" s="9">
        <v>47370164</v>
      </c>
      <c r="C53" s="7">
        <v>75203</v>
      </c>
      <c r="D53" s="7">
        <v>61658</v>
      </c>
      <c r="E53" s="7">
        <v>13545</v>
      </c>
      <c r="F53" s="14">
        <f>표1_3[[#This Row],[의사수/남]]/표1_3[[#This Row],[의사수/계]]</f>
        <v>0.81988750448785286</v>
      </c>
      <c r="G53" s="4">
        <v>0</v>
      </c>
      <c r="H53" s="48">
        <v>3262</v>
      </c>
      <c r="I53" s="47">
        <v>466</v>
      </c>
      <c r="J53" s="49">
        <v>2796</v>
      </c>
      <c r="K53" s="1">
        <f t="shared" si="5"/>
        <v>71974</v>
      </c>
      <c r="L53" s="1">
        <f>(-5*(표1_3[[#This Row],[년도]]-1950)^2/100000)+(16*(표1_3[[#This Row],[년도]]-1950)/10000)+0.8551</f>
        <v>0.80664999999999998</v>
      </c>
      <c r="M53" s="5">
        <f>표1_3[[#This Row],[의사고시합격자수]]*(표1_3[[#This Row],[의대졸업/남]]/(표1_3[[#This Row],[의대졸업/남]]+표1_3[[#This Row],[의대졸업/여]]+표1_3[[#This Row],[의전원졸업/남]]+표1_3[[#This Row],[의전원졸업/여]]+AG53+AH53))</f>
        <v>1839.3605902244083</v>
      </c>
      <c r="N53" s="5">
        <f>표1_3[[#This Row],[의사고시합격자수]]*(표1_3[[#This Row],[의대졸업/여]]/(표1_3[[#This Row],[의대졸업/남]]+표1_3[[#This Row],[의대졸업/여]]+표1_3[[#This Row],[의전원졸업/남]]+표1_3[[#This Row],[의전원졸업/여]]+AG53+AH53))</f>
        <v>794.1912081155856</v>
      </c>
      <c r="O53" s="5">
        <f>표1_3[[#This Row],[의사고시합격자수]]*(표1_3[[#This Row],[의전원졸업/남]]/(표1_3[[#This Row],[의대졸업/남]]+표1_3[[#This Row],[의대졸업/여]]+표1_3[[#This Row],[의전원졸업/남]]+표1_3[[#This Row],[의전원졸업/여]]+AG53+AH53))</f>
        <v>0</v>
      </c>
      <c r="P53" s="5">
        <f>표1_3[[#This Row],[의사고시합격자수]]*(표1_3[[#This Row],[의전원졸업/여]]/(표1_3[[#This Row],[의대졸업/남]]+표1_3[[#This Row],[의대졸업/여]]+표1_3[[#This Row],[의전원졸업/남]]+표1_3[[#This Row],[의전원졸업/여]]+AG53+AH53))</f>
        <v>0</v>
      </c>
      <c r="Q53" s="5">
        <f>표1_3[[#This Row],[의사고시합격자수]]*(AG53/(표1_3[[#This Row],[의대졸업/남]]+표1_3[[#This Row],[의대졸업/여]]+표1_3[[#This Row],[의전원졸업/남]]+표1_3[[#This Row],[의전원졸업/여]]+AG53+AH53))</f>
        <v>124.59566788585968</v>
      </c>
      <c r="R53" s="5">
        <f>표1_3[[#This Row],[의사고시합격자수]]*(AH53/(표1_3[[#This Row],[의대졸업/남]]+표1_3[[#This Row],[의대졸업/여]]+표1_3[[#This Row],[의전원졸업/남]]+표1_3[[#This Row],[의전원졸업/여]]+AG53+AH53))</f>
        <v>37.852533774146451</v>
      </c>
      <c r="S53" s="40">
        <f>표1_3[[#This Row],[의대졸비율/남]]+표1_3[[#This Row],[의전졸비율/남]]+표1_3[[#This Row],[불합비율/남]]</f>
        <v>0.70241640132699135</v>
      </c>
      <c r="T53" s="6">
        <f t="shared" si="1"/>
        <v>0.65785428834921611</v>
      </c>
      <c r="U53" s="6">
        <f t="shared" si="2"/>
        <v>0.28404549646480171</v>
      </c>
      <c r="V53" s="6">
        <f>표1_3[[#This Row],[의전졸합격/남]]/표1_3[[#This Row],[의사고시합격자수]]</f>
        <v>0</v>
      </c>
      <c r="W53" s="6">
        <f>표1_3[[#This Row],[의전졸합격/여]]/표1_3[[#This Row],[의사고시합격자수]]</f>
        <v>0</v>
      </c>
      <c r="X53" s="6">
        <f>표1_3[[#This Row],[불합합격/남]]/표1_3[[#This Row],[의사고시합격자수]]</f>
        <v>4.4562112977775278E-2</v>
      </c>
      <c r="Y53" s="6">
        <f>표1_3[[#This Row],[불합합격/여]]/표1_3[[#This Row],[의사고시합격자수]]</f>
        <v>1.3538102208206886E-2</v>
      </c>
      <c r="Z53" s="18">
        <v>1580</v>
      </c>
      <c r="AA53" s="18">
        <v>1334</v>
      </c>
      <c r="AB53" s="16">
        <f>표1_3[[#This Row],[군입대]]/표1_3[[#This Row],[의대졸합격/남]]</f>
        <v>0.85899415720722527</v>
      </c>
      <c r="AC53" s="39">
        <v>2140</v>
      </c>
      <c r="AD53" s="39">
        <v>924</v>
      </c>
      <c r="AE53" s="39">
        <v>0</v>
      </c>
      <c r="AF53" s="39">
        <v>0</v>
      </c>
      <c r="AG53" s="39">
        <f t="shared" si="3"/>
        <v>144.96055351670299</v>
      </c>
      <c r="AH53" s="39">
        <f t="shared" si="4"/>
        <v>44.039446483296999</v>
      </c>
      <c r="AI53" s="72">
        <f>SUM(표1_3[[#This Row],[의대졸업/남]:[재시험자/여]])</f>
        <v>3253</v>
      </c>
      <c r="AJ53" s="74">
        <f>표1_3[[#This Row],[의사고시최초응시자수]]/표1_3[[#This Row],[응시자격자수]]</f>
        <v>1.0027666769136181</v>
      </c>
    </row>
    <row r="54" spans="1:36" ht="17.25" thickBot="1" x14ac:dyDescent="0.3">
      <c r="A54" s="1">
        <v>2002</v>
      </c>
      <c r="B54" s="9">
        <v>47644736</v>
      </c>
      <c r="C54" s="7">
        <v>78517</v>
      </c>
      <c r="D54" s="7">
        <v>64079</v>
      </c>
      <c r="E54" s="7">
        <v>14438</v>
      </c>
      <c r="F54" s="14">
        <f>표1_3[[#This Row],[의사수/남]]/표1_3[[#This Row],[의사수/계]]</f>
        <v>0.81611625507851804</v>
      </c>
      <c r="G54" s="4">
        <v>0</v>
      </c>
      <c r="H54" s="48">
        <v>3578</v>
      </c>
      <c r="I54" s="47">
        <v>264</v>
      </c>
      <c r="J54" s="49">
        <v>3314</v>
      </c>
      <c r="K54" s="1">
        <f t="shared" si="5"/>
        <v>75288</v>
      </c>
      <c r="L54" s="1">
        <f>(-5*(표1_3[[#This Row],[년도]]-1950)^2/100000)+(16*(표1_3[[#This Row],[년도]]-1950)/10000)+0.8551</f>
        <v>0.80309999999999993</v>
      </c>
      <c r="M54" s="5">
        <f>표1_3[[#This Row],[의사고시합격자수]]*(표1_3[[#This Row],[의대졸업/남]]/(표1_3[[#This Row],[의대졸업/남]]+표1_3[[#This Row],[의대졸업/여]]+표1_3[[#This Row],[의전원졸업/남]]+표1_3[[#This Row],[의전원졸업/여]]+AG54+AH54))</f>
        <v>2102.5682636388815</v>
      </c>
      <c r="N54" s="5">
        <f>표1_3[[#This Row],[의사고시합격자수]]*(표1_3[[#This Row],[의대졸업/여]]/(표1_3[[#This Row],[의대졸업/남]]+표1_3[[#This Row],[의대졸업/여]]+표1_3[[#This Row],[의전원졸업/남]]+표1_3[[#This Row],[의전원졸업/여]]+AG54+AH54))</f>
        <v>783.75962337302678</v>
      </c>
      <c r="O54" s="5">
        <f>표1_3[[#This Row],[의사고시합격자수]]*(표1_3[[#This Row],[의전원졸업/남]]/(표1_3[[#This Row],[의대졸업/남]]+표1_3[[#This Row],[의대졸업/여]]+표1_3[[#This Row],[의전원졸업/남]]+표1_3[[#This Row],[의전원졸업/여]]+AG54+AH54))</f>
        <v>0</v>
      </c>
      <c r="P54" s="5">
        <f>표1_3[[#This Row],[의사고시합격자수]]*(표1_3[[#This Row],[의전원졸업/여]]/(표1_3[[#This Row],[의대졸업/남]]+표1_3[[#This Row],[의대졸업/여]]+표1_3[[#This Row],[의전원졸업/남]]+표1_3[[#This Row],[의전원졸업/여]]+AG54+AH54))</f>
        <v>0</v>
      </c>
      <c r="Q54" s="5">
        <f>표1_3[[#This Row],[의사고시합격자수]]*(AG54/(표1_3[[#This Row],[의대졸업/남]]+표1_3[[#This Row],[의대졸업/여]]+표1_3[[#This Row],[의전원졸업/남]]+표1_3[[#This Row],[의전원졸업/여]]+AG54+AH54))</f>
        <v>300.40390655300598</v>
      </c>
      <c r="R54" s="5">
        <f>표1_3[[#This Row],[의사고시합격자수]]*(AH54/(표1_3[[#This Row],[의대졸업/남]]+표1_3[[#This Row],[의대졸업/여]]+표1_3[[#This Row],[의전원졸업/남]]+표1_3[[#This Row],[의전원졸업/여]]+AG54+AH54))</f>
        <v>127.26820643508597</v>
      </c>
      <c r="S54" s="40">
        <f>표1_3[[#This Row],[의대졸비율/남]]+표1_3[[#This Row],[의전졸비율/남]]+표1_3[[#This Row],[불합비율/남]]</f>
        <v>0.72509721490400947</v>
      </c>
      <c r="T54" s="6">
        <f t="shared" si="1"/>
        <v>0.63445029077817783</v>
      </c>
      <c r="U54" s="6">
        <f t="shared" si="2"/>
        <v>0.23649958460260315</v>
      </c>
      <c r="V54" s="6">
        <f>표1_3[[#This Row],[의전졸합격/남]]/표1_3[[#This Row],[의사고시합격자수]]</f>
        <v>0</v>
      </c>
      <c r="W54" s="6">
        <f>표1_3[[#This Row],[의전졸합격/여]]/표1_3[[#This Row],[의사고시합격자수]]</f>
        <v>0</v>
      </c>
      <c r="X54" s="6">
        <f>표1_3[[#This Row],[불합합격/남]]/표1_3[[#This Row],[의사고시합격자수]]</f>
        <v>9.0646924125831613E-2</v>
      </c>
      <c r="Y54" s="6">
        <f>표1_3[[#This Row],[불합합격/여]]/표1_3[[#This Row],[의사고시합격자수]]</f>
        <v>3.840320049338744E-2</v>
      </c>
      <c r="Z54" s="18">
        <v>1573</v>
      </c>
      <c r="AA54" s="18">
        <v>1296</v>
      </c>
      <c r="AB54" s="16">
        <f>표1_3[[#This Row],[군입대]]/표1_3[[#This Row],[의대졸합격/남]]</f>
        <v>0.74813266575118653</v>
      </c>
      <c r="AC54" s="39">
        <v>2291</v>
      </c>
      <c r="AD54" s="39">
        <v>854</v>
      </c>
      <c r="AE54" s="39">
        <v>0</v>
      </c>
      <c r="AF54" s="39">
        <v>0</v>
      </c>
      <c r="AG54" s="39">
        <f t="shared" si="3"/>
        <v>327.32604301837796</v>
      </c>
      <c r="AH54" s="39">
        <f t="shared" si="4"/>
        <v>138.67395698162204</v>
      </c>
      <c r="AI54" s="72">
        <f>SUM(표1_3[[#This Row],[의대졸업/남]:[재시험자/여]])</f>
        <v>3611</v>
      </c>
      <c r="AJ54" s="74">
        <f>표1_3[[#This Row],[의사고시최초응시자수]]/표1_3[[#This Row],[응시자격자수]]</f>
        <v>0.9908612572694544</v>
      </c>
    </row>
    <row r="55" spans="1:36" ht="17.25" thickBot="1" x14ac:dyDescent="0.3">
      <c r="A55" s="1">
        <v>2003</v>
      </c>
      <c r="B55" s="9">
        <v>47892330</v>
      </c>
      <c r="C55" s="7">
        <v>81248</v>
      </c>
      <c r="D55" s="7">
        <v>66299</v>
      </c>
      <c r="E55" s="7">
        <v>14949</v>
      </c>
      <c r="F55" s="14">
        <f>표1_3[[#This Row],[의사수/남]]/표1_3[[#This Row],[의사수/계]]</f>
        <v>0.81600777865301299</v>
      </c>
      <c r="G55" s="11">
        <v>60528</v>
      </c>
      <c r="H55" s="48">
        <v>3647</v>
      </c>
      <c r="I55" s="47">
        <v>488</v>
      </c>
      <c r="J55" s="49">
        <v>3159</v>
      </c>
      <c r="K55" s="1">
        <f t="shared" si="5"/>
        <v>78447</v>
      </c>
      <c r="L55" s="1">
        <f>(-5*(표1_3[[#This Row],[년도]]-1950)^2/100000)+(16*(표1_3[[#This Row],[년도]]-1950)/10000)+0.8551</f>
        <v>0.79944999999999999</v>
      </c>
      <c r="M55" s="5">
        <f>표1_3[[#This Row],[의사고시합격자수]]*(표1_3[[#This Row],[의대졸업/남]]/(표1_3[[#This Row],[의대졸업/남]]+표1_3[[#This Row],[의대졸업/여]]+표1_3[[#This Row],[의전원졸업/남]]+표1_3[[#This Row],[의전원졸업/여]]+AG55+AH55))</f>
        <v>2100.5005497526113</v>
      </c>
      <c r="N55" s="5">
        <f>표1_3[[#This Row],[의사고시합격자수]]*(표1_3[[#This Row],[의대졸업/여]]/(표1_3[[#This Row],[의대졸업/남]]+표1_3[[#This Row],[의대졸업/여]]+표1_3[[#This Row],[의전원졸업/남]]+표1_3[[#This Row],[의전원졸업/여]]+AG55+AH55))</f>
        <v>829.2592083562397</v>
      </c>
      <c r="O55" s="5">
        <f>표1_3[[#This Row],[의사고시합격자수]]*(표1_3[[#This Row],[의전원졸업/남]]/(표1_3[[#This Row],[의대졸업/남]]+표1_3[[#This Row],[의대졸업/여]]+표1_3[[#This Row],[의전원졸업/남]]+표1_3[[#This Row],[의전원졸업/여]]+AG55+AH55))</f>
        <v>0</v>
      </c>
      <c r="P55" s="5">
        <f>표1_3[[#This Row],[의사고시합격자수]]*(표1_3[[#This Row],[의전원졸업/여]]/(표1_3[[#This Row],[의대졸업/남]]+표1_3[[#This Row],[의대졸업/여]]+표1_3[[#This Row],[의전원졸업/남]]+표1_3[[#This Row],[의전원졸업/여]]+AG55+AH55))</f>
        <v>0</v>
      </c>
      <c r="Q55" s="5">
        <f>표1_3[[#This Row],[의사고시합격자수]]*(AG55/(표1_3[[#This Row],[의대졸업/남]]+표1_3[[#This Row],[의대졸업/여]]+표1_3[[#This Row],[의전원졸업/남]]+표1_3[[#This Row],[의전원졸업/여]]+AG55+AH55))</f>
        <v>166.22146093919358</v>
      </c>
      <c r="R55" s="5">
        <f>표1_3[[#This Row],[의사고시합격자수]]*(AH55/(표1_3[[#This Row],[의대졸업/남]]+표1_3[[#This Row],[의대졸업/여]]+표1_3[[#This Row],[의전원졸업/남]]+표1_3[[#This Row],[의전원졸업/여]]+AG55+AH55))</f>
        <v>63.018780951955421</v>
      </c>
      <c r="S55" s="40">
        <f>표1_3[[#This Row],[의대졸비율/남]]+표1_3[[#This Row],[의전졸비율/남]]+표1_3[[#This Row],[불합비율/남]]</f>
        <v>0.71754416292871315</v>
      </c>
      <c r="T55" s="6">
        <f t="shared" si="1"/>
        <v>0.6649257833974711</v>
      </c>
      <c r="U55" s="6">
        <f t="shared" si="2"/>
        <v>0.26250687190764155</v>
      </c>
      <c r="V55" s="6">
        <f>표1_3[[#This Row],[의전졸합격/남]]/표1_3[[#This Row],[의사고시합격자수]]</f>
        <v>0</v>
      </c>
      <c r="W55" s="6">
        <f>표1_3[[#This Row],[의전졸합격/여]]/표1_3[[#This Row],[의사고시합격자수]]</f>
        <v>0</v>
      </c>
      <c r="X55" s="6">
        <f>표1_3[[#This Row],[불합합격/남]]/표1_3[[#This Row],[의사고시합격자수]]</f>
        <v>5.2618379531242029E-2</v>
      </c>
      <c r="Y55" s="6">
        <f>표1_3[[#This Row],[불합합격/여]]/표1_3[[#This Row],[의사고시합격자수]]</f>
        <v>1.9948965163645273E-2</v>
      </c>
      <c r="Z55" s="18">
        <v>1537</v>
      </c>
      <c r="AA55" s="18">
        <v>1259</v>
      </c>
      <c r="AB55" s="16">
        <f>표1_3[[#This Row],[군입대]]/표1_3[[#This Row],[의대졸합격/남]]</f>
        <v>0.73173034883567245</v>
      </c>
      <c r="AC55" s="39">
        <v>2419</v>
      </c>
      <c r="AD55" s="39">
        <v>955</v>
      </c>
      <c r="AE55" s="39">
        <v>0</v>
      </c>
      <c r="AF55" s="39">
        <v>0</v>
      </c>
      <c r="AG55" s="39">
        <f t="shared" si="3"/>
        <v>191.42566473465851</v>
      </c>
      <c r="AH55" s="39">
        <f t="shared" si="4"/>
        <v>72.574335265341503</v>
      </c>
      <c r="AI55" s="72">
        <f>SUM(표1_3[[#This Row],[의대졸업/남]:[재시험자/여]])</f>
        <v>3638</v>
      </c>
      <c r="AJ55" s="74">
        <f>표1_3[[#This Row],[의사고시최초응시자수]]/표1_3[[#This Row],[응시자격자수]]</f>
        <v>1.0024738867509622</v>
      </c>
    </row>
    <row r="56" spans="1:36" ht="17.25" thickBot="1" x14ac:dyDescent="0.3">
      <c r="A56" s="1">
        <v>2004</v>
      </c>
      <c r="B56" s="9">
        <v>48082519</v>
      </c>
      <c r="C56" s="7">
        <v>81918</v>
      </c>
      <c r="D56" s="7">
        <v>66150</v>
      </c>
      <c r="E56" s="7">
        <v>15768</v>
      </c>
      <c r="F56" s="14">
        <f>표1_3[[#This Row],[의사수/남]]/표1_3[[#This Row],[의사수/계]]</f>
        <v>0.80751483190507578</v>
      </c>
      <c r="G56" s="11">
        <v>63201</v>
      </c>
      <c r="H56" s="48">
        <v>3881</v>
      </c>
      <c r="I56" s="47">
        <v>121</v>
      </c>
      <c r="J56" s="49">
        <v>3760</v>
      </c>
      <c r="K56" s="1">
        <f t="shared" si="5"/>
        <v>82207</v>
      </c>
      <c r="L56" s="1">
        <f>(-5*(표1_3[[#This Row],[년도]]-1950)^2/100000)+(16*(표1_3[[#This Row],[년도]]-1950)/10000)+0.8551</f>
        <v>0.79569999999999996</v>
      </c>
      <c r="M56" s="5">
        <f>표1_3[[#This Row],[의사고시합격자수]]*(표1_3[[#This Row],[의대졸업/남]]/(표1_3[[#This Row],[의대졸업/남]]+표1_3[[#This Row],[의대졸업/여]]+표1_3[[#This Row],[의전원졸업/남]]+표1_3[[#This Row],[의전원졸업/여]]+AG56+AH56))</f>
        <v>2313.3247489054856</v>
      </c>
      <c r="N56" s="5">
        <f>표1_3[[#This Row],[의사고시합격자수]]*(표1_3[[#This Row],[의대졸업/여]]/(표1_3[[#This Row],[의대졸업/남]]+표1_3[[#This Row],[의대졸업/여]]+표1_3[[#This Row],[의전원졸업/남]]+표1_3[[#This Row],[의전원졸업/여]]+AG56+AH56))</f>
        <v>974.13340200875598</v>
      </c>
      <c r="O56" s="5">
        <f>표1_3[[#This Row],[의사고시합격자수]]*(표1_3[[#This Row],[의전원졸업/남]]/(표1_3[[#This Row],[의대졸업/남]]+표1_3[[#This Row],[의대졸업/여]]+표1_3[[#This Row],[의전원졸업/남]]+표1_3[[#This Row],[의전원졸업/여]]+AG56+AH56))</f>
        <v>0</v>
      </c>
      <c r="P56" s="5">
        <f>표1_3[[#This Row],[의사고시합격자수]]*(표1_3[[#This Row],[의전원졸업/여]]/(표1_3[[#This Row],[의대졸업/남]]+표1_3[[#This Row],[의대졸업/여]]+표1_3[[#This Row],[의전원졸업/남]]+표1_3[[#This Row],[의전원졸업/여]]+AG56+AH56))</f>
        <v>0</v>
      </c>
      <c r="Q56" s="5">
        <f>표1_3[[#This Row],[의사고시합격자수]]*(AG56/(표1_3[[#This Row],[의대졸업/남]]+표1_3[[#This Row],[의대졸업/여]]+표1_3[[#This Row],[의전원졸업/남]]+표1_3[[#This Row],[의전원졸업/여]]+AG56+AH56))</f>
        <v>339.06964555102684</v>
      </c>
      <c r="R56" s="5">
        <f>표1_3[[#This Row],[의사고시합격자수]]*(AH56/(표1_3[[#This Row],[의대졸업/남]]+표1_3[[#This Row],[의대졸업/여]]+표1_3[[#This Row],[의전원졸업/남]]+표1_3[[#This Row],[의전원졸업/여]]+AG56+AH56))</f>
        <v>133.47220353473162</v>
      </c>
      <c r="S56" s="40">
        <f>표1_3[[#This Row],[의대졸비율/남]]+표1_3[[#This Row],[의전졸비율/남]]+표1_3[[#This Row],[불합비율/남]]</f>
        <v>0.7054240410788597</v>
      </c>
      <c r="T56" s="6">
        <f t="shared" si="1"/>
        <v>0.61524594385784193</v>
      </c>
      <c r="U56" s="6">
        <f t="shared" si="2"/>
        <v>0.25907803244913724</v>
      </c>
      <c r="V56" s="6">
        <f>표1_3[[#This Row],[의전졸합격/남]]/표1_3[[#This Row],[의사고시합격자수]]</f>
        <v>0</v>
      </c>
      <c r="W56" s="6">
        <f>표1_3[[#This Row],[의전졸합격/여]]/표1_3[[#This Row],[의사고시합격자수]]</f>
        <v>0</v>
      </c>
      <c r="X56" s="6">
        <f>표1_3[[#This Row],[불합합격/남]]/표1_3[[#This Row],[의사고시합격자수]]</f>
        <v>9.0178097221017772E-2</v>
      </c>
      <c r="Y56" s="6">
        <f>표1_3[[#This Row],[불합합격/여]]/표1_3[[#This Row],[의사고시합격자수]]</f>
        <v>3.5497926472003088E-2</v>
      </c>
      <c r="Z56" s="18">
        <v>1524</v>
      </c>
      <c r="AA56" s="18">
        <v>1580</v>
      </c>
      <c r="AB56" s="16">
        <f>표1_3[[#This Row],[군입대]]/표1_3[[#This Row],[의대졸합격/남]]</f>
        <v>0.65879207003731632</v>
      </c>
      <c r="AC56" s="39">
        <v>2389</v>
      </c>
      <c r="AD56" s="39">
        <v>1006</v>
      </c>
      <c r="AE56" s="39">
        <v>0</v>
      </c>
      <c r="AF56" s="39">
        <v>0</v>
      </c>
      <c r="AG56" s="39">
        <f t="shared" si="3"/>
        <v>350.16155150921202</v>
      </c>
      <c r="AH56" s="39">
        <f t="shared" si="4"/>
        <v>137.83844849078798</v>
      </c>
      <c r="AI56" s="72">
        <f>SUM(표1_3[[#This Row],[의대졸업/남]:[재시험자/여]])</f>
        <v>3883</v>
      </c>
      <c r="AJ56" s="74">
        <f>표1_3[[#This Row],[의사고시최초응시자수]]/표1_3[[#This Row],[응시자격자수]]</f>
        <v>0.99948493432912699</v>
      </c>
    </row>
    <row r="57" spans="1:36" ht="17.25" thickBot="1" x14ac:dyDescent="0.3">
      <c r="A57" s="1">
        <v>2005</v>
      </c>
      <c r="B57" s="9">
        <v>48184561</v>
      </c>
      <c r="C57" s="7">
        <v>85289</v>
      </c>
      <c r="D57" s="7">
        <v>68445</v>
      </c>
      <c r="E57" s="7">
        <v>16844</v>
      </c>
      <c r="F57" s="14">
        <f>표1_3[[#This Row],[의사수/남]]/표1_3[[#This Row],[의사수/계]]</f>
        <v>0.80250677109592095</v>
      </c>
      <c r="G57" s="1">
        <v>65534</v>
      </c>
      <c r="H57" s="48">
        <v>3618</v>
      </c>
      <c r="I57" s="47">
        <v>246</v>
      </c>
      <c r="J57" s="49">
        <v>3372</v>
      </c>
      <c r="K57" s="1">
        <f t="shared" si="5"/>
        <v>85579</v>
      </c>
      <c r="L57" s="1">
        <f>(-5*(표1_3[[#This Row],[년도]]-1950)^2/100000)+(16*(표1_3[[#This Row],[년도]]-1950)/10000)+0.8551</f>
        <v>0.79184999999999994</v>
      </c>
      <c r="M57" s="5">
        <f>표1_3[[#This Row],[의사고시합격자수]]*(표1_3[[#This Row],[의대졸업/남]]/(표1_3[[#This Row],[의대졸업/남]]+표1_3[[#This Row],[의대졸업/여]]+표1_3[[#This Row],[의전원졸업/남]]+표1_3[[#This Row],[의전원졸업/여]]+AG57+AH57))</f>
        <v>2260.454293628809</v>
      </c>
      <c r="N57" s="5">
        <f>표1_3[[#This Row],[의사고시합격자수]]*(표1_3[[#This Row],[의대졸업/여]]/(표1_3[[#This Row],[의대졸업/남]]+표1_3[[#This Row],[의대졸업/여]]+표1_3[[#This Row],[의전원졸업/남]]+표1_3[[#This Row],[의전원졸업/여]]+AG57+AH57))</f>
        <v>998.52299168975071</v>
      </c>
      <c r="O57" s="5">
        <f>표1_3[[#This Row],[의사고시합격자수]]*(표1_3[[#This Row],[의전원졸업/남]]/(표1_3[[#This Row],[의대졸업/남]]+표1_3[[#This Row],[의대졸업/여]]+표1_3[[#This Row],[의전원졸업/남]]+표1_3[[#This Row],[의전원졸업/여]]+AG57+AH57))</f>
        <v>0</v>
      </c>
      <c r="P57" s="5">
        <f>표1_3[[#This Row],[의사고시합격자수]]*(표1_3[[#This Row],[의전원졸업/여]]/(표1_3[[#This Row],[의대졸업/남]]+표1_3[[#This Row],[의대졸업/여]]+표1_3[[#This Row],[의전원졸업/남]]+표1_3[[#This Row],[의전원졸업/여]]+AG57+AH57))</f>
        <v>0</v>
      </c>
      <c r="Q57" s="5">
        <f>표1_3[[#This Row],[의사고시합격자수]]*(AG57/(표1_3[[#This Row],[의대졸업/남]]+표1_3[[#This Row],[의대졸업/여]]+표1_3[[#This Row],[의전원졸업/남]]+표1_3[[#This Row],[의전원졸업/여]]+AG57+AH57))</f>
        <v>79.728940124284676</v>
      </c>
      <c r="R57" s="5">
        <f>표1_3[[#This Row],[의사고시합격자수]]*(AH57/(표1_3[[#This Row],[의대졸업/남]]+표1_3[[#This Row],[의대졸업/여]]+표1_3[[#This Row],[의전원졸업/남]]+표1_3[[#This Row],[의전원졸업/여]]+AG57+AH57))</f>
        <v>33.293774557155757</v>
      </c>
      <c r="S57" s="40">
        <f>표1_3[[#This Row],[의대졸비율/남]]+표1_3[[#This Row],[의전졸비율/남]]+표1_3[[#This Row],[불합비율/남]]</f>
        <v>0.69400451772037175</v>
      </c>
      <c r="T57" s="6">
        <f t="shared" si="1"/>
        <v>0.67036011080332414</v>
      </c>
      <c r="U57" s="6">
        <f t="shared" si="2"/>
        <v>0.29612188365650971</v>
      </c>
      <c r="V57" s="6">
        <f>표1_3[[#This Row],[의전졸합격/남]]/표1_3[[#This Row],[의사고시합격자수]]</f>
        <v>0</v>
      </c>
      <c r="W57" s="6">
        <f>표1_3[[#This Row],[의전졸합격/여]]/표1_3[[#This Row],[의사고시합격자수]]</f>
        <v>0</v>
      </c>
      <c r="X57" s="6">
        <f>표1_3[[#This Row],[불합합격/남]]/표1_3[[#This Row],[의사고시합격자수]]</f>
        <v>2.3644406917047649E-2</v>
      </c>
      <c r="Y57" s="6">
        <f>표1_3[[#This Row],[불합합격/여]]/표1_3[[#This Row],[의사고시합격자수]]</f>
        <v>9.8735986231185523E-3</v>
      </c>
      <c r="Z57" s="18">
        <v>1492</v>
      </c>
      <c r="AA57" s="18">
        <v>1573</v>
      </c>
      <c r="AB57" s="16">
        <f>표1_3[[#This Row],[군입대]]/표1_3[[#This Row],[의대졸합격/남]]</f>
        <v>0.66004431242218364</v>
      </c>
      <c r="AC57" s="39">
        <v>2420</v>
      </c>
      <c r="AD57" s="39">
        <v>1069</v>
      </c>
      <c r="AE57" s="39">
        <v>0</v>
      </c>
      <c r="AF57" s="39">
        <v>0</v>
      </c>
      <c r="AG57" s="39">
        <f t="shared" si="3"/>
        <v>85.356308970542017</v>
      </c>
      <c r="AH57" s="39">
        <f t="shared" si="4"/>
        <v>35.643691029457976</v>
      </c>
      <c r="AI57" s="72">
        <f>SUM(표1_3[[#This Row],[의대졸업/남]:[재시험자/여]])</f>
        <v>3610</v>
      </c>
      <c r="AJ57" s="74">
        <f>표1_3[[#This Row],[의사고시최초응시자수]]/표1_3[[#This Row],[응시자격자수]]</f>
        <v>1.0022160664819943</v>
      </c>
    </row>
    <row r="58" spans="1:36" ht="17.25" thickBot="1" x14ac:dyDescent="0.3">
      <c r="A58" s="1">
        <v>2006</v>
      </c>
      <c r="B58" s="9">
        <v>48438292</v>
      </c>
      <c r="C58" s="7">
        <v>88139</v>
      </c>
      <c r="D58" s="7">
        <v>70074</v>
      </c>
      <c r="E58" s="7">
        <v>18065</v>
      </c>
      <c r="F58" s="14">
        <f>표1_3[[#This Row],[의사수/남]]/표1_3[[#This Row],[의사수/계]]</f>
        <v>0.79503965327494075</v>
      </c>
      <c r="G58" s="11">
        <v>68143</v>
      </c>
      <c r="H58" s="48">
        <v>3743</v>
      </c>
      <c r="I58" s="47">
        <v>254</v>
      </c>
      <c r="J58" s="49">
        <v>3489</v>
      </c>
      <c r="K58" s="1">
        <f t="shared" si="5"/>
        <v>89068</v>
      </c>
      <c r="L58" s="1">
        <f>(-5*(표1_3[[#This Row],[년도]]-1950)^2/100000)+(16*(표1_3[[#This Row],[년도]]-1950)/10000)+0.8551</f>
        <v>0.78789999999999993</v>
      </c>
      <c r="M58" s="5">
        <f>표1_3[[#This Row],[의사고시합격자수]]*(표1_3[[#This Row],[의대졸업/남]]/(표1_3[[#This Row],[의대졸업/남]]+표1_3[[#This Row],[의대졸업/여]]+표1_3[[#This Row],[의전원졸업/남]]+표1_3[[#This Row],[의전원졸업/여]]+AG58+AH58))</f>
        <v>2034.4754928076718</v>
      </c>
      <c r="N58" s="5">
        <f>표1_3[[#This Row],[의사고시합격자수]]*(표1_3[[#This Row],[의대졸업/여]]/(표1_3[[#This Row],[의대졸업/남]]+표1_3[[#This Row],[의대졸업/여]]+표1_3[[#This Row],[의전원졸업/남]]+표1_3[[#This Row],[의전원졸업/여]]+AG58+AH58))</f>
        <v>1225.8899840170484</v>
      </c>
      <c r="O58" s="5">
        <f>표1_3[[#This Row],[의사고시합격자수]]*(표1_3[[#This Row],[의전원졸업/남]]/(표1_3[[#This Row],[의대졸업/남]]+표1_3[[#This Row],[의대졸업/여]]+표1_3[[#This Row],[의전원졸업/남]]+표1_3[[#This Row],[의전원졸업/여]]+AG58+AH58))</f>
        <v>0</v>
      </c>
      <c r="P58" s="5">
        <f>표1_3[[#This Row],[의사고시합격자수]]*(표1_3[[#This Row],[의전원졸업/여]]/(표1_3[[#This Row],[의대졸업/남]]+표1_3[[#This Row],[의대졸업/여]]+표1_3[[#This Row],[의전원졸업/남]]+표1_3[[#This Row],[의전원졸업/여]]+AG58+AH58))</f>
        <v>0</v>
      </c>
      <c r="Q58" s="5">
        <f>표1_3[[#This Row],[의사고시합격자수]]*(AG58/(표1_3[[#This Row],[의대졸업/남]]+표1_3[[#This Row],[의대졸업/여]]+표1_3[[#This Row],[의전원졸업/남]]+표1_3[[#This Row],[의전원졸업/여]]+AG58+AH58))</f>
        <v>158.67339199048715</v>
      </c>
      <c r="R58" s="5">
        <f>표1_3[[#This Row],[의사고시합격자수]]*(AH58/(표1_3[[#This Row],[의대졸업/남]]+표1_3[[#This Row],[의대졸업/여]]+표1_3[[#This Row],[의전원졸업/남]]+표1_3[[#This Row],[의전원졸업/여]]+AG58+AH58))</f>
        <v>69.961131184792549</v>
      </c>
      <c r="S58" s="40">
        <f>표1_3[[#This Row],[의대졸비율/남]]+표1_3[[#This Row],[의전졸비율/남]]+표1_3[[#This Row],[불합비율/남]]</f>
        <v>0.62858953419265085</v>
      </c>
      <c r="T58" s="6">
        <f t="shared" si="1"/>
        <v>0.58311134789557806</v>
      </c>
      <c r="U58" s="6">
        <f t="shared" si="2"/>
        <v>0.35135855087906231</v>
      </c>
      <c r="V58" s="6">
        <f>표1_3[[#This Row],[의전졸합격/남]]/표1_3[[#This Row],[의사고시합격자수]]</f>
        <v>0</v>
      </c>
      <c r="W58" s="6">
        <f>표1_3[[#This Row],[의전졸합격/여]]/표1_3[[#This Row],[의사고시합격자수]]</f>
        <v>0</v>
      </c>
      <c r="X58" s="6">
        <f>표1_3[[#This Row],[불합합격/남]]/표1_3[[#This Row],[의사고시합격자수]]</f>
        <v>4.5478186297072842E-2</v>
      </c>
      <c r="Y58" s="6">
        <f>표1_3[[#This Row],[불합합격/여]]/표1_3[[#This Row],[의사고시합격자수]]</f>
        <v>2.0051914928286771E-2</v>
      </c>
      <c r="Z58" s="18">
        <v>1417</v>
      </c>
      <c r="AA58" s="18">
        <v>1537</v>
      </c>
      <c r="AB58" s="16">
        <f>표1_3[[#This Row],[군입대]]/표1_3[[#This Row],[의대졸합격/남]]</f>
        <v>0.69649401283496093</v>
      </c>
      <c r="AC58" s="39">
        <v>2189</v>
      </c>
      <c r="AD58" s="39">
        <v>1319</v>
      </c>
      <c r="AE58" s="39">
        <v>0</v>
      </c>
      <c r="AF58" s="39">
        <v>0</v>
      </c>
      <c r="AG58" s="39">
        <f t="shared" si="3"/>
        <v>170.72511135921144</v>
      </c>
      <c r="AH58" s="39">
        <f t="shared" si="4"/>
        <v>75.274888640788546</v>
      </c>
      <c r="AI58" s="72">
        <f>SUM(표1_3[[#This Row],[의대졸업/남]:[재시험자/여]])</f>
        <v>3754</v>
      </c>
      <c r="AJ58" s="74">
        <f>표1_3[[#This Row],[의사고시최초응시자수]]/표1_3[[#This Row],[응시자격자수]]</f>
        <v>0.99706979222163028</v>
      </c>
    </row>
    <row r="59" spans="1:36" ht="17.25" thickBot="1" x14ac:dyDescent="0.3">
      <c r="A59" s="1">
        <v>2007</v>
      </c>
      <c r="B59" s="9">
        <v>48683638</v>
      </c>
      <c r="C59" s="7">
        <v>91400</v>
      </c>
      <c r="D59" s="7">
        <v>72147</v>
      </c>
      <c r="E59" s="7">
        <v>19253</v>
      </c>
      <c r="F59" s="14">
        <f>표1_3[[#This Row],[의사수/남]]/표1_3[[#This Row],[의사수/계]]</f>
        <v>0.78935448577680523</v>
      </c>
      <c r="G59" s="11">
        <v>70355</v>
      </c>
      <c r="H59" s="48">
        <v>3735</v>
      </c>
      <c r="I59" s="47">
        <v>430</v>
      </c>
      <c r="J59" s="49">
        <v>3305</v>
      </c>
      <c r="K59" s="1">
        <f t="shared" si="5"/>
        <v>92373</v>
      </c>
      <c r="L59" s="1">
        <f>(-5*(표1_3[[#This Row],[년도]]-1950)^2/100000)+(16*(표1_3[[#This Row],[년도]]-1950)/10000)+0.8551</f>
        <v>0.78384999999999994</v>
      </c>
      <c r="M59" s="5">
        <f>표1_3[[#This Row],[의사고시합격자수]]*(표1_3[[#This Row],[의대졸업/남]]/(표1_3[[#This Row],[의대졸업/남]]+표1_3[[#This Row],[의대졸업/여]]+표1_3[[#This Row],[의전원졸업/남]]+표1_3[[#This Row],[의전원졸업/여]]+AG59+AH59))</f>
        <v>1984.2368350708368</v>
      </c>
      <c r="N59" s="5">
        <f>표1_3[[#This Row],[의사고시합격자수]]*(표1_3[[#This Row],[의대졸업/여]]/(표1_3[[#This Row],[의대졸업/남]]+표1_3[[#This Row],[의대졸업/여]]+표1_3[[#This Row],[의전원졸업/남]]+표1_3[[#This Row],[의전원졸업/여]]+AG59+AH59))</f>
        <v>1096.3659449345098</v>
      </c>
      <c r="O59" s="5">
        <f>표1_3[[#This Row],[의사고시합격자수]]*(표1_3[[#This Row],[의전원졸업/남]]/(표1_3[[#This Row],[의대졸업/남]]+표1_3[[#This Row],[의대졸업/여]]+표1_3[[#This Row],[의전원졸업/남]]+표1_3[[#This Row],[의전원졸업/여]]+AG59+AH59))</f>
        <v>0</v>
      </c>
      <c r="P59" s="5">
        <f>표1_3[[#This Row],[의사고시합격자수]]*(표1_3[[#This Row],[의전원졸업/여]]/(표1_3[[#This Row],[의대졸업/남]]+표1_3[[#This Row],[의대졸업/여]]+표1_3[[#This Row],[의전원졸업/남]]+표1_3[[#This Row],[의전원졸업/여]]+AG59+AH59))</f>
        <v>0</v>
      </c>
      <c r="Q59" s="5">
        <f>표1_3[[#This Row],[의사고시합격자수]]*(AG59/(표1_3[[#This Row],[의대졸업/남]]+표1_3[[#This Row],[의대졸업/여]]+표1_3[[#This Row],[의전원졸업/남]]+표1_3[[#This Row],[의전원졸업/여]]+AG59+AH59))</f>
        <v>141.05374399056527</v>
      </c>
      <c r="R59" s="5">
        <f>표1_3[[#This Row],[의사고시합격자수]]*(AH59/(표1_3[[#This Row],[의대졸업/남]]+표1_3[[#This Row],[의대졸업/여]]+표1_3[[#This Row],[의전원졸업/남]]+표1_3[[#This Row],[의전원졸업/여]]+AG59+AH59))</f>
        <v>83.3434760040886</v>
      </c>
      <c r="S59" s="40">
        <f>표1_3[[#This Row],[의대졸비율/남]]+표1_3[[#This Row],[의전졸비율/남]]+표1_3[[#This Row],[불합비율/남]]</f>
        <v>0.64305312528332892</v>
      </c>
      <c r="T59" s="6">
        <f t="shared" si="1"/>
        <v>0.60037423148890678</v>
      </c>
      <c r="U59" s="6">
        <f t="shared" si="2"/>
        <v>0.33172948409516184</v>
      </c>
      <c r="V59" s="6">
        <f>표1_3[[#This Row],[의전졸합격/남]]/표1_3[[#This Row],[의사고시합격자수]]</f>
        <v>0</v>
      </c>
      <c r="W59" s="6">
        <f>표1_3[[#This Row],[의전졸합격/여]]/표1_3[[#This Row],[의사고시합격자수]]</f>
        <v>0</v>
      </c>
      <c r="X59" s="6">
        <f>표1_3[[#This Row],[불합합격/남]]/표1_3[[#This Row],[의사고시합격자수]]</f>
        <v>4.2678893794422169E-2</v>
      </c>
      <c r="Y59" s="6">
        <f>표1_3[[#This Row],[불합합격/여]]/표1_3[[#This Row],[의사고시합격자수]]</f>
        <v>2.5217390621509409E-2</v>
      </c>
      <c r="Z59" s="18">
        <v>1487</v>
      </c>
      <c r="AA59" s="18">
        <v>1524</v>
      </c>
      <c r="AB59" s="16">
        <f>표1_3[[#This Row],[군입대]]/표1_3[[#This Row],[의대졸합격/남]]</f>
        <v>0.74940650920176799</v>
      </c>
      <c r="AC59" s="39">
        <v>2246</v>
      </c>
      <c r="AD59" s="39">
        <v>1241</v>
      </c>
      <c r="AE59" s="39">
        <v>0</v>
      </c>
      <c r="AF59" s="39">
        <v>0</v>
      </c>
      <c r="AG59" s="39">
        <f t="shared" si="3"/>
        <v>159.6617416849333</v>
      </c>
      <c r="AH59" s="39">
        <f t="shared" si="4"/>
        <v>94.338258315066682</v>
      </c>
      <c r="AI59" s="72">
        <f>SUM(표1_3[[#This Row],[의대졸업/남]:[재시험자/여]])</f>
        <v>3740.9999999999995</v>
      </c>
      <c r="AJ59" s="74">
        <f>표1_3[[#This Row],[의사고시최초응시자수]]/표1_3[[#This Row],[응시자격자수]]</f>
        <v>0.99839615076182853</v>
      </c>
    </row>
    <row r="60" spans="1:36" ht="17.25" thickBot="1" x14ac:dyDescent="0.3">
      <c r="A60" s="1">
        <v>2008</v>
      </c>
      <c r="B60" s="9">
        <v>49054708</v>
      </c>
      <c r="C60" s="7">
        <v>95014</v>
      </c>
      <c r="D60" s="7">
        <v>74491</v>
      </c>
      <c r="E60" s="7">
        <v>20523</v>
      </c>
      <c r="F60" s="14">
        <f>표1_3[[#This Row],[의사수/남]]/표1_3[[#This Row],[의사수/계]]</f>
        <v>0.78400025259435446</v>
      </c>
      <c r="G60" s="11">
        <v>75714</v>
      </c>
      <c r="H60" s="48">
        <v>4028</v>
      </c>
      <c r="I60" s="47">
        <v>141</v>
      </c>
      <c r="J60" s="49">
        <v>3887</v>
      </c>
      <c r="K60" s="1">
        <f t="shared" si="5"/>
        <v>96260</v>
      </c>
      <c r="L60" s="1">
        <f>(-5*(표1_3[[#This Row],[년도]]-1950)^2/100000)+(16*(표1_3[[#This Row],[년도]]-1950)/10000)+0.8551</f>
        <v>0.77969999999999995</v>
      </c>
      <c r="M60" s="5">
        <f>표1_3[[#This Row],[의사고시합격자수]]*(표1_3[[#This Row],[의대졸업/남]]/(표1_3[[#This Row],[의대졸업/남]]+표1_3[[#This Row],[의대졸업/여]]+표1_3[[#This Row],[의전원졸업/남]]+표1_3[[#This Row],[의전원졸업/여]]+AG60+AH60))</f>
        <v>2283.4075911684445</v>
      </c>
      <c r="N60" s="5">
        <f>표1_3[[#This Row],[의사고시합격자수]]*(표1_3[[#This Row],[의대졸업/여]]/(표1_3[[#This Row],[의대졸업/남]]+표1_3[[#This Row],[의대졸업/여]]+표1_3[[#This Row],[의전원졸업/남]]+표1_3[[#This Row],[의전원졸업/여]]+AG60+AH60))</f>
        <v>1188.9533614487721</v>
      </c>
      <c r="O60" s="5">
        <f>표1_3[[#This Row],[의사고시합격자수]]*(표1_3[[#This Row],[의전원졸업/남]]/(표1_3[[#This Row],[의대졸업/남]]+표1_3[[#This Row],[의대졸업/여]]+표1_3[[#This Row],[의전원졸업/남]]+표1_3[[#This Row],[의전원졸업/여]]+AG60+AH60))</f>
        <v>0</v>
      </c>
      <c r="P60" s="5">
        <f>표1_3[[#This Row],[의사고시합격자수]]*(표1_3[[#This Row],[의전원졸업/여]]/(표1_3[[#This Row],[의대졸업/남]]+표1_3[[#This Row],[의대졸업/여]]+표1_3[[#This Row],[의전원졸업/남]]+표1_3[[#This Row],[의전원졸업/여]]+AG60+AH60))</f>
        <v>0</v>
      </c>
      <c r="Q60" s="5">
        <f>표1_3[[#This Row],[의사고시합격자수]]*(AG60/(표1_3[[#This Row],[의대졸업/남]]+표1_3[[#This Row],[의대졸업/여]]+표1_3[[#This Row],[의전원졸업/남]]+표1_3[[#This Row],[의전원졸업/여]]+AG60+AH60))</f>
        <v>266.63493528400119</v>
      </c>
      <c r="R60" s="5">
        <f>표1_3[[#This Row],[의사고시합격자수]]*(AH60/(표1_3[[#This Row],[의대졸업/남]]+표1_3[[#This Row],[의대졸업/여]]+표1_3[[#This Row],[의전원졸업/남]]+표1_3[[#This Row],[의전원졸업/여]]+AG60+AH60))</f>
        <v>148.00411209878226</v>
      </c>
      <c r="S60" s="40">
        <f>표1_3[[#This Row],[의대졸비율/남]]+표1_3[[#This Row],[의전졸비율/남]]+표1_3[[#This Row],[불합비율/남]]</f>
        <v>0.65604387096795613</v>
      </c>
      <c r="T60" s="6">
        <f t="shared" si="1"/>
        <v>0.58744728355246834</v>
      </c>
      <c r="U60" s="6">
        <f t="shared" si="2"/>
        <v>0.30587943438352766</v>
      </c>
      <c r="V60" s="6">
        <f>표1_3[[#This Row],[의전졸합격/남]]/표1_3[[#This Row],[의사고시합격자수]]</f>
        <v>0</v>
      </c>
      <c r="W60" s="6">
        <f>표1_3[[#This Row],[의전졸합격/여]]/표1_3[[#This Row],[의사고시합격자수]]</f>
        <v>0</v>
      </c>
      <c r="X60" s="6">
        <f>표1_3[[#This Row],[불합합격/남]]/표1_3[[#This Row],[의사고시합격자수]]</f>
        <v>6.8596587415487825E-2</v>
      </c>
      <c r="Y60" s="6">
        <f>표1_3[[#This Row],[불합합격/여]]/표1_3[[#This Row],[의사고시합격자수]]</f>
        <v>3.8076694648516145E-2</v>
      </c>
      <c r="Z60" s="18">
        <v>1451</v>
      </c>
      <c r="AA60" s="18">
        <v>1492</v>
      </c>
      <c r="AB60" s="16">
        <f>표1_3[[#This Row],[군입대]]/표1_3[[#This Row],[의대졸합격/남]]</f>
        <v>0.63545378653029161</v>
      </c>
      <c r="AC60" s="39">
        <v>2368</v>
      </c>
      <c r="AD60" s="39">
        <v>1233</v>
      </c>
      <c r="AE60" s="39">
        <v>0</v>
      </c>
      <c r="AF60" s="39">
        <v>0</v>
      </c>
      <c r="AG60" s="39">
        <f t="shared" si="3"/>
        <v>276.51284387183142</v>
      </c>
      <c r="AH60" s="39">
        <f t="shared" si="4"/>
        <v>153.48715612816858</v>
      </c>
      <c r="AI60" s="72">
        <f>SUM(표1_3[[#This Row],[의대졸업/남]:[재시험자/여]])</f>
        <v>4031</v>
      </c>
      <c r="AJ60" s="74">
        <f>표1_3[[#This Row],[의사고시최초응시자수]]/표1_3[[#This Row],[응시자격자수]]</f>
        <v>0.9992557677995535</v>
      </c>
    </row>
    <row r="61" spans="1:36" ht="17.25" thickBot="1" x14ac:dyDescent="0.3">
      <c r="A61" s="1">
        <v>2009</v>
      </c>
      <c r="B61" s="9">
        <v>49307835</v>
      </c>
      <c r="C61" s="7">
        <v>98360</v>
      </c>
      <c r="D61" s="7">
        <v>76550</v>
      </c>
      <c r="E61" s="7">
        <v>21810</v>
      </c>
      <c r="F61" s="14">
        <f>표1_3[[#This Row],[의사수/남]]/표1_3[[#This Row],[의사수/계]]</f>
        <v>0.77826352175681168</v>
      </c>
      <c r="G61" s="11">
        <v>79046</v>
      </c>
      <c r="H61" s="48">
        <v>3750</v>
      </c>
      <c r="I61" s="47">
        <v>240</v>
      </c>
      <c r="J61" s="49">
        <v>3510</v>
      </c>
      <c r="K61" s="1">
        <f t="shared" si="5"/>
        <v>99770</v>
      </c>
      <c r="L61" s="1">
        <f>(-5*(표1_3[[#This Row],[년도]]-1950)^2/100000)+(16*(표1_3[[#This Row],[년도]]-1950)/10000)+0.8551</f>
        <v>0.77544999999999997</v>
      </c>
      <c r="M61" s="5">
        <f>표1_3[[#This Row],[의사고시합격자수]]*(표1_3[[#This Row],[의대졸업/남]]/(표1_3[[#This Row],[의대졸업/남]]+표1_3[[#This Row],[의대졸업/여]]+표1_3[[#This Row],[의전원졸업/남]]+표1_3[[#This Row],[의전원졸업/여]]+AG61+AH61))</f>
        <v>2083.6254980079684</v>
      </c>
      <c r="N61" s="5">
        <f>표1_3[[#This Row],[의사고시합격자수]]*(표1_3[[#This Row],[의대졸업/여]]/(표1_3[[#This Row],[의대졸업/남]]+표1_3[[#This Row],[의대졸업/여]]+표1_3[[#This Row],[의전원졸업/남]]+표1_3[[#This Row],[의전원졸업/여]]+AG61+AH61))</f>
        <v>1146.6932270916334</v>
      </c>
      <c r="O61" s="5">
        <f>표1_3[[#This Row],[의사고시합격자수]]*(표1_3[[#This Row],[의전원졸업/남]]/(표1_3[[#This Row],[의대졸업/남]]+표1_3[[#This Row],[의대졸업/여]]+표1_3[[#This Row],[의전원졸업/남]]+표1_3[[#This Row],[의전원졸업/여]]+AG61+AH61))</f>
        <v>58.733067729083665</v>
      </c>
      <c r="P61" s="5">
        <f>표1_3[[#This Row],[의사고시합격자수]]*(표1_3[[#This Row],[의전원졸업/여]]/(표1_3[[#This Row],[의대졸업/남]]+표1_3[[#This Row],[의대졸업/여]]+표1_3[[#This Row],[의전원졸업/남]]+표1_3[[#This Row],[의전원졸업/여]]+AG61+AH61))</f>
        <v>89.498007968127496</v>
      </c>
      <c r="Q61" s="5">
        <f>표1_3[[#This Row],[의사고시합격자수]]*(AG61/(표1_3[[#This Row],[의대졸업/남]]+표1_3[[#This Row],[의대졸업/여]]+표1_3[[#This Row],[의전원졸업/남]]+표1_3[[#This Row],[의전원졸업/여]]+AG61+AH61))</f>
        <v>86.237097524767904</v>
      </c>
      <c r="R61" s="5">
        <f>표1_3[[#This Row],[의사고시합격자수]]*(AH61/(표1_3[[#This Row],[의대졸업/남]]+표1_3[[#This Row],[의대졸업/여]]+표1_3[[#This Row],[의전원졸업/남]]+표1_3[[#This Row],[의전원졸업/여]]+AG61+AH61))</f>
        <v>45.213101678419342</v>
      </c>
      <c r="S61" s="40">
        <f>표1_3[[#This Row],[의대졸비율/남]]+표1_3[[#This Row],[의전졸비율/남]]+표1_3[[#This Row],[불합비율/남]]</f>
        <v>0.63492753939083191</v>
      </c>
      <c r="T61" s="6">
        <f t="shared" si="1"/>
        <v>0.59362549800796816</v>
      </c>
      <c r="U61" s="6">
        <f t="shared" si="2"/>
        <v>0.32669322709163345</v>
      </c>
      <c r="V61" s="6">
        <f>표1_3[[#This Row],[의전졸합격/남]]/표1_3[[#This Row],[의사고시합격자수]]</f>
        <v>1.6733067729083666E-2</v>
      </c>
      <c r="W61" s="6">
        <f>표1_3[[#This Row],[의전졸합격/여]]/표1_3[[#This Row],[의사고시합격자수]]</f>
        <v>2.5498007968127491E-2</v>
      </c>
      <c r="X61" s="6">
        <f>표1_3[[#This Row],[불합합격/남]]/표1_3[[#This Row],[의사고시합격자수]]</f>
        <v>2.4568973653780031E-2</v>
      </c>
      <c r="Y61" s="6">
        <f>표1_3[[#This Row],[불합합격/여]]/표1_3[[#This Row],[의사고시합격자수]]</f>
        <v>1.2881225549407221E-2</v>
      </c>
      <c r="Z61" s="18">
        <v>1559</v>
      </c>
      <c r="AA61" s="18">
        <v>1417</v>
      </c>
      <c r="AB61" s="16">
        <f>표1_3[[#This Row],[군입대]]/표1_3[[#This Row],[의대졸합격/남]]</f>
        <v>0.74821507103386287</v>
      </c>
      <c r="AC61" s="39">
        <v>2235</v>
      </c>
      <c r="AD61" s="39">
        <v>1230</v>
      </c>
      <c r="AE61" s="39">
        <v>63</v>
      </c>
      <c r="AF61" s="39">
        <v>96</v>
      </c>
      <c r="AG61" s="39">
        <f t="shared" si="3"/>
        <v>92.502185806481819</v>
      </c>
      <c r="AH61" s="39">
        <f t="shared" si="4"/>
        <v>48.497814193518188</v>
      </c>
      <c r="AI61" s="72">
        <f>SUM(표1_3[[#This Row],[의대졸업/남]:[재시험자/여]])</f>
        <v>3765</v>
      </c>
      <c r="AJ61" s="74">
        <f>표1_3[[#This Row],[의사고시최초응시자수]]/표1_3[[#This Row],[응시자격자수]]</f>
        <v>0.99601593625498008</v>
      </c>
    </row>
    <row r="62" spans="1:36" ht="17.25" thickBot="1" x14ac:dyDescent="0.3">
      <c r="A62" s="1">
        <v>2010</v>
      </c>
      <c r="B62" s="9">
        <v>49554112</v>
      </c>
      <c r="C62" s="7">
        <v>101371</v>
      </c>
      <c r="D62" s="7">
        <v>78433</v>
      </c>
      <c r="E62" s="7">
        <v>22938</v>
      </c>
      <c r="F62" s="14">
        <f>표1_3[[#This Row],[의사수/남]]/표1_3[[#This Row],[의사수/계]]</f>
        <v>0.77372226770969998</v>
      </c>
      <c r="G62" s="11">
        <v>82137</v>
      </c>
      <c r="H62" s="48">
        <v>3469</v>
      </c>
      <c r="I62" s="47">
        <v>245</v>
      </c>
      <c r="J62" s="49">
        <v>3224</v>
      </c>
      <c r="K62" s="1">
        <f t="shared" si="5"/>
        <v>102994</v>
      </c>
      <c r="L62" s="1">
        <f>(-5*(표1_3[[#This Row],[년도]]-1950)^2/100000)+(16*(표1_3[[#This Row],[년도]]-1950)/10000)+0.8551</f>
        <v>0.77110000000000001</v>
      </c>
      <c r="M62" s="5">
        <f>표1_3[[#This Row],[의사고시합격자수]]*(표1_3[[#This Row],[의대졸업/남]]/(표1_3[[#This Row],[의대졸업/남]]+표1_3[[#This Row],[의대졸업/여]]+표1_3[[#This Row],[의전원졸업/남]]+표1_3[[#This Row],[의전원졸업/여]]+AG62+AH62))</f>
        <v>1674.0702151755379</v>
      </c>
      <c r="N62" s="5">
        <f>표1_3[[#This Row],[의사고시합격자수]]*(표1_3[[#This Row],[의대졸업/여]]/(표1_3[[#This Row],[의대졸업/남]]+표1_3[[#This Row],[의대졸업/여]]+표1_3[[#This Row],[의전원졸업/남]]+표1_3[[#This Row],[의전원졸업/여]]+AG62+AH62))</f>
        <v>779.52887882219704</v>
      </c>
      <c r="O62" s="5">
        <f>표1_3[[#This Row],[의사고시합격자수]]*(표1_3[[#This Row],[의전원졸업/남]]/(표1_3[[#This Row],[의대졸업/남]]+표1_3[[#This Row],[의대졸업/여]]+표1_3[[#This Row],[의전원졸업/남]]+표1_3[[#This Row],[의전원졸업/여]]+AG62+AH62))</f>
        <v>245.54246885617215</v>
      </c>
      <c r="P62" s="5">
        <f>표1_3[[#This Row],[의사고시합격자수]]*(표1_3[[#This Row],[의전원졸업/여]]/(표1_3[[#This Row],[의대졸업/남]]+표1_3[[#This Row],[의대졸업/여]]+표1_3[[#This Row],[의전원졸업/남]]+표1_3[[#This Row],[의전원졸업/여]]+AG62+AH62))</f>
        <v>305.78708946772366</v>
      </c>
      <c r="Q62" s="5">
        <f>표1_3[[#This Row],[의사고시합격자수]]*(AG62/(표1_3[[#This Row],[의대졸업/남]]+표1_3[[#This Row],[의대졸업/여]]+표1_3[[#This Row],[의전원졸업/남]]+표1_3[[#This Row],[의전원졸업/여]]+AG62+AH62))</f>
        <v>139.09443173246041</v>
      </c>
      <c r="R62" s="5">
        <f>표1_3[[#This Row],[의사고시합격자수]]*(AH62/(표1_3[[#This Row],[의대졸업/남]]+표1_3[[#This Row],[의대졸업/여]]+표1_3[[#This Row],[의전원졸업/남]]+표1_3[[#This Row],[의전원졸업/여]]+AG62+AH62))</f>
        <v>79.9769159459088</v>
      </c>
      <c r="S62" s="40">
        <f>표1_3[[#This Row],[의대졸비율/남]]+표1_3[[#This Row],[의전졸비율/남]]+표1_3[[#This Row],[불합비율/남]]</f>
        <v>0.6385567976936013</v>
      </c>
      <c r="T62" s="6">
        <f t="shared" si="1"/>
        <v>0.51925254813137034</v>
      </c>
      <c r="U62" s="6">
        <f t="shared" si="2"/>
        <v>0.24178935447338618</v>
      </c>
      <c r="V62" s="6">
        <f>표1_3[[#This Row],[의전졸합격/남]]/표1_3[[#This Row],[의사고시합격자수]]</f>
        <v>7.6160815402038506E-2</v>
      </c>
      <c r="W62" s="6">
        <f>표1_3[[#This Row],[의전졸합격/여]]/표1_3[[#This Row],[의사고시합격자수]]</f>
        <v>9.4847112117780297E-2</v>
      </c>
      <c r="X62" s="6">
        <f>표1_3[[#This Row],[불합합격/남]]/표1_3[[#This Row],[의사고시합격자수]]</f>
        <v>4.3143434160192437E-2</v>
      </c>
      <c r="Y62" s="6">
        <f>표1_3[[#This Row],[불합합격/여]]/표1_3[[#This Row],[의사고시합격자수]]</f>
        <v>2.4806735715232259E-2</v>
      </c>
      <c r="Z62" s="18">
        <v>1385</v>
      </c>
      <c r="AA62" s="18">
        <v>1487</v>
      </c>
      <c r="AB62" s="16">
        <f>표1_3[[#This Row],[군입대]]/표1_3[[#This Row],[의대졸합격/남]]</f>
        <v>0.82732491591147095</v>
      </c>
      <c r="AC62" s="39">
        <v>1834</v>
      </c>
      <c r="AD62" s="39">
        <v>854</v>
      </c>
      <c r="AE62" s="39">
        <v>269</v>
      </c>
      <c r="AF62" s="39">
        <v>335</v>
      </c>
      <c r="AG62" s="39">
        <f t="shared" si="3"/>
        <v>152.38260945379966</v>
      </c>
      <c r="AH62" s="39">
        <f t="shared" si="4"/>
        <v>87.61739054620034</v>
      </c>
      <c r="AI62" s="72">
        <f>SUM(표1_3[[#This Row],[의대졸업/남]:[재시험자/여]])</f>
        <v>3532</v>
      </c>
      <c r="AJ62" s="74">
        <f>표1_3[[#This Row],[의사고시최초응시자수]]/표1_3[[#This Row],[응시자격자수]]</f>
        <v>0.98216308040770106</v>
      </c>
    </row>
    <row r="63" spans="1:36" ht="17.25" thickBot="1" x14ac:dyDescent="0.3">
      <c r="A63" s="1">
        <v>2011</v>
      </c>
      <c r="B63" s="9">
        <v>49936638</v>
      </c>
      <c r="C63" s="7">
        <v>104332</v>
      </c>
      <c r="D63" s="7">
        <v>80348</v>
      </c>
      <c r="E63" s="7">
        <v>23984</v>
      </c>
      <c r="F63" s="14">
        <f>표1_3[[#This Row],[의사수/남]]/표1_3[[#This Row],[의사수/계]]</f>
        <v>0.77011846796764172</v>
      </c>
      <c r="G63" s="11">
        <v>84544</v>
      </c>
      <c r="H63" s="42">
        <v>3391</v>
      </c>
      <c r="I63" s="41">
        <v>296</v>
      </c>
      <c r="J63" s="41">
        <v>3095</v>
      </c>
      <c r="K63" s="1">
        <f t="shared" si="5"/>
        <v>106089</v>
      </c>
      <c r="L63" s="1">
        <f>(-5*(표1_3[[#This Row],[년도]]-1950)^2/100000)+(16*(표1_3[[#This Row],[년도]]-1950)/10000)+0.8551</f>
        <v>0.76664999999999994</v>
      </c>
      <c r="M63" s="5">
        <f>표1_3[[#This Row],[의사고시합격자수]]*(표1_3[[#This Row],[의대졸업/남]]/(표1_3[[#This Row],[의대졸업/남]]+표1_3[[#This Row],[의대졸업/여]]+표1_3[[#This Row],[의전원졸업/남]]+표1_3[[#This Row],[의전원졸업/여]]+AG63+AH63))</f>
        <v>1634.0230052417007</v>
      </c>
      <c r="N63" s="5">
        <f>표1_3[[#This Row],[의사고시합격자수]]*(표1_3[[#This Row],[의대졸업/여]]/(표1_3[[#This Row],[의대졸업/남]]+표1_3[[#This Row],[의대졸업/여]]+표1_3[[#This Row],[의전원졸업/남]]+표1_3[[#This Row],[의전원졸업/여]]+AG63+AH63))</f>
        <v>650.72510192195693</v>
      </c>
      <c r="O63" s="5">
        <f>표1_3[[#This Row],[의사고시합격자수]]*(표1_3[[#This Row],[의전원졸업/남]]/(표1_3[[#This Row],[의대졸업/남]]+표1_3[[#This Row],[의대졸업/여]]+표1_3[[#This Row],[의전원졸업/남]]+표1_3[[#This Row],[의전원졸업/여]]+AG63+AH63))</f>
        <v>262.27285963890506</v>
      </c>
      <c r="P63" s="5">
        <f>표1_3[[#This Row],[의사고시합격자수]]*(표1_3[[#This Row],[의전원졸업/여]]/(표1_3[[#This Row],[의대졸업/남]]+표1_3[[#This Row],[의대졸업/여]]+표1_3[[#This Row],[의전원졸업/남]]+표1_3[[#This Row],[의전원졸업/여]]+AG63+AH63))</f>
        <v>327.16511357018055</v>
      </c>
      <c r="Q63" s="5">
        <f>표1_3[[#This Row],[의사고시합격자수]]*(AG63/(표1_3[[#This Row],[의대졸업/남]]+표1_3[[#This Row],[의대졸업/여]]+표1_3[[#This Row],[의전원졸업/남]]+표1_3[[#This Row],[의전원졸업/여]]+AG63+AH63))</f>
        <v>141.00222940335337</v>
      </c>
      <c r="R63" s="5">
        <f>표1_3[[#This Row],[의사고시합격자수]]*(AH63/(표1_3[[#This Row],[의대졸업/남]]+표1_3[[#This Row],[의대졸업/여]]+표1_3[[#This Row],[의전원졸업/남]]+표1_3[[#This Row],[의전원졸업/여]]+AG63+AH63))</f>
        <v>79.811690223903454</v>
      </c>
      <c r="S63" s="40">
        <f>표1_3[[#This Row],[의대졸비율/남]]+표1_3[[#This Row],[의전졸비율/남]]+표1_3[[#This Row],[불합비율/남]]</f>
        <v>0.65825463466363787</v>
      </c>
      <c r="T63" s="6">
        <f t="shared" si="1"/>
        <v>0.52795573675014562</v>
      </c>
      <c r="U63" s="6">
        <f t="shared" si="2"/>
        <v>0.21025043680838673</v>
      </c>
      <c r="V63" s="6">
        <f>표1_3[[#This Row],[의전졸합격/남]]/표1_3[[#This Row],[의사고시합격자수]]</f>
        <v>8.4740827023878862E-2</v>
      </c>
      <c r="W63" s="6">
        <f>표1_3[[#This Row],[의전졸합격/여]]/표1_3[[#This Row],[의사고시합격자수]]</f>
        <v>0.10570762958648806</v>
      </c>
      <c r="X63" s="6">
        <f>표1_3[[#This Row],[불합합격/남]]/표1_3[[#This Row],[의사고시합격자수]]</f>
        <v>4.5558070889613368E-2</v>
      </c>
      <c r="Y63" s="6">
        <f>표1_3[[#This Row],[불합합격/여]]/표1_3[[#This Row],[의사고시합격자수]]</f>
        <v>2.5787298941487385E-2</v>
      </c>
      <c r="Z63" s="18">
        <v>1223</v>
      </c>
      <c r="AA63" s="18">
        <v>1451</v>
      </c>
      <c r="AB63" s="16">
        <f>표1_3[[#This Row],[군입대]]/표1_3[[#This Row],[의대졸합격/남]]</f>
        <v>0.74845947460763984</v>
      </c>
      <c r="AC63" s="39">
        <v>1813</v>
      </c>
      <c r="AD63" s="39">
        <v>722</v>
      </c>
      <c r="AE63" s="39">
        <v>291</v>
      </c>
      <c r="AF63" s="39">
        <v>363</v>
      </c>
      <c r="AG63" s="39">
        <f t="shared" si="3"/>
        <v>156.44641543493231</v>
      </c>
      <c r="AH63" s="39">
        <f t="shared" si="4"/>
        <v>88.553584565067681</v>
      </c>
      <c r="AI63" s="72">
        <f>SUM(표1_3[[#This Row],[의대졸업/남]:[재시험자/여]])</f>
        <v>3434</v>
      </c>
      <c r="AJ63" s="74">
        <f>표1_3[[#This Row],[의사고시최초응시자수]]/표1_3[[#This Row],[응시자격자수]]</f>
        <v>0.98747815958066398</v>
      </c>
    </row>
    <row r="64" spans="1:36" ht="17.25" thickBot="1" x14ac:dyDescent="0.3">
      <c r="A64" s="1">
        <v>2012</v>
      </c>
      <c r="B64" s="9">
        <v>50199853</v>
      </c>
      <c r="C64" s="7">
        <v>107221</v>
      </c>
      <c r="D64" s="7">
        <v>82216</v>
      </c>
      <c r="E64" s="7">
        <v>25005</v>
      </c>
      <c r="F64" s="14">
        <f>표1_3[[#This Row],[의사수/남]]/표1_3[[#This Row],[의사수/계]]</f>
        <v>0.76679008776265845</v>
      </c>
      <c r="G64" s="11">
        <v>86761</v>
      </c>
      <c r="H64" s="42">
        <v>3515</v>
      </c>
      <c r="I64" s="41">
        <v>307</v>
      </c>
      <c r="J64" s="41">
        <v>3208</v>
      </c>
      <c r="K64" s="12">
        <f t="shared" si="5"/>
        <v>109297</v>
      </c>
      <c r="L64" s="1">
        <f>(-5*(표1_3[[#This Row],[년도]]-1950)^2/100000)+(16*(표1_3[[#This Row],[년도]]-1950)/10000)+0.8551</f>
        <v>0.7621</v>
      </c>
      <c r="M64" s="5">
        <f>표1_3[[#This Row],[의사고시합격자수]]*(표1_3[[#This Row],[의대졸업/남]]/(표1_3[[#This Row],[의대졸업/남]]+표1_3[[#This Row],[의대졸업/여]]+표1_3[[#This Row],[의전원졸업/남]]+표1_3[[#This Row],[의전원졸업/여]]+AG64+AH64))</f>
        <v>1633.229044014578</v>
      </c>
      <c r="N64" s="5">
        <f>표1_3[[#This Row],[의사고시합격자수]]*(표1_3[[#This Row],[의대졸업/여]]/(표1_3[[#This Row],[의대졸업/남]]+표1_3[[#This Row],[의대졸업/여]]+표1_3[[#This Row],[의전원졸업/남]]+표1_3[[#This Row],[의전원졸업/여]]+AG64+AH64))</f>
        <v>581.88281469021592</v>
      </c>
      <c r="O64" s="5">
        <f>표1_3[[#This Row],[의사고시합격자수]]*(표1_3[[#This Row],[의전원졸업/남]]/(표1_3[[#This Row],[의대졸업/남]]+표1_3[[#This Row],[의대졸업/여]]+표1_3[[#This Row],[의전원졸업/남]]+표1_3[[#This Row],[의전원졸업/여]]+AG64+AH64))</f>
        <v>309.37818895430331</v>
      </c>
      <c r="P64" s="5">
        <f>표1_3[[#This Row],[의사고시합격자수]]*(표1_3[[#This Row],[의전원졸업/여]]/(표1_3[[#This Row],[의대졸업/남]]+표1_3[[#This Row],[의대졸업/여]]+표1_3[[#This Row],[의전원졸업/남]]+표1_3[[#This Row],[의전원졸업/여]]+AG64+AH64))</f>
        <v>417.30081300813015</v>
      </c>
      <c r="Q64" s="5">
        <f>표1_3[[#This Row],[의사고시합격자수]]*(AG64/(표1_3[[#This Row],[의대졸업/남]]+표1_3[[#This Row],[의대졸업/여]]+표1_3[[#This Row],[의전원졸업/남]]+표1_3[[#This Row],[의전원졸업/여]]+AG64+AH64))</f>
        <v>175.23339975561572</v>
      </c>
      <c r="R64" s="5">
        <f>표1_3[[#This Row],[의사고시합격자수]]*(AH64/(표1_3[[#This Row],[의대졸업/남]]+표1_3[[#This Row],[의대졸업/여]]+표1_3[[#This Row],[의전원졸업/남]]+표1_3[[#This Row],[의전원졸업/여]]+AG64+AH64))</f>
        <v>90.975739577156929</v>
      </c>
      <c r="S64" s="40">
        <f>표1_3[[#This Row],[의대졸비율/남]]+표1_3[[#This Row],[의전졸비율/남]]+표1_3[[#This Row],[불합비율/남]]</f>
        <v>0.66017476082434445</v>
      </c>
      <c r="T64" s="6">
        <f t="shared" si="1"/>
        <v>0.50911129800953181</v>
      </c>
      <c r="U64" s="6">
        <f t="shared" si="2"/>
        <v>0.18138491729744885</v>
      </c>
      <c r="V64" s="6">
        <f>표1_3[[#This Row],[의전졸합격/남]]/표1_3[[#This Row],[의사고시합격자수]]</f>
        <v>9.6439585085506013E-2</v>
      </c>
      <c r="W64" s="6">
        <f>표1_3[[#This Row],[의전졸합격/여]]/표1_3[[#This Row],[의사고시합격자수]]</f>
        <v>0.13008130081300814</v>
      </c>
      <c r="X64" s="6">
        <f>표1_3[[#This Row],[불합합격/남]]/표1_3[[#This Row],[의사고시합격자수]]</f>
        <v>5.4623877729306644E-2</v>
      </c>
      <c r="Y64" s="6">
        <f>표1_3[[#This Row],[불합합격/여]]/표1_3[[#This Row],[의사고시합격자수]]</f>
        <v>2.8359021065198543E-2</v>
      </c>
      <c r="Z64" s="18">
        <v>1175</v>
      </c>
      <c r="AA64" s="18">
        <v>1559</v>
      </c>
      <c r="AB64" s="16">
        <f>표1_3[[#This Row],[군입대]]/표1_3[[#This Row],[의대졸합격/남]]</f>
        <v>0.71943369137728375</v>
      </c>
      <c r="AC64" s="39">
        <v>1816</v>
      </c>
      <c r="AD64" s="39">
        <v>647</v>
      </c>
      <c r="AE64" s="39">
        <v>344</v>
      </c>
      <c r="AF64" s="39">
        <v>464</v>
      </c>
      <c r="AG64" s="39">
        <f t="shared" si="3"/>
        <v>194.8433718604368</v>
      </c>
      <c r="AH64" s="39">
        <f t="shared" si="4"/>
        <v>101.1566281395632</v>
      </c>
      <c r="AI64" s="72">
        <f>SUM(표1_3[[#This Row],[의대졸업/남]:[재시험자/여]])</f>
        <v>3567</v>
      </c>
      <c r="AJ64" s="74">
        <f>표1_3[[#This Row],[의사고시최초응시자수]]/표1_3[[#This Row],[응시자격자수]]</f>
        <v>0.98542192318474908</v>
      </c>
    </row>
    <row r="65" spans="1:36" ht="17.25" thickBot="1" x14ac:dyDescent="0.3">
      <c r="A65" s="1">
        <v>2013</v>
      </c>
      <c r="B65" s="9">
        <v>50428893</v>
      </c>
      <c r="C65" s="7">
        <v>109500</v>
      </c>
      <c r="D65" s="7">
        <v>83352</v>
      </c>
      <c r="E65" s="7">
        <v>26148</v>
      </c>
      <c r="F65" s="14">
        <f>표1_3[[#This Row],[의사수/남]]/표1_3[[#This Row],[의사수/계]]</f>
        <v>0.76120547945205475</v>
      </c>
      <c r="G65" s="11">
        <v>90710</v>
      </c>
      <c r="H65" s="42">
        <v>3338</v>
      </c>
      <c r="I65" s="41">
        <v>306</v>
      </c>
      <c r="J65" s="41">
        <v>3032</v>
      </c>
      <c r="K65" s="12">
        <f t="shared" si="5"/>
        <v>112329</v>
      </c>
      <c r="L65" s="1">
        <f>(-5*(표1_3[[#This Row],[년도]]-1950)^2/100000)+(16*(표1_3[[#This Row],[년도]]-1950)/10000)+0.8551</f>
        <v>0.75744999999999996</v>
      </c>
      <c r="M65" s="5">
        <f>표1_3[[#This Row],[의사고시합격자수]]*(표1_3[[#This Row],[의대졸업/남]]/(표1_3[[#This Row],[의대졸업/남]]+표1_3[[#This Row],[의대졸업/여]]+표1_3[[#This Row],[의전원졸업/남]]+표1_3[[#This Row],[의전원졸업/여]]+AG65+AH65))</f>
        <v>1071.420224719101</v>
      </c>
      <c r="N65" s="5">
        <f>표1_3[[#This Row],[의사고시합격자수]]*(표1_3[[#This Row],[의대졸업/여]]/(표1_3[[#This Row],[의대졸업/남]]+표1_3[[#This Row],[의대졸업/여]]+표1_3[[#This Row],[의전원졸업/남]]+표1_3[[#This Row],[의전원졸업/여]]+AG65+AH65))</f>
        <v>433.50786516853935</v>
      </c>
      <c r="O65" s="5">
        <f>표1_3[[#This Row],[의사고시합격자수]]*(표1_3[[#This Row],[의전원졸업/남]]/(표1_3[[#This Row],[의대졸업/남]]+표1_3[[#This Row],[의대졸업/여]]+표1_3[[#This Row],[의전원졸업/남]]+표1_3[[#This Row],[의전원졸업/여]]+AG65+AH65))</f>
        <v>563.81573033707866</v>
      </c>
      <c r="P65" s="5">
        <f>표1_3[[#This Row],[의사고시합격자수]]*(표1_3[[#This Row],[의전원졸업/여]]/(표1_3[[#This Row],[의대졸업/남]]+표1_3[[#This Row],[의대졸업/여]]+표1_3[[#This Row],[의전원졸업/남]]+표1_3[[#This Row],[의전원졸업/여]]+AG65+AH65))</f>
        <v>701.78876404494383</v>
      </c>
      <c r="Q65" s="5">
        <f>표1_3[[#This Row],[의사고시합격자수]]*(AG65/(표1_3[[#This Row],[의대졸업/남]]+표1_3[[#This Row],[의대졸업/여]]+표1_3[[#This Row],[의전원졸업/남]]+표1_3[[#This Row],[의전원졸업/여]]+AG65+AH65))</f>
        <v>172.61418864313472</v>
      </c>
      <c r="R65" s="5">
        <f>표1_3[[#This Row],[의사고시합격자수]]*(AH65/(표1_3[[#This Row],[의대졸업/남]]+표1_3[[#This Row],[의대졸업/여]]+표1_3[[#This Row],[의전원졸업/남]]+표1_3[[#This Row],[의전원졸업/여]]+AG65+AH65))</f>
        <v>88.85322708720237</v>
      </c>
      <c r="S65" s="40">
        <f>표1_3[[#This Row],[의대졸비율/남]]+표1_3[[#This Row],[의전졸비율/남]]+표1_3[[#This Row],[불합비율/남]]</f>
        <v>0.59625664370030163</v>
      </c>
      <c r="T65" s="6">
        <f t="shared" si="1"/>
        <v>0.35337078651685389</v>
      </c>
      <c r="U65" s="6">
        <f t="shared" si="2"/>
        <v>0.14297752808988765</v>
      </c>
      <c r="V65" s="6">
        <f>표1_3[[#This Row],[의전졸합격/남]]/표1_3[[#This Row],[의사고시합격자수]]</f>
        <v>0.18595505617977529</v>
      </c>
      <c r="W65" s="6">
        <f>표1_3[[#This Row],[의전졸합격/여]]/표1_3[[#This Row],[의사고시합격자수]]</f>
        <v>0.23146067415730337</v>
      </c>
      <c r="X65" s="6">
        <f>표1_3[[#This Row],[불합합격/남]]/표1_3[[#This Row],[의사고시합격자수]]</f>
        <v>5.6930801003672406E-2</v>
      </c>
      <c r="Y65" s="6">
        <f>표1_3[[#This Row],[불합합격/여]]/표1_3[[#This Row],[의사고시합격자수]]</f>
        <v>2.9305154052507377E-2</v>
      </c>
      <c r="Z65" s="18">
        <v>662</v>
      </c>
      <c r="AA65" s="18">
        <v>1385</v>
      </c>
      <c r="AB65" s="16">
        <f>표1_3[[#This Row],[군입대]]/표1_3[[#This Row],[의대졸합격/남]]</f>
        <v>0.61787148004748504</v>
      </c>
      <c r="AC65" s="39">
        <v>1258</v>
      </c>
      <c r="AD65" s="39">
        <v>509</v>
      </c>
      <c r="AE65" s="39">
        <v>662</v>
      </c>
      <c r="AF65" s="39">
        <v>824</v>
      </c>
      <c r="AG65" s="39">
        <f t="shared" si="3"/>
        <v>202.67365157307376</v>
      </c>
      <c r="AH65" s="39">
        <f t="shared" si="4"/>
        <v>104.32634842692626</v>
      </c>
      <c r="AI65" s="72">
        <f>SUM(표1_3[[#This Row],[의대졸업/남]:[재시험자/여]])</f>
        <v>3560</v>
      </c>
      <c r="AJ65" s="74">
        <f>표1_3[[#This Row],[의사고시최초응시자수]]/표1_3[[#This Row],[응시자격자수]]</f>
        <v>0.93764044943820224</v>
      </c>
    </row>
    <row r="66" spans="1:36" ht="17.25" thickBot="1" x14ac:dyDescent="0.3">
      <c r="A66" s="1">
        <v>2014</v>
      </c>
      <c r="B66" s="9">
        <v>50746659</v>
      </c>
      <c r="C66" s="7">
        <v>112407</v>
      </c>
      <c r="D66" s="7">
        <v>85009</v>
      </c>
      <c r="E66" s="7">
        <v>27398</v>
      </c>
      <c r="F66" s="14">
        <f>표1_3[[#This Row],[의사수/남]]/표1_3[[#This Row],[의사수/계]]</f>
        <v>0.75626073109325931</v>
      </c>
      <c r="G66" s="11">
        <v>92979</v>
      </c>
      <c r="H66" s="42">
        <v>3450</v>
      </c>
      <c r="I66" s="41">
        <v>250</v>
      </c>
      <c r="J66" s="41">
        <v>3200</v>
      </c>
      <c r="K66" s="12">
        <f t="shared" si="5"/>
        <v>115529</v>
      </c>
      <c r="L66" s="1">
        <f>(-5*(표1_3[[#This Row],[년도]]-1950)^2/100000)+(16*(표1_3[[#This Row],[년도]]-1950)/10000)+0.8551</f>
        <v>0.75269999999999992</v>
      </c>
      <c r="M66" s="5">
        <f>표1_3[[#This Row],[의사고시합격자수]]*(표1_3[[#This Row],[의대졸업/남]]/(표1_3[[#This Row],[의대졸업/남]]+표1_3[[#This Row],[의대졸업/여]]+표1_3[[#This Row],[의전원졸업/남]]+표1_3[[#This Row],[의전원졸업/여]]+AG66+AH66))</f>
        <v>1062.4102154828413</v>
      </c>
      <c r="N66" s="5">
        <f>표1_3[[#This Row],[의사고시합격자수]]*(표1_3[[#This Row],[의대졸업/여]]/(표1_3[[#This Row],[의대졸업/남]]+표1_3[[#This Row],[의대졸업/여]]+표1_3[[#This Row],[의전원졸업/남]]+표1_3[[#This Row],[의전원졸업/여]]+AG66+AH66))</f>
        <v>468.20963022080343</v>
      </c>
      <c r="O66" s="5">
        <f>표1_3[[#This Row],[의사고시합격자수]]*(표1_3[[#This Row],[의전원졸업/남]]/(표1_3[[#This Row],[의대졸업/남]]+표1_3[[#This Row],[의대졸업/여]]+표1_3[[#This Row],[의전원졸업/남]]+표1_3[[#This Row],[의전원졸업/여]]+AG66+AH66))</f>
        <v>642.72412875764826</v>
      </c>
      <c r="P66" s="5">
        <f>표1_3[[#This Row],[의사고시합격자수]]*(표1_3[[#This Row],[의전원졸업/여]]/(표1_3[[#This Row],[의대졸업/남]]+표1_3[[#This Row],[의대졸업/여]]+표1_3[[#This Row],[의전원졸업/남]]+표1_3[[#This Row],[의전원졸업/여]]+AG66+AH66))</f>
        <v>766.16121308858737</v>
      </c>
      <c r="Q66" s="5">
        <f>표1_3[[#This Row],[의사고시합격자수]]*(AG66/(표1_3[[#This Row],[의대졸업/남]]+표1_3[[#This Row],[의대졸업/여]]+표1_3[[#This Row],[의전원졸업/남]]+표1_3[[#This Row],[의전원졸업/여]]+AG66+AH66))</f>
        <v>155.32176257284794</v>
      </c>
      <c r="R66" s="5">
        <f>표1_3[[#This Row],[의사고시합격자수]]*(AH66/(표1_3[[#This Row],[의대졸업/남]]+표1_3[[#This Row],[의대졸업/여]]+표1_3[[#This Row],[의전원졸업/남]]+표1_3[[#This Row],[의전원졸업/여]]+AG66+AH66))</f>
        <v>105.17304987727178</v>
      </c>
      <c r="S66" s="40">
        <f>표1_3[[#This Row],[의대졸비율/남]]+표1_3[[#This Row],[의전졸비율/남]]+표1_3[[#This Row],[불합비율/남]]</f>
        <v>0.58139253337916796</v>
      </c>
      <c r="T66" s="6">
        <f t="shared" si="1"/>
        <v>0.33200319233838793</v>
      </c>
      <c r="U66" s="6">
        <f t="shared" si="2"/>
        <v>0.14631550944400107</v>
      </c>
      <c r="V66" s="6">
        <f>표1_3[[#This Row],[의전졸합격/남]]/표1_3[[#This Row],[의사고시합격자수]]</f>
        <v>0.20085129023676507</v>
      </c>
      <c r="W66" s="6">
        <f>표1_3[[#This Row],[의전졸합격/여]]/표1_3[[#This Row],[의사고시합격자수]]</f>
        <v>0.23942537909018355</v>
      </c>
      <c r="X66" s="6">
        <f>표1_3[[#This Row],[불합합격/남]]/표1_3[[#This Row],[의사고시합격자수]]</f>
        <v>4.8538050804014986E-2</v>
      </c>
      <c r="Y66" s="6">
        <f>표1_3[[#This Row],[불합합격/여]]/표1_3[[#This Row],[의사고시합격자수]]</f>
        <v>3.2866578086647433E-2</v>
      </c>
      <c r="Z66" s="18">
        <v>698</v>
      </c>
      <c r="AA66" s="18">
        <v>1223</v>
      </c>
      <c r="AB66" s="16">
        <f>표1_3[[#This Row],[군입대]]/표1_3[[#This Row],[의대졸합격/남]]</f>
        <v>0.65699669471153843</v>
      </c>
      <c r="AC66" s="39">
        <v>1248</v>
      </c>
      <c r="AD66" s="39">
        <v>550</v>
      </c>
      <c r="AE66" s="39">
        <v>755</v>
      </c>
      <c r="AF66" s="39">
        <v>900</v>
      </c>
      <c r="AG66" s="39">
        <f t="shared" si="3"/>
        <v>182.4545329722923</v>
      </c>
      <c r="AH66" s="39">
        <f t="shared" si="4"/>
        <v>123.5454670277077</v>
      </c>
      <c r="AI66" s="72">
        <f>SUM(표1_3[[#This Row],[의대졸업/남]:[재시험자/여]])</f>
        <v>3759</v>
      </c>
      <c r="AJ66" s="74">
        <f>표1_3[[#This Row],[의사고시최초응시자수]]/표1_3[[#This Row],[응시자격자수]]</f>
        <v>0.91779728651237036</v>
      </c>
    </row>
    <row r="67" spans="1:36" ht="17.25" thickBot="1" x14ac:dyDescent="0.3">
      <c r="A67" s="1">
        <v>2015</v>
      </c>
      <c r="B67" s="9">
        <v>51014947</v>
      </c>
      <c r="C67" s="7">
        <v>115976</v>
      </c>
      <c r="D67" s="7">
        <v>87378</v>
      </c>
      <c r="E67" s="7">
        <v>28598</v>
      </c>
      <c r="F67" s="14">
        <f>표1_3[[#This Row],[의사수/남]]/표1_3[[#This Row],[의사수/계]]</f>
        <v>0.75341449955163142</v>
      </c>
      <c r="G67" s="11">
        <v>95076</v>
      </c>
      <c r="H67" s="42">
        <v>3310</v>
      </c>
      <c r="I67" s="41">
        <v>185</v>
      </c>
      <c r="J67" s="41">
        <v>3125</v>
      </c>
      <c r="K67" s="12">
        <f t="shared" si="5"/>
        <v>118654</v>
      </c>
      <c r="L67" s="1">
        <f>(-5*(표1_3[[#This Row],[년도]]-1950)^2/100000)+(16*(표1_3[[#This Row],[년도]]-1950)/10000)+0.8551</f>
        <v>0.74785000000000001</v>
      </c>
      <c r="M67" s="5">
        <f>표1_3[[#This Row],[의사고시합격자수]]*(표1_3[[#This Row],[의대졸업/남]]/(표1_3[[#This Row],[의대졸업/남]]+표1_3[[#This Row],[의대졸업/여]]+표1_3[[#This Row],[의전원졸업/남]]+표1_3[[#This Row],[의전원졸업/여]]+AG67+AH67))</f>
        <v>1038.4507437552625</v>
      </c>
      <c r="N67" s="5">
        <f>표1_3[[#This Row],[의사고시합격자수]]*(표1_3[[#This Row],[의대졸업/여]]/(표1_3[[#This Row],[의대졸업/남]]+표1_3[[#This Row],[의대졸업/여]]+표1_3[[#This Row],[의전원졸업/남]]+표1_3[[#This Row],[의전원졸업/여]]+AG67+AH67))</f>
        <v>430.64131349985968</v>
      </c>
      <c r="O67" s="5">
        <f>표1_3[[#This Row],[의사고시합격자수]]*(표1_3[[#This Row],[의전원졸업/남]]/(표1_3[[#This Row],[의대졸업/남]]+표1_3[[#This Row],[의대졸업/여]]+표1_3[[#This Row],[의전원졸업/남]]+표1_3[[#This Row],[의전원졸업/여]]+AG67+AH67))</f>
        <v>728.84507437552622</v>
      </c>
      <c r="P67" s="5">
        <f>표1_3[[#This Row],[의사고시합격자수]]*(표1_3[[#This Row],[의전원졸업/여]]/(표1_3[[#This Row],[의대졸업/남]]+표1_3[[#This Row],[의대졸업/여]]+표1_3[[#This Row],[의전원졸업/남]]+표1_3[[#This Row],[의전원졸업/여]]+AG67+AH67))</f>
        <v>707.79539713724387</v>
      </c>
      <c r="Q67" s="5">
        <f>표1_3[[#This Row],[의사고시합격자수]]*(AG67/(표1_3[[#This Row],[의대졸업/남]]+표1_3[[#This Row],[의대졸업/여]]+표1_3[[#This Row],[의전원졸업/남]]+표1_3[[#This Row],[의전원졸업/여]]+AG67+AH67))</f>
        <v>127.48047058727897</v>
      </c>
      <c r="R67" s="5">
        <f>표1_3[[#This Row],[의사고시합격자수]]*(AH67/(표1_3[[#This Row],[의대졸업/남]]+표1_3[[#This Row],[의대졸업/여]]+표1_3[[#This Row],[의전원졸업/남]]+표1_3[[#This Row],[의전원졸업/여]]+AG67+AH67))</f>
        <v>91.787000644828808</v>
      </c>
      <c r="S67" s="40">
        <f>표1_3[[#This Row],[의대졸비율/남]]+표1_3[[#This Row],[의전졸비율/남]]+표1_3[[#This Row],[불합비율/남]]</f>
        <v>0.60632841238978163</v>
      </c>
      <c r="T67" s="6">
        <f t="shared" si="1"/>
        <v>0.33230423800168402</v>
      </c>
      <c r="U67" s="6">
        <f t="shared" si="2"/>
        <v>0.1378052203199551</v>
      </c>
      <c r="V67" s="6">
        <f>표1_3[[#This Row],[의전졸합격/남]]/표1_3[[#This Row],[의사고시합격자수]]</f>
        <v>0.2332304238001684</v>
      </c>
      <c r="W67" s="6">
        <f>표1_3[[#This Row],[의전졸합격/여]]/표1_3[[#This Row],[의사고시합격자수]]</f>
        <v>0.22649452708391804</v>
      </c>
      <c r="X67" s="6">
        <f>표1_3[[#This Row],[불합합격/남]]/표1_3[[#This Row],[의사고시합격자수]]</f>
        <v>4.0793750587929271E-2</v>
      </c>
      <c r="Y67" s="6">
        <f>표1_3[[#This Row],[불합합격/여]]/표1_3[[#This Row],[의사고시합격자수]]</f>
        <v>2.9371840206345218E-2</v>
      </c>
      <c r="Z67" s="18">
        <v>725</v>
      </c>
      <c r="AA67" s="18">
        <v>1175</v>
      </c>
      <c r="AB67" s="16">
        <f>표1_3[[#This Row],[군입대]]/표1_3[[#This Row],[의대졸합격/남]]</f>
        <v>0.69815540540540533</v>
      </c>
      <c r="AC67" s="39">
        <v>1184</v>
      </c>
      <c r="AD67" s="39">
        <v>491</v>
      </c>
      <c r="AE67" s="39">
        <v>831</v>
      </c>
      <c r="AF67" s="39">
        <v>807</v>
      </c>
      <c r="AG67" s="39">
        <f t="shared" si="3"/>
        <v>145.34813334479199</v>
      </c>
      <c r="AH67" s="39">
        <f t="shared" si="4"/>
        <v>104.65186665520801</v>
      </c>
      <c r="AI67" s="72">
        <f>SUM(표1_3[[#This Row],[의대졸업/남]:[재시험자/여]])</f>
        <v>3563</v>
      </c>
      <c r="AJ67" s="74">
        <f>표1_3[[#This Row],[의사고시최초응시자수]]/표1_3[[#This Row],[응시자격자수]]</f>
        <v>0.92899242211619426</v>
      </c>
    </row>
    <row r="68" spans="1:36" ht="17.25" thickBot="1" x14ac:dyDescent="0.3">
      <c r="A68" s="1">
        <v>2016</v>
      </c>
      <c r="B68" s="9">
        <v>51217803</v>
      </c>
      <c r="C68" s="7">
        <v>118696</v>
      </c>
      <c r="D68" s="7">
        <v>88898</v>
      </c>
      <c r="E68" s="7">
        <v>29798</v>
      </c>
      <c r="F68" s="14">
        <f>표1_3[[#This Row],[의사수/남]]/표1_3[[#This Row],[의사수/계]]</f>
        <v>0.74895531441666108</v>
      </c>
      <c r="G68" s="1">
        <v>97713</v>
      </c>
      <c r="H68" s="42">
        <v>3332</v>
      </c>
      <c r="I68" s="41">
        <v>226</v>
      </c>
      <c r="J68" s="41">
        <v>3106</v>
      </c>
      <c r="K68" s="12">
        <f t="shared" ref="K68:K99" si="6">J68+K67</f>
        <v>121760</v>
      </c>
      <c r="L68" s="1">
        <f>(-5*(표1_3[[#This Row],[년도]]-1950)^2/100000)+(16*(표1_3[[#This Row],[년도]]-1950)/10000)+0.8551</f>
        <v>0.7429</v>
      </c>
      <c r="M68" s="5">
        <f>표1_3[[#This Row],[의사고시합격자수]]*(표1_3[[#This Row],[의대졸업/남]]/(표1_3[[#This Row],[의대졸업/남]]+표1_3[[#This Row],[의대졸업/여]]+표1_3[[#This Row],[의전원졸업/남]]+표1_3[[#This Row],[의전원졸업/여]]+AG68+AH68))</f>
        <v>1012.7687517690348</v>
      </c>
      <c r="N68" s="5">
        <f>표1_3[[#This Row],[의사고시합격자수]]*(표1_3[[#This Row],[의대졸업/여]]/(표1_3[[#This Row],[의대졸업/남]]+표1_3[[#This Row],[의대졸업/여]]+표1_3[[#This Row],[의전원졸업/남]]+표1_3[[#This Row],[의전원졸업/여]]+AG68+AH68))</f>
        <v>473.85621285026889</v>
      </c>
      <c r="O68" s="5">
        <f>표1_3[[#This Row],[의사고시합격자수]]*(표1_3[[#This Row],[의전원졸업/남]]/(표1_3[[#This Row],[의대졸업/남]]+표1_3[[#This Row],[의대졸업/여]]+표1_3[[#This Row],[의전원졸업/남]]+표1_3[[#This Row],[의전원졸업/여]]+AG68+AH68))</f>
        <v>752.54344749504673</v>
      </c>
      <c r="P68" s="5">
        <f>표1_3[[#This Row],[의사고시합격자수]]*(표1_3[[#This Row],[의전원졸업/여]]/(표1_3[[#This Row],[의대졸업/남]]+표1_3[[#This Row],[의대졸업/여]]+표1_3[[#This Row],[의전원졸업/남]]+표1_3[[#This Row],[의전원졸업/여]]+AG68+AH68))</f>
        <v>704.19077271440699</v>
      </c>
      <c r="Q68" s="5">
        <f>표1_3[[#This Row],[의사고시합격자수]]*(AG68/(표1_3[[#This Row],[의대졸업/남]]+표1_3[[#This Row],[의대졸업/여]]+표1_3[[#This Row],[의전원졸업/남]]+표1_3[[#This Row],[의전원졸업/여]]+AG68+AH68))</f>
        <v>98.613747252559406</v>
      </c>
      <c r="R68" s="5">
        <f>표1_3[[#This Row],[의사고시합격자수]]*(AH68/(표1_3[[#This Row],[의대졸업/남]]+표1_3[[#This Row],[의대졸업/여]]+표1_3[[#This Row],[의전원졸업/남]]+표1_3[[#This Row],[의전원졸업/여]]+AG68+AH68))</f>
        <v>64.027067918683159</v>
      </c>
      <c r="S68" s="40">
        <f>표1_3[[#This Row],[의대졸비율/남]]+표1_3[[#This Row],[의전졸비율/남]]+표1_3[[#This Row],[불합비율/남]]</f>
        <v>0.60010494092615607</v>
      </c>
      <c r="T68" s="6">
        <f t="shared" si="1"/>
        <v>0.32606849702802149</v>
      </c>
      <c r="U68" s="6">
        <f t="shared" si="2"/>
        <v>0.15256156241154825</v>
      </c>
      <c r="V68" s="6">
        <f>표1_3[[#This Row],[의전졸합격/남]]/표1_3[[#This Row],[의사고시합격자수]]</f>
        <v>0.24228700820832155</v>
      </c>
      <c r="W68" s="6">
        <f>표1_3[[#This Row],[의전졸합격/여]]/표1_3[[#This Row],[의사고시합격자수]]</f>
        <v>0.22671950183979619</v>
      </c>
      <c r="X68" s="6">
        <f>표1_3[[#This Row],[불합합격/남]]/표1_3[[#This Row],[의사고시합격자수]]</f>
        <v>3.1749435689813074E-2</v>
      </c>
      <c r="Y68" s="6">
        <f>표1_3[[#This Row],[불합합격/여]]/표1_3[[#This Row],[의사고시합격자수]]</f>
        <v>2.0613994822499405E-2</v>
      </c>
      <c r="Z68" s="18">
        <v>644</v>
      </c>
      <c r="AA68" s="18">
        <v>662</v>
      </c>
      <c r="AB68" s="16">
        <f>표1_3[[#This Row],[군입대]]/표1_3[[#This Row],[의대졸합격/남]]</f>
        <v>0.63588059848322243</v>
      </c>
      <c r="AC68" s="39">
        <v>1152</v>
      </c>
      <c r="AD68" s="39">
        <v>539</v>
      </c>
      <c r="AE68" s="39">
        <v>856</v>
      </c>
      <c r="AF68" s="39">
        <v>801</v>
      </c>
      <c r="AG68" s="39">
        <f t="shared" si="3"/>
        <v>112.1707562921096</v>
      </c>
      <c r="AH68" s="39">
        <f t="shared" si="4"/>
        <v>72.829243707890399</v>
      </c>
      <c r="AI68" s="72">
        <f>SUM(표1_3[[#This Row],[의대졸업/남]:[재시험자/여]])</f>
        <v>3533</v>
      </c>
      <c r="AJ68" s="74">
        <f>표1_3[[#This Row],[의사고시최초응시자수]]/표1_3[[#This Row],[응시자격자수]]</f>
        <v>0.94310784036229833</v>
      </c>
    </row>
    <row r="69" spans="1:36" ht="17.25" thickBot="1" x14ac:dyDescent="0.3">
      <c r="A69" s="1">
        <v>2017</v>
      </c>
      <c r="B69" s="9">
        <v>51361911</v>
      </c>
      <c r="C69" s="7">
        <v>121571</v>
      </c>
      <c r="D69" s="7">
        <v>90681</v>
      </c>
      <c r="E69" s="7">
        <v>30890</v>
      </c>
      <c r="F69" s="14">
        <f>표1_3[[#This Row],[의사수/남]]/표1_3[[#This Row],[의사수/계]]</f>
        <v>0.74590979756685394</v>
      </c>
      <c r="G69" s="1">
        <v>100241</v>
      </c>
      <c r="H69" s="42">
        <v>3346</v>
      </c>
      <c r="I69" s="41">
        <v>251</v>
      </c>
      <c r="J69" s="41">
        <v>3095</v>
      </c>
      <c r="K69" s="12">
        <f t="shared" si="6"/>
        <v>124855</v>
      </c>
      <c r="L69" s="1">
        <f>(-5*(표1_3[[#This Row],[년도]]-1950)^2/100000)+(16*(표1_3[[#This Row],[년도]]-1950)/10000)+0.8551</f>
        <v>0.73785000000000001</v>
      </c>
      <c r="M69" s="5">
        <f>표1_3[[#This Row],[의사고시합격자수]]*(표1_3[[#This Row],[의대졸업/남]]/(표1_3[[#This Row],[의대졸업/남]]+표1_3[[#This Row],[의대졸업/여]]+표1_3[[#This Row],[의전원졸업/남]]+표1_3[[#This Row],[의전원졸업/여]]+AG69+AH69))</f>
        <v>937.74411257897759</v>
      </c>
      <c r="N69" s="5">
        <f>표1_3[[#This Row],[의사고시합격자수]]*(표1_3[[#This Row],[의대졸업/여]]/(표1_3[[#This Row],[의대졸업/남]]+표1_3[[#This Row],[의대졸업/여]]+표1_3[[#This Row],[의전원졸업/남]]+표1_3[[#This Row],[의전원졸업/여]]+AG69+AH69))</f>
        <v>426.65134979896612</v>
      </c>
      <c r="O69" s="5">
        <f>표1_3[[#This Row],[의사고시합격자수]]*(표1_3[[#This Row],[의전원졸업/남]]/(표1_3[[#This Row],[의대졸업/남]]+표1_3[[#This Row],[의대졸업/여]]+표1_3[[#This Row],[의전원졸업/남]]+표1_3[[#This Row],[의전원졸업/여]]+AG69+AH69))</f>
        <v>855.96927053417573</v>
      </c>
      <c r="P69" s="5">
        <f>표1_3[[#This Row],[의사고시합격자수]]*(표1_3[[#This Row],[의전원졸업/여]]/(표1_3[[#This Row],[의대졸업/남]]+표1_3[[#This Row],[의대졸업/여]]+표1_3[[#This Row],[의전원졸업/남]]+표1_3[[#This Row],[의전원졸업/여]]+AG69+AH69))</f>
        <v>673.75358989086726</v>
      </c>
      <c r="Q69" s="5">
        <f>표1_3[[#This Row],[의사고시합격자수]]*(AG69/(표1_3[[#This Row],[의대졸업/남]]+표1_3[[#This Row],[의대졸업/여]]+표1_3[[#This Row],[의전원졸업/남]]+표1_3[[#This Row],[의전원졸업/여]]+AG69+AH69))</f>
        <v>120.55008702746075</v>
      </c>
      <c r="R69" s="5">
        <f>표1_3[[#This Row],[의사고시합격자수]]*(AH69/(표1_3[[#This Row],[의대졸업/남]]+표1_3[[#This Row],[의대졸업/여]]+표1_3[[#This Row],[의전원졸업/남]]+표1_3[[#This Row],[의전원졸업/여]]+AG69+AH69))</f>
        <v>80.331590169552442</v>
      </c>
      <c r="S69" s="40">
        <f>표1_3[[#This Row],[의대졸비율/남]]+표1_3[[#This Row],[의전졸비율/남]]+표1_3[[#This Row],[불합비율/남]]</f>
        <v>0.61850192896304168</v>
      </c>
      <c r="T69" s="6">
        <f t="shared" ref="T69:T99" si="7">M69/J69</f>
        <v>0.30298678920160826</v>
      </c>
      <c r="U69" s="6">
        <f t="shared" ref="U69:U99" si="8">N69/J69</f>
        <v>0.13785180930499713</v>
      </c>
      <c r="V69" s="6">
        <f>표1_3[[#This Row],[의전졸합격/남]]/표1_3[[#This Row],[의사고시합격자수]]</f>
        <v>0.27656519241815047</v>
      </c>
      <c r="W69" s="6">
        <f>표1_3[[#This Row],[의전졸합격/여]]/표1_3[[#This Row],[의사고시합격자수]]</f>
        <v>0.21769098219414129</v>
      </c>
      <c r="X69" s="6">
        <f>표1_3[[#This Row],[불합합격/남]]/표1_3[[#This Row],[의사고시합격자수]]</f>
        <v>3.8949947343282956E-2</v>
      </c>
      <c r="Y69" s="6">
        <f>표1_3[[#This Row],[불합합격/여]]/표1_3[[#This Row],[의사고시합격자수]]</f>
        <v>2.5955279537819852E-2</v>
      </c>
      <c r="Z69" s="18">
        <v>667</v>
      </c>
      <c r="AA69" s="18">
        <v>698</v>
      </c>
      <c r="AB69" s="16">
        <f>표1_3[[#This Row],[군입대]]/표1_3[[#This Row],[의대졸합격/남]]</f>
        <v>0.71128145839873214</v>
      </c>
      <c r="AC69" s="39">
        <v>1055</v>
      </c>
      <c r="AD69" s="39">
        <v>480</v>
      </c>
      <c r="AE69" s="39">
        <v>963</v>
      </c>
      <c r="AF69" s="39">
        <v>758</v>
      </c>
      <c r="AG69" s="39">
        <f t="shared" si="3"/>
        <v>135.62371664931126</v>
      </c>
      <c r="AH69" s="39">
        <f t="shared" si="4"/>
        <v>90.376283350688723</v>
      </c>
      <c r="AI69" s="72">
        <f>SUM(표1_3[[#This Row],[의대졸업/남]:[재시험자/여]])</f>
        <v>3482</v>
      </c>
      <c r="AJ69" s="74">
        <f>표1_3[[#This Row],[의사고시최초응시자수]]/표1_3[[#This Row],[응시자격자수]]</f>
        <v>0.96094198736358416</v>
      </c>
    </row>
    <row r="70" spans="1:36" ht="17.25" thickBot="1" x14ac:dyDescent="0.3">
      <c r="A70" s="1">
        <v>2018</v>
      </c>
      <c r="B70" s="9">
        <v>51606633</v>
      </c>
      <c r="C70" s="7">
        <v>123106</v>
      </c>
      <c r="D70" s="7">
        <v>91094</v>
      </c>
      <c r="E70" s="7">
        <v>32012</v>
      </c>
      <c r="F70" s="14">
        <f>표1_3[[#This Row],[의사수/남]]/표1_3[[#This Row],[의사수/계]]</f>
        <v>0.73996393352070577</v>
      </c>
      <c r="G70" s="1">
        <v>102471</v>
      </c>
      <c r="H70" s="42">
        <v>3385</v>
      </c>
      <c r="I70" s="41">
        <v>181</v>
      </c>
      <c r="J70" s="41">
        <v>3204</v>
      </c>
      <c r="K70" s="12">
        <f t="shared" si="6"/>
        <v>128059</v>
      </c>
      <c r="L70" s="1">
        <f>(-5*(표1_3[[#This Row],[년도]]-1950)^2/100000)+(16*(표1_3[[#This Row],[년도]]-1950)/10000)+0.8551</f>
        <v>0.73270000000000002</v>
      </c>
      <c r="M70" s="5">
        <f>표1_3[[#This Row],[의사고시합격자수]]*(표1_3[[#This Row],[의대졸업/남]]/(표1_3[[#This Row],[의대졸업/남]]+표1_3[[#This Row],[의대졸업/여]]+표1_3[[#This Row],[의전원졸업/남]]+표1_3[[#This Row],[의전원졸업/여]]+AG70+AH70))</f>
        <v>950.8704663212435</v>
      </c>
      <c r="N70" s="5">
        <f>표1_3[[#This Row],[의사고시합격자수]]*(표1_3[[#This Row],[의대졸업/여]]/(표1_3[[#This Row],[의대졸업/남]]+표1_3[[#This Row],[의대졸업/여]]+표1_3[[#This Row],[의전원졸업/남]]+표1_3[[#This Row],[의전원졸업/여]]+AG70+AH70))</f>
        <v>443.61658031088081</v>
      </c>
      <c r="O70" s="5">
        <f>표1_3[[#This Row],[의사고시합격자수]]*(표1_3[[#This Row],[의전원졸업/남]]/(표1_3[[#This Row],[의대졸업/남]]+표1_3[[#This Row],[의대졸업/여]]+표1_3[[#This Row],[의전원졸업/남]]+표1_3[[#This Row],[의전원졸업/여]]+AG70+AH70))</f>
        <v>883.54404145077717</v>
      </c>
      <c r="P70" s="5">
        <f>표1_3[[#This Row],[의사고시합격자수]]*(표1_3[[#This Row],[의전원졸업/여]]/(표1_3[[#This Row],[의대졸업/남]]+표1_3[[#This Row],[의대졸업/여]]+표1_3[[#This Row],[의전원졸업/남]]+표1_3[[#This Row],[의전원졸업/여]]+AG70+AH70))</f>
        <v>694.47668393782385</v>
      </c>
      <c r="Q70" s="5">
        <f>표1_3[[#This Row],[의사고시합격자수]]*(AG70/(표1_3[[#This Row],[의대졸업/남]]+표1_3[[#This Row],[의대졸업/여]]+표1_3[[#This Row],[의전원졸업/남]]+표1_3[[#This Row],[의전원졸업/여]]+AG70+AH70))</f>
        <v>143.17838954513354</v>
      </c>
      <c r="R70" s="5">
        <f>표1_3[[#This Row],[의사고시합격자수]]*(AH70/(표1_3[[#This Row],[의대졸업/남]]+표1_3[[#This Row],[의대졸업/여]]+표1_3[[#This Row],[의전원졸업/남]]+표1_3[[#This Row],[의전원졸업/여]]+AG70+AH70))</f>
        <v>88.313838434141047</v>
      </c>
      <c r="S70" s="40">
        <f>표1_3[[#This Row],[의대졸비율/남]]+표1_3[[#This Row],[의전졸비율/남]]+표1_3[[#This Row],[불합비율/남]]</f>
        <v>0.61722624760210809</v>
      </c>
      <c r="T70" s="6">
        <f t="shared" si="7"/>
        <v>0.29677605066206103</v>
      </c>
      <c r="U70" s="6">
        <f t="shared" si="8"/>
        <v>0.13845710995970062</v>
      </c>
      <c r="V70" s="6">
        <f>표1_3[[#This Row],[의전졸합격/남]]/표1_3[[#This Row],[의사고시합격자수]]</f>
        <v>0.27576280944156589</v>
      </c>
      <c r="W70" s="6">
        <f>표1_3[[#This Row],[의전졸합격/여]]/표1_3[[#This Row],[의사고시합격자수]]</f>
        <v>0.21675302245250433</v>
      </c>
      <c r="X70" s="6">
        <f>표1_3[[#This Row],[불합합격/남]]/표1_3[[#This Row],[의사고시합격자수]]</f>
        <v>4.4687387498481133E-2</v>
      </c>
      <c r="Y70" s="6">
        <f>표1_3[[#This Row],[불합합격/여]]/표1_3[[#This Row],[의사고시합격자수]]</f>
        <v>2.7563619985686967E-2</v>
      </c>
      <c r="Z70" s="18">
        <v>748</v>
      </c>
      <c r="AA70" s="18">
        <v>725</v>
      </c>
      <c r="AB70" s="16">
        <f>표1_3[[#This Row],[군입대]]/표1_3[[#This Row],[의대졸합격/남]]</f>
        <v>0.7866476312950228</v>
      </c>
      <c r="AC70" s="39">
        <v>1031</v>
      </c>
      <c r="AD70" s="39">
        <v>481</v>
      </c>
      <c r="AE70" s="39">
        <v>958</v>
      </c>
      <c r="AF70" s="39">
        <v>753</v>
      </c>
      <c r="AG70" s="39">
        <f t="shared" si="3"/>
        <v>155.24398416972346</v>
      </c>
      <c r="AH70" s="39">
        <f t="shared" si="4"/>
        <v>95.756015830276539</v>
      </c>
      <c r="AI70" s="72">
        <f>SUM(표1_3[[#This Row],[의대졸업/남]:[재시험자/여]])</f>
        <v>3474</v>
      </c>
      <c r="AJ70" s="74">
        <f>표1_3[[#This Row],[의사고시최초응시자수]]/표1_3[[#This Row],[응시자격자수]]</f>
        <v>0.97438111686816353</v>
      </c>
    </row>
    <row r="71" spans="1:36" ht="17.25" thickBot="1" x14ac:dyDescent="0.3">
      <c r="A71" s="1">
        <v>2019</v>
      </c>
      <c r="B71" s="9">
        <v>51709098</v>
      </c>
      <c r="C71" s="7">
        <v>126724</v>
      </c>
      <c r="D71" s="7">
        <v>126724</v>
      </c>
      <c r="E71" s="13">
        <v>0</v>
      </c>
      <c r="F71" s="15">
        <f>표1_3[[#This Row],[의사수/남]]/표1_3[[#This Row],[의사수/계]]</f>
        <v>1</v>
      </c>
      <c r="G71" s="1">
        <v>105628</v>
      </c>
      <c r="H71" s="42">
        <v>3318</v>
      </c>
      <c r="I71" s="41">
        <v>203</v>
      </c>
      <c r="J71" s="41">
        <v>3115</v>
      </c>
      <c r="K71" s="12">
        <f t="shared" si="6"/>
        <v>131174</v>
      </c>
      <c r="L71" s="1">
        <f>(-5*(표1_3[[#This Row],[년도]]-1950)^2/100000)+(16*(표1_3[[#This Row],[년도]]-1950)/10000)+0.8551</f>
        <v>0.72744999999999993</v>
      </c>
      <c r="M71" s="5">
        <f>표1_3[[#This Row],[의사고시합격자수]]*(표1_3[[#This Row],[의대졸업/남]]/(표1_3[[#This Row],[의대졸업/남]]+표1_3[[#This Row],[의대졸업/여]]+표1_3[[#This Row],[의전원졸업/남]]+표1_3[[#This Row],[의전원졸업/여]]+AG71+AH71))</f>
        <v>1207.8571428571429</v>
      </c>
      <c r="N71" s="5">
        <f>표1_3[[#This Row],[의사고시합격자수]]*(표1_3[[#This Row],[의대졸업/여]]/(표1_3[[#This Row],[의대졸업/남]]+표1_3[[#This Row],[의대졸업/여]]+표1_3[[#This Row],[의전원졸업/남]]+표1_3[[#This Row],[의전원졸업/여]]+AG71+AH71))</f>
        <v>589.64803312629397</v>
      </c>
      <c r="O71" s="5">
        <f>표1_3[[#This Row],[의사고시합격자수]]*(표1_3[[#This Row],[의전원졸업/남]]/(표1_3[[#This Row],[의대졸업/남]]+표1_3[[#This Row],[의대졸업/여]]+표1_3[[#This Row],[의전원졸업/남]]+표1_3[[#This Row],[의전원졸업/여]]+AG71+AH71))</f>
        <v>629.26501035196679</v>
      </c>
      <c r="P71" s="5">
        <f>표1_3[[#This Row],[의사고시합격자수]]*(표1_3[[#This Row],[의전원졸업/여]]/(표1_3[[#This Row],[의대졸업/남]]+표1_3[[#This Row],[의대졸업/여]]+표1_3[[#This Row],[의전원졸업/남]]+표1_3[[#This Row],[의전원졸업/여]]+AG71+AH71))</f>
        <v>521.4699792960663</v>
      </c>
      <c r="Q71" s="5">
        <f>표1_3[[#This Row],[의사고시합격자수]]*(AG71/(표1_3[[#This Row],[의대졸업/남]]+표1_3[[#This Row],[의대졸업/여]]+표1_3[[#This Row],[의전원졸업/남]]+표1_3[[#This Row],[의전원졸업/여]]+AG71+AH71))</f>
        <v>102.92854681803685</v>
      </c>
      <c r="R71" s="5">
        <f>표1_3[[#This Row],[의사고시합격자수]]*(AH71/(표1_3[[#This Row],[의대졸업/남]]+표1_3[[#This Row],[의대졸업/여]]+표1_3[[#This Row],[의전원졸업/남]]+표1_3[[#This Row],[의전원졸업/여]]+AG71+AH71))</f>
        <v>63.83128755049318</v>
      </c>
      <c r="S71" s="40">
        <f>표1_3[[#This Row],[의대졸비율/남]]+표1_3[[#This Row],[의전졸비율/남]]+표1_3[[#This Row],[불합비율/남]]</f>
        <v>0.6228092134918608</v>
      </c>
      <c r="T71" s="6">
        <f t="shared" si="7"/>
        <v>0.38775510204081631</v>
      </c>
      <c r="U71" s="6">
        <f t="shared" si="8"/>
        <v>0.18929310854776693</v>
      </c>
      <c r="V71" s="6">
        <f>표1_3[[#This Row],[의전졸합격/남]]/표1_3[[#This Row],[의사고시합격자수]]</f>
        <v>0.20201123927831999</v>
      </c>
      <c r="W71" s="6">
        <f>표1_3[[#This Row],[의전졸합격/여]]/표1_3[[#This Row],[의사고시합격자수]]</f>
        <v>0.16740609287193139</v>
      </c>
      <c r="X71" s="6">
        <f>표1_3[[#This Row],[불합합격/남]]/표1_3[[#This Row],[의사고시합격자수]]</f>
        <v>3.3042872172724509E-2</v>
      </c>
      <c r="Y71" s="6">
        <f>표1_3[[#This Row],[불합합격/여]]/표1_3[[#This Row],[의사고시합격자수]]</f>
        <v>2.0491585088440827E-2</v>
      </c>
      <c r="Z71" s="18">
        <v>610</v>
      </c>
      <c r="AA71" s="18">
        <v>644</v>
      </c>
      <c r="AB71" s="16">
        <f>표1_3[[#This Row],[군입대]]/표1_3[[#This Row],[의대졸합격/남]]</f>
        <v>0.5050266114725015</v>
      </c>
      <c r="AC71" s="39">
        <v>1311</v>
      </c>
      <c r="AD71" s="39">
        <v>640</v>
      </c>
      <c r="AE71" s="39">
        <v>683</v>
      </c>
      <c r="AF71" s="39">
        <v>566</v>
      </c>
      <c r="AG71" s="39">
        <f t="shared" si="3"/>
        <v>111.71795081598157</v>
      </c>
      <c r="AH71" s="39">
        <f t="shared" si="4"/>
        <v>69.282049184018433</v>
      </c>
      <c r="AI71" s="72">
        <f>SUM(표1_3[[#This Row],[의대졸업/남]:[재시험자/여]])</f>
        <v>3381</v>
      </c>
      <c r="AJ71" s="74">
        <f>표1_3[[#This Row],[의사고시최초응시자수]]/표1_3[[#This Row],[응시자격자수]]</f>
        <v>0.98136645962732916</v>
      </c>
    </row>
    <row r="72" spans="1:36" s="62" customFormat="1" ht="17.25" thickBot="1" x14ac:dyDescent="0.3">
      <c r="A72" s="50">
        <v>2020</v>
      </c>
      <c r="B72" s="51">
        <v>51780579</v>
      </c>
      <c r="C72" s="64">
        <v>0</v>
      </c>
      <c r="D72" s="64">
        <v>0</v>
      </c>
      <c r="E72" s="50">
        <v>0</v>
      </c>
      <c r="F72" s="50">
        <v>0</v>
      </c>
      <c r="G72" s="50">
        <v>107928</v>
      </c>
      <c r="H72" s="68">
        <v>3220</v>
      </c>
      <c r="I72" s="66">
        <v>195</v>
      </c>
      <c r="J72" s="69">
        <v>3025</v>
      </c>
      <c r="K72" s="70">
        <f t="shared" si="6"/>
        <v>134199</v>
      </c>
      <c r="L72" s="50">
        <f>(-5*(표1_3[[#This Row],[년도]]-1950)^2/100000)+(16*(표1_3[[#This Row],[년도]]-1950)/10000)+0.8551</f>
        <v>0.72209999999999996</v>
      </c>
      <c r="M72" s="57">
        <f>표1_3[[#This Row],[의사고시합격자수]]*(표1_3[[#This Row],[의대졸업/남]]/(표1_3[[#This Row],[의대졸업/남]]+표1_3[[#This Row],[의대졸업/여]]+표1_3[[#This Row],[의전원졸업/남]]+표1_3[[#This Row],[의전원졸업/여]]+AG72+AH72))</f>
        <v>1141.3564621798689</v>
      </c>
      <c r="N72" s="57">
        <f>표1_3[[#This Row],[의사고시합격자수]]*(표1_3[[#This Row],[의대졸업/여]]/(표1_3[[#This Row],[의대졸업/남]]+표1_3[[#This Row],[의대졸업/여]]+표1_3[[#This Row],[의전원졸업/남]]+표1_3[[#This Row],[의전원졸업/여]]+AG72+AH72))</f>
        <v>599.95533055390115</v>
      </c>
      <c r="O72" s="57">
        <f>표1_3[[#This Row],[의사고시합격자수]]*(표1_3[[#This Row],[의전원졸업/남]]/(표1_3[[#This Row],[의대졸업/남]]+표1_3[[#This Row],[의대졸업/여]]+표1_3[[#This Row],[의전원졸업/남]]+표1_3[[#This Row],[의전원졸업/여]]+AG72+AH72))</f>
        <v>606.26116736152471</v>
      </c>
      <c r="P72" s="57">
        <f>표1_3[[#This Row],[의사고시합격자수]]*(표1_3[[#This Row],[의전원졸업/여]]/(표1_3[[#This Row],[의대졸업/남]]+표1_3[[#This Row],[의대졸업/여]]+표1_3[[#This Row],[의전원졸업/남]]+표1_3[[#This Row],[의전원졸업/여]]+AG72+AH72))</f>
        <v>494.55777248362125</v>
      </c>
      <c r="Q72" s="57">
        <f>표1_3[[#This Row],[의사고시합격자수]]*(AG72/(표1_3[[#This Row],[의대졸업/남]]+표1_3[[#This Row],[의대졸업/여]]+표1_3[[#This Row],[의전원졸업/남]]+표1_3[[#This Row],[의전원졸업/여]]+AG72+AH72))</f>
        <v>113.89266461435808</v>
      </c>
      <c r="R72" s="57">
        <f>표1_3[[#This Row],[의사고시합격자수]]*(AH72/(표1_3[[#This Row],[의대졸업/남]]+표1_3[[#This Row],[의대졸업/여]]+표1_3[[#This Row],[의전원졸업/남]]+표1_3[[#This Row],[의전원졸업/여]]+AG72+AH72))</f>
        <v>68.976602806725893</v>
      </c>
      <c r="S72" s="58">
        <f>표1_3[[#This Row],[의대졸비율/남]]+표1_3[[#This Row],[의전졸비율/남]]+표1_3[[#This Row],[불합비율/남]]</f>
        <v>0.6153753038531411</v>
      </c>
      <c r="T72" s="59">
        <f t="shared" si="7"/>
        <v>0.37730792138177482</v>
      </c>
      <c r="U72" s="59">
        <f t="shared" si="8"/>
        <v>0.19833234067897559</v>
      </c>
      <c r="V72" s="59">
        <f>표1_3[[#This Row],[의전졸합격/남]]/표1_3[[#This Row],[의사고시합격자수]]</f>
        <v>0.20041691483025612</v>
      </c>
      <c r="W72" s="59">
        <f>표1_3[[#This Row],[의전졸합격/여]]/표1_3[[#This Row],[의사고시합격자수]]</f>
        <v>0.16349017272185826</v>
      </c>
      <c r="X72" s="59">
        <f>표1_3[[#This Row],[불합합격/남]]/표1_3[[#This Row],[의사고시합격자수]]</f>
        <v>3.7650467641110109E-2</v>
      </c>
      <c r="Y72" s="59">
        <f>표1_3[[#This Row],[불합합격/여]]/표1_3[[#This Row],[의사고시합격자수]]</f>
        <v>2.280218274602509E-2</v>
      </c>
      <c r="Z72" s="57">
        <f>표1_3[[#This Row],[의사수비율]]*0.5553*표1_3[[#This Row],[의사고시합격자수]]</f>
        <v>0</v>
      </c>
      <c r="AA72" s="71">
        <v>667</v>
      </c>
      <c r="AB72" s="60">
        <f>표1_3[[#This Row],[군입대]]/표1_3[[#This Row],[의대졸합격/남]]</f>
        <v>0</v>
      </c>
      <c r="AC72" s="61">
        <v>1267</v>
      </c>
      <c r="AD72" s="61">
        <v>666</v>
      </c>
      <c r="AE72" s="61">
        <v>673</v>
      </c>
      <c r="AF72" s="61">
        <v>549</v>
      </c>
      <c r="AG72" s="61">
        <f t="shared" si="3"/>
        <v>126.43027033884775</v>
      </c>
      <c r="AH72" s="61">
        <f t="shared" si="4"/>
        <v>76.569729661152252</v>
      </c>
      <c r="AI72" s="73">
        <f>SUM(표1_3[[#This Row],[의대졸업/남]:[재시험자/여]])</f>
        <v>3358</v>
      </c>
      <c r="AJ72" s="75">
        <f>표1_3[[#This Row],[의사고시최초응시자수]]/표1_3[[#This Row],[응시자격자수]]</f>
        <v>0.95890410958904104</v>
      </c>
    </row>
    <row r="73" spans="1:36" ht="17.25" thickBot="1" x14ac:dyDescent="0.3">
      <c r="A73" s="1">
        <v>2021</v>
      </c>
      <c r="B73" s="9">
        <v>51821669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31">
        <f>표1_3[[#This Row],[응시자격자수]]*0.95</f>
        <v>3128.35</v>
      </c>
      <c r="I73" s="22">
        <f>표1_3[[#This Row],[의사고시최초응시자수]]-표1_3[[#This Row],[의사고시합격자수]]</f>
        <v>187.70100000000002</v>
      </c>
      <c r="J73" s="43">
        <f>표1_3[[#This Row],[의사고시최초응시자수]]*0.94</f>
        <v>2940.6489999999999</v>
      </c>
      <c r="K73" s="12">
        <f t="shared" si="6"/>
        <v>137139.649</v>
      </c>
      <c r="L73" s="1">
        <f>(-5*(표1_3[[#This Row],[년도]]-1950)^2/100000)+(16*(표1_3[[#This Row],[년도]]-1950)/10000)+0.8551</f>
        <v>0.71665000000000001</v>
      </c>
      <c r="M73" s="34">
        <f>표1_3[[#This Row],[의사고시합격자수]]*(표1_3[[#This Row],[의대졸업/남]]/(표1_3[[#This Row],[의대졸업/남]]+표1_3[[#This Row],[의대졸업/여]]+표1_3[[#This Row],[의전원졸업/남]]+표1_3[[#This Row],[의전원졸업/여]]+AG73+AH73))</f>
        <v>1598.47</v>
      </c>
      <c r="N73" s="34">
        <f>표1_3[[#This Row],[의사고시합격자수]]*(표1_3[[#This Row],[의대졸업/여]]/(표1_3[[#This Row],[의대졸업/남]]+표1_3[[#This Row],[의대졸업/여]]+표1_3[[#This Row],[의전원졸업/남]]+표1_3[[#This Row],[의전원졸업/여]]+AG73+AH73))</f>
        <v>898.35799999999995</v>
      </c>
      <c r="O73" s="34">
        <f>표1_3[[#This Row],[의사고시합격자수]]*(표1_3[[#This Row],[의전원졸업/남]]/(표1_3[[#This Row],[의대졸업/남]]+표1_3[[#This Row],[의대졸업/여]]+표1_3[[#This Row],[의전원졸업/남]]+표1_3[[#This Row],[의전원졸업/여]]+AG73+AH73))</f>
        <v>153.59599999999998</v>
      </c>
      <c r="P73" s="34">
        <f>표1_3[[#This Row],[의사고시합격자수]]*(표1_3[[#This Row],[의전원졸업/여]]/(표1_3[[#This Row],[의대졸업/남]]+표1_3[[#This Row],[의대졸업/여]]+표1_3[[#This Row],[의전원졸업/남]]+표1_3[[#This Row],[의전원졸업/여]]+AG73+AH73))</f>
        <v>116.08999999999999</v>
      </c>
      <c r="Q73" s="34">
        <f>표1_3[[#This Row],[의사고시합격자수]]*(AG73/(표1_3[[#This Row],[의대졸업/남]]+표1_3[[#This Row],[의대졸업/여]]+표1_3[[#This Row],[의전원졸업/남]]+표1_3[[#This Row],[의전원졸업/여]]+AG73+AH73))</f>
        <v>107.15837853646673</v>
      </c>
      <c r="R73" s="34">
        <f>표1_3[[#This Row],[의사고시합격자수]]*(AH73/(표1_3[[#This Row],[의대졸업/남]]+표1_3[[#This Row],[의대졸업/여]]+표1_3[[#This Row],[의전원졸업/남]]+표1_3[[#This Row],[의전원졸업/여]]+AG73+AH73))</f>
        <v>66.976621463533277</v>
      </c>
      <c r="S73" s="40">
        <f>표1_3[[#This Row],[의대졸비율/남]]+표1_3[[#This Row],[의전졸비율/남]]+표1_3[[#This Row],[불합비율/남]]</f>
        <v>0.63224967635935692</v>
      </c>
      <c r="T73" s="6">
        <f t="shared" si="7"/>
        <v>0.54357728515031889</v>
      </c>
      <c r="U73" s="6">
        <f t="shared" si="8"/>
        <v>0.30549650774369874</v>
      </c>
      <c r="V73" s="6">
        <f>표1_3[[#This Row],[의전졸합격/남]]/표1_3[[#This Row],[의사고시합격자수]]</f>
        <v>5.2232007288187055E-2</v>
      </c>
      <c r="W73" s="6">
        <f>표1_3[[#This Row],[의전졸합격/여]]/표1_3[[#This Row],[의사고시합격자수]]</f>
        <v>3.9477679927118127E-2</v>
      </c>
      <c r="X73" s="6">
        <f>표1_3[[#This Row],[불합합격/남]]/표1_3[[#This Row],[의사고시합격자수]]</f>
        <v>3.6440383920851055E-2</v>
      </c>
      <c r="Y73" s="6">
        <f>표1_3[[#This Row],[불합합격/여]]/표1_3[[#This Row],[의사고시합격자수]]</f>
        <v>2.2776135969826142E-2</v>
      </c>
      <c r="Z73" s="5">
        <v>0</v>
      </c>
      <c r="AA73" s="67">
        <v>748</v>
      </c>
      <c r="AB73" s="16">
        <f>표1_3[[#This Row],[군입대]]/표1_3[[#This Row],[의대졸합격/남]]</f>
        <v>0</v>
      </c>
      <c r="AC73" s="39">
        <v>1790</v>
      </c>
      <c r="AD73" s="39">
        <v>1006</v>
      </c>
      <c r="AE73" s="39">
        <v>172</v>
      </c>
      <c r="AF73" s="39">
        <v>130</v>
      </c>
      <c r="AG73" s="76">
        <f t="shared" ref="AG73:AG78" si="9">I72*S72</f>
        <v>119.99818425136252</v>
      </c>
      <c r="AH73" s="76">
        <f t="shared" ref="AH73:AH78" si="10">I72*(1-S72)</f>
        <v>75.001815748637483</v>
      </c>
      <c r="AI73" s="72">
        <f>SUM(표1_3[[#This Row],[의대졸업/남]:[재시험자/여]])</f>
        <v>3293</v>
      </c>
      <c r="AJ73" s="74">
        <f>표1_3[[#This Row],[의사고시최초응시자수]]/표1_3[[#This Row],[응시자격자수]]</f>
        <v>0.95</v>
      </c>
    </row>
    <row r="74" spans="1:36" ht="17.25" thickBot="1" x14ac:dyDescent="0.3">
      <c r="A74" s="1">
        <v>2022</v>
      </c>
      <c r="B74" s="9">
        <v>51846339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31">
        <f>표1_3[[#This Row],[응시자격자수]]*0.95</f>
        <v>3342.76595</v>
      </c>
      <c r="I74" s="22">
        <f>표1_3[[#This Row],[의사고시최초응시자수]]-표1_3[[#This Row],[의사고시합격자수]]</f>
        <v>200.56595700000025</v>
      </c>
      <c r="J74" s="43">
        <f>표1_3[[#This Row],[의사고시최초응시자수]]*0.94</f>
        <v>3142.1999929999997</v>
      </c>
      <c r="K74" s="12">
        <f t="shared" si="6"/>
        <v>140281.84899299999</v>
      </c>
      <c r="L74" s="1">
        <f>(-5*(표1_3[[#This Row],[년도]]-1950)^2/100000)+(16*(표1_3[[#This Row],[년도]]-1950)/10000)+0.8551</f>
        <v>0.71109999999999995</v>
      </c>
      <c r="M74" s="34">
        <f>표1_3[[#This Row],[의사고시합격자수]]*(표1_3[[#This Row],[의대졸업/남]]/(표1_3[[#This Row],[의대졸업/남]]+표1_3[[#This Row],[의대졸업/여]]+표1_3[[#This Row],[의전원졸업/남]]+표1_3[[#This Row],[의전원졸업/여]]+AG74+AH74))</f>
        <v>1755.6379999999999</v>
      </c>
      <c r="N74" s="34">
        <f>표1_3[[#This Row],[의사고시합격자수]]*(표1_3[[#This Row],[의대졸업/여]]/(표1_3[[#This Row],[의대졸업/남]]+표1_3[[#This Row],[의대졸업/여]]+표1_3[[#This Row],[의전원졸업/남]]+표1_3[[#This Row],[의전원졸업/여]]+AG74+AH74))</f>
        <v>971.58399999999995</v>
      </c>
      <c r="O74" s="34">
        <f>표1_3[[#This Row],[의사고시합격자수]]*(표1_3[[#This Row],[의전원졸업/남]]/(표1_3[[#This Row],[의대졸업/남]]+표1_3[[#This Row],[의대졸업/여]]+표1_3[[#This Row],[의전원졸업/남]]+표1_3[[#This Row],[의전원졸업/여]]+AG74+AH74))</f>
        <v>126.806</v>
      </c>
      <c r="P74" s="34">
        <f>표1_3[[#This Row],[의사고시합격자수]]*(표1_3[[#This Row],[의전원졸업/여]]/(표1_3[[#This Row],[의대졸업/남]]+표1_3[[#This Row],[의대졸업/여]]+표1_3[[#This Row],[의전원졸업/남]]+표1_3[[#This Row],[의전원졸업/여]]+AG74+AH74))</f>
        <v>120.55499999999999</v>
      </c>
      <c r="Q74" s="34">
        <f>표1_3[[#This Row],[의사고시합격자수]]*(AG74/(표1_3[[#This Row],[의대졸업/남]]+표1_3[[#This Row],[의대졸업/여]]+표1_3[[#This Row],[의전원졸업/남]]+표1_3[[#This Row],[의전원졸업/여]]+AG74+AH74))</f>
        <v>105.97578957657861</v>
      </c>
      <c r="R74" s="34">
        <f>표1_3[[#This Row],[의사고시합격자수]]*(AH74/(표1_3[[#This Row],[의대졸업/남]]+표1_3[[#This Row],[의대졸업/여]]+표1_3[[#This Row],[의전원졸업/남]]+표1_3[[#This Row],[의전원졸업/여]]+AG74+AH74))</f>
        <v>61.641203423421409</v>
      </c>
      <c r="S74" s="40">
        <f>표1_3[[#This Row],[의대졸비율/남]]+표1_3[[#This Row],[의전졸비율/남]]+표1_3[[#This Row],[불합비율/남]]</f>
        <v>0.63281134046408827</v>
      </c>
      <c r="T74" s="6">
        <f t="shared" si="7"/>
        <v>0.55872891729078433</v>
      </c>
      <c r="U74" s="6">
        <f t="shared" si="8"/>
        <v>0.30920501628299762</v>
      </c>
      <c r="V74" s="6">
        <f>표1_3[[#This Row],[의전졸합격/남]]/표1_3[[#This Row],[의사고시합격자수]]</f>
        <v>4.0355801757523589E-2</v>
      </c>
      <c r="W74" s="6">
        <f>표1_3[[#This Row],[의전졸합격/여]]/표1_3[[#This Row],[의사고시합격자수]]</f>
        <v>3.8366431248349889E-2</v>
      </c>
      <c r="X74" s="6">
        <f>표1_3[[#This Row],[불합합격/남]]/표1_3[[#This Row],[의사고시합격자수]]</f>
        <v>3.3726621415780332E-2</v>
      </c>
      <c r="Y74" s="6">
        <f>표1_3[[#This Row],[불합합격/여]]/표1_3[[#This Row],[의사고시합격자수]]</f>
        <v>1.9617212004564285E-2</v>
      </c>
      <c r="Z74" s="5">
        <v>0</v>
      </c>
      <c r="AA74" s="18">
        <v>610</v>
      </c>
      <c r="AB74" s="16">
        <f>표1_3[[#This Row],[군입대]]/표1_3[[#This Row],[의대졸합격/남]]</f>
        <v>0</v>
      </c>
      <c r="AC74" s="39">
        <v>1966</v>
      </c>
      <c r="AD74" s="39">
        <v>1088</v>
      </c>
      <c r="AE74" s="39">
        <v>142</v>
      </c>
      <c r="AF74" s="39">
        <v>135</v>
      </c>
      <c r="AG74" s="76">
        <f t="shared" si="9"/>
        <v>118.67389650232766</v>
      </c>
      <c r="AH74" s="76">
        <f t="shared" si="10"/>
        <v>69.027103497672357</v>
      </c>
      <c r="AI74" s="72">
        <f>SUM(표1_3[[#This Row],[의대졸업/남]:[재시험자/여]])</f>
        <v>3518.701</v>
      </c>
      <c r="AJ74" s="74">
        <f>표1_3[[#This Row],[의사고시최초응시자수]]/표1_3[[#This Row],[응시자격자수]]</f>
        <v>0.95</v>
      </c>
    </row>
    <row r="75" spans="1:36" x14ac:dyDescent="0.25">
      <c r="A75" s="1">
        <v>2023</v>
      </c>
      <c r="B75" s="9">
        <v>51868100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31">
        <f>표1_3[[#This Row],[응시자격자수]]*0.95</f>
        <v>3625.7376591500001</v>
      </c>
      <c r="I75" s="22">
        <f>표1_3[[#This Row],[의사고시최초응시자수]]-표1_3[[#This Row],[의사고시합격자수]]</f>
        <v>217.54425954900034</v>
      </c>
      <c r="J75" s="43">
        <f>표1_3[[#This Row],[의사고시최초응시자수]]*0.94</f>
        <v>3408.1933996009998</v>
      </c>
      <c r="K75" s="12">
        <f t="shared" si="6"/>
        <v>143690.042392601</v>
      </c>
      <c r="L75" s="1">
        <f>(-5*(표1_3[[#This Row],[년도]]-1950)^2/100000)+(16*(표1_3[[#This Row],[년도]]-1950)/10000)+0.8551</f>
        <v>0.70544999999999991</v>
      </c>
      <c r="M75" s="34">
        <f>표1_3[[#This Row],[의사고시합격자수]]*(표1_3[[#This Row],[의대졸업/남]]/(표1_3[[#This Row],[의대졸업/남]]+표1_3[[#This Row],[의대졸업/여]]+표1_3[[#This Row],[의전원졸업/남]]+표1_3[[#This Row],[의전원졸업/여]]+AG75+AH75))</f>
        <v>1958.3489999999997</v>
      </c>
      <c r="N75" s="34">
        <f>표1_3[[#This Row],[의사고시합격자수]]*(표1_3[[#This Row],[의대졸업/여]]/(표1_3[[#This Row],[의대졸업/남]]+표1_3[[#This Row],[의대졸업/여]]+표1_3[[#This Row],[의전원졸업/남]]+표1_3[[#This Row],[의전원졸업/여]]+AG75+AH75))</f>
        <v>1021.5919999999999</v>
      </c>
      <c r="O75" s="34">
        <f>표1_3[[#This Row],[의사고시합격자수]]*(표1_3[[#This Row],[의전원졸업/남]]/(표1_3[[#This Row],[의대졸업/남]]+표1_3[[#This Row],[의대졸업/여]]+표1_3[[#This Row],[의전원졸업/남]]+표1_3[[#This Row],[의전원졸업/여]]+AG75+AH75))</f>
        <v>135.73599999999999</v>
      </c>
      <c r="P75" s="34">
        <f>표1_3[[#This Row],[의사고시합격자수]]*(표1_3[[#This Row],[의전원졸업/여]]/(표1_3[[#This Row],[의대졸업/남]]+표1_3[[#This Row],[의대졸업/여]]+표1_3[[#This Row],[의전원졸업/남]]+표1_3[[#This Row],[의전원졸업/여]]+AG75+AH75))</f>
        <v>113.41099999999999</v>
      </c>
      <c r="Q75" s="34">
        <f>표1_3[[#This Row],[의사고시합격자수]]*(AG75/(표1_3[[#This Row],[의대졸업/남]]+표1_3[[#This Row],[의대졸업/여]]+표1_3[[#This Row],[의전원졸업/남]]+표1_3[[#This Row],[의전원졸업/여]]+AG75+AH75))</f>
        <v>113.3399280058651</v>
      </c>
      <c r="R75" s="34">
        <f>표1_3[[#This Row],[의사고시합격자수]]*(AH75/(표1_3[[#This Row],[의대졸업/남]]+표1_3[[#This Row],[의대졸업/여]]+표1_3[[#This Row],[의전원졸업/남]]+표1_3[[#This Row],[의전원졸업/여]]+AG75+AH75))</f>
        <v>65.765471595135082</v>
      </c>
      <c r="S75" s="40">
        <f>표1_3[[#This Row],[의대졸비율/남]]+표1_3[[#This Row],[의전졸비율/남]]+표1_3[[#This Row],[불합비율/남]]</f>
        <v>0.64768182705367883</v>
      </c>
      <c r="T75" s="6">
        <f t="shared" si="7"/>
        <v>0.57460031470903772</v>
      </c>
      <c r="U75" s="6">
        <f t="shared" si="8"/>
        <v>0.29974590060517065</v>
      </c>
      <c r="V75" s="6">
        <f>표1_3[[#This Row],[의전졸합격/남]]/표1_3[[#This Row],[의사고시합격자수]]</f>
        <v>3.982637840208561E-2</v>
      </c>
      <c r="W75" s="6">
        <f>표1_3[[#This Row],[의전졸합격/여]]/표1_3[[#This Row],[의사고시합격자수]]</f>
        <v>3.3275987217532055E-2</v>
      </c>
      <c r="X75" s="6">
        <f>표1_3[[#This Row],[불합합격/남]]/표1_3[[#This Row],[의사고시합격자수]]</f>
        <v>3.3255133942555581E-2</v>
      </c>
      <c r="Y75" s="6">
        <f>표1_3[[#This Row],[불합합격/여]]/표1_3[[#This Row],[의사고시합격자수]]</f>
        <v>1.9296285123618369E-2</v>
      </c>
      <c r="Z75" s="5">
        <v>0</v>
      </c>
      <c r="AA75" s="5">
        <v>0</v>
      </c>
      <c r="AB75" s="16">
        <f>표1_3[[#This Row],[군입대]]/표1_3[[#This Row],[의대졸합격/남]]</f>
        <v>0</v>
      </c>
      <c r="AC75" s="39">
        <v>2193</v>
      </c>
      <c r="AD75" s="39">
        <v>1144</v>
      </c>
      <c r="AE75" s="39">
        <v>152</v>
      </c>
      <c r="AF75" s="39">
        <v>127</v>
      </c>
      <c r="AG75" s="76">
        <f t="shared" si="9"/>
        <v>126.92041210063284</v>
      </c>
      <c r="AH75" s="76">
        <f t="shared" si="10"/>
        <v>73.645544899367408</v>
      </c>
      <c r="AI75" s="72">
        <f>SUM(표1_3[[#This Row],[의대졸업/남]:[재시험자/여]])</f>
        <v>3816.5659570000003</v>
      </c>
      <c r="AJ75" s="74">
        <f>표1_3[[#This Row],[의사고시최초응시자수]]/표1_3[[#This Row],[응시자격자수]]</f>
        <v>0.95</v>
      </c>
    </row>
    <row r="76" spans="1:36" x14ac:dyDescent="0.25">
      <c r="A76" s="1">
        <v>2024</v>
      </c>
      <c r="B76" s="9">
        <v>51887623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31">
        <f>표1_3[[#This Row],[응시자격자수]]*0.95</f>
        <v>3017.7170465715503</v>
      </c>
      <c r="I76" s="22">
        <f>표1_3[[#This Row],[의사고시최초응시자수]]-표1_3[[#This Row],[의사고시합격자수]]</f>
        <v>181.06302279429337</v>
      </c>
      <c r="J76" s="43">
        <f>표1_3[[#This Row],[의사고시최초응시자수]]*0.94</f>
        <v>2836.654023777257</v>
      </c>
      <c r="K76" s="12">
        <f t="shared" si="6"/>
        <v>146526.69641637825</v>
      </c>
      <c r="L76" s="1">
        <f>(-5*(표1_3[[#This Row],[년도]]-1950)^2/100000)+(16*(표1_3[[#This Row],[년도]]-1950)/10000)+0.8551</f>
        <v>0.69969999999999999</v>
      </c>
      <c r="M76" s="34">
        <f>표1_3[[#This Row],[의사고시합격자수]]*(표1_3[[#This Row],[의대졸업/남]]/(표1_3[[#This Row],[의대졸업/남]]+표1_3[[#This Row],[의대졸업/여]]+표1_3[[#This Row],[의전원졸업/남]]+표1_3[[#This Row],[의전원졸업/여]]+AG76+AH76))</f>
        <v>1527.0299999999997</v>
      </c>
      <c r="N76" s="34">
        <f>표1_3[[#This Row],[의사고시합격자수]]*(표1_3[[#This Row],[의대졸업/여]]/(표1_3[[#This Row],[의대졸업/남]]+표1_3[[#This Row],[의대졸업/여]]+표1_3[[#This Row],[의전원졸업/남]]+표1_3[[#This Row],[의전원졸업/여]]+AG76+AH76))</f>
        <v>884.96299999999997</v>
      </c>
      <c r="O76" s="34">
        <f>표1_3[[#This Row],[의사고시합격자수]]*(표1_3[[#This Row],[의전원졸업/남]]/(표1_3[[#This Row],[의대졸업/남]]+표1_3[[#This Row],[의대졸업/여]]+표1_3[[#This Row],[의전원졸업/남]]+표1_3[[#This Row],[의전원졸업/여]]+AG76+AH76))</f>
        <v>130.37799999999999</v>
      </c>
      <c r="P76" s="34">
        <f>표1_3[[#This Row],[의사고시합격자수]]*(표1_3[[#This Row],[의전원졸업/여]]/(표1_3[[#This Row],[의대졸업/남]]+표1_3[[#This Row],[의대졸업/여]]+표1_3[[#This Row],[의전원졸업/남]]+표1_3[[#This Row],[의전원졸업/여]]+AG76+AH76))</f>
        <v>100.01599999999999</v>
      </c>
      <c r="Q76" s="34">
        <f>표1_3[[#This Row],[의사고시합격자수]]*(AG76/(표1_3[[#This Row],[의대졸업/남]]+표1_3[[#This Row],[의대졸업/여]]+표1_3[[#This Row],[의전원졸업/남]]+표1_3[[#This Row],[의전원졸업/여]]+AG76+AH76))</f>
        <v>125.82322089633448</v>
      </c>
      <c r="R76" s="34">
        <f>표1_3[[#This Row],[의사고시합격자수]]*(AH76/(표1_3[[#This Row],[의대졸업/남]]+표1_3[[#This Row],[의대졸업/여]]+표1_3[[#This Row],[의전원졸업/남]]+표1_3[[#This Row],[의전원졸업/여]]+AG76+AH76))</f>
        <v>68.443802880922817</v>
      </c>
      <c r="S76" s="40">
        <f>표1_3[[#This Row],[의대졸비율/남]]+표1_3[[#This Row],[의전졸비율/남]]+표1_3[[#This Row],[불합비율/남]]</f>
        <v>0.6286389548915815</v>
      </c>
      <c r="T76" s="6">
        <f t="shared" si="7"/>
        <v>0.53832084815427139</v>
      </c>
      <c r="U76" s="6">
        <f t="shared" si="8"/>
        <v>0.31197424591864503</v>
      </c>
      <c r="V76" s="6">
        <f>표1_3[[#This Row],[의전졸합격/남]]/표1_3[[#This Row],[의사고시합격자수]]</f>
        <v>4.5961896976914406E-2</v>
      </c>
      <c r="W76" s="6">
        <f>표1_3[[#This Row],[의전졸합격/여]]/표1_3[[#This Row],[의사고시합격자수]]</f>
        <v>3.5258441516537078E-2</v>
      </c>
      <c r="X76" s="6">
        <f>표1_3[[#This Row],[불합합격/남]]/표1_3[[#This Row],[의사고시합격자수]]</f>
        <v>4.4356209760395691E-2</v>
      </c>
      <c r="Y76" s="6">
        <f>표1_3[[#This Row],[불합합격/여]]/표1_3[[#This Row],[의사고시합격자수]]</f>
        <v>2.4128357673236376E-2</v>
      </c>
      <c r="Z76" s="5">
        <v>0</v>
      </c>
      <c r="AA76" s="5">
        <v>0</v>
      </c>
      <c r="AB76" s="16">
        <f>표1_3[[#This Row],[군입대]]/표1_3[[#This Row],[의대졸합격/남]]</f>
        <v>0</v>
      </c>
      <c r="AC76" s="39">
        <v>1710</v>
      </c>
      <c r="AD76" s="39">
        <v>991</v>
      </c>
      <c r="AE76" s="39">
        <v>146</v>
      </c>
      <c r="AF76" s="39">
        <v>112</v>
      </c>
      <c r="AG76" s="76">
        <f t="shared" si="9"/>
        <v>140.89946348973626</v>
      </c>
      <c r="AH76" s="76">
        <f t="shared" si="10"/>
        <v>76.644796059264081</v>
      </c>
      <c r="AI76" s="72">
        <f>SUM(표1_3[[#This Row],[의대졸업/남]:[재시험자/여]])</f>
        <v>3176.5442595490003</v>
      </c>
      <c r="AJ76" s="74">
        <f>표1_3[[#This Row],[의사고시최초응시자수]]/표1_3[[#This Row],[응시자격자수]]</f>
        <v>0.95</v>
      </c>
    </row>
    <row r="77" spans="1:36" x14ac:dyDescent="0.25">
      <c r="A77" s="1">
        <v>2025</v>
      </c>
      <c r="B77" s="9">
        <v>51905126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31">
        <f>표1_3[[#This Row],[응시자격자수]]*0.95</f>
        <v>3212.9598716545784</v>
      </c>
      <c r="I77" s="22">
        <f>표1_3[[#This Row],[의사고시최초응시자수]]-표1_3[[#This Row],[의사고시합격자수]]</f>
        <v>192.77759229927506</v>
      </c>
      <c r="J77" s="43">
        <f>표1_3[[#This Row],[의사고시최초응시자수]]*0.94</f>
        <v>3020.1822793553033</v>
      </c>
      <c r="K77" s="12">
        <f t="shared" si="6"/>
        <v>149546.87869573355</v>
      </c>
      <c r="L77" s="1">
        <f>(-5*(표1_3[[#This Row],[년도]]-1950)^2/100000)+(16*(표1_3[[#This Row],[년도]]-1950)/10000)+0.8551</f>
        <v>0.69384999999999997</v>
      </c>
      <c r="M77" s="34">
        <f>표1_3[[#This Row],[의사고시합격자수]]*(표1_3[[#This Row],[의대졸업/남]]/(표1_3[[#This Row],[의대졸업/남]]+표1_3[[#This Row],[의대졸업/여]]+표1_3[[#This Row],[의전원졸업/남]]+표1_3[[#This Row],[의전원졸업/여]]+AG77+AH77))</f>
        <v>1795.8229999999996</v>
      </c>
      <c r="N77" s="34">
        <f>표1_3[[#This Row],[의사고시합격자수]]*(표1_3[[#This Row],[의대졸업/여]]/(표1_3[[#This Row],[의대졸업/남]]+표1_3[[#This Row],[의대졸업/여]]+표1_3[[#This Row],[의전원졸업/남]]+표1_3[[#This Row],[의전원졸업/여]]+AG77+AH77))</f>
        <v>943.00799999999981</v>
      </c>
      <c r="O77" s="34">
        <f>표1_3[[#This Row],[의사고시합격자수]]*(표1_3[[#This Row],[의전원졸업/남]]/(표1_3[[#This Row],[의대졸업/남]]+표1_3[[#This Row],[의대졸업/여]]+표1_3[[#This Row],[의전원졸업/남]]+표1_3[[#This Row],[의전원졸업/여]]+AG77+AH77))</f>
        <v>67.867999999999981</v>
      </c>
      <c r="P77" s="34">
        <f>표1_3[[#This Row],[의사고시합격자수]]*(표1_3[[#This Row],[의전원졸업/여]]/(표1_3[[#This Row],[의대졸업/남]]+표1_3[[#This Row],[의대졸업/여]]+표1_3[[#This Row],[의전원졸업/남]]+표1_3[[#This Row],[의전원졸업/여]]+AG77+AH77))</f>
        <v>51.79399999999999</v>
      </c>
      <c r="Q77" s="34">
        <f>표1_3[[#This Row],[의사고시합격자수]]*(AG77/(표1_3[[#This Row],[의대졸업/남]]+표1_3[[#This Row],[의대졸업/여]]+표1_3[[#This Row],[의전원졸업/남]]+표1_3[[#This Row],[의전원졸업/여]]+AG77+AH77))</f>
        <v>101.64417959109124</v>
      </c>
      <c r="R77" s="34">
        <f>표1_3[[#This Row],[의사고시합격자수]]*(AH77/(표1_3[[#This Row],[의대졸업/남]]+표1_3[[#This Row],[의대졸업/여]]+표1_3[[#This Row],[의전원졸업/남]]+표1_3[[#This Row],[의전원졸업/여]]+AG77+AH77))</f>
        <v>60.045099764212701</v>
      </c>
      <c r="S77" s="40">
        <f>표1_3[[#This Row],[의대졸비율/남]]+표1_3[[#This Row],[의전졸비율/남]]+표1_3[[#This Row],[불합비율/남]]</f>
        <v>0.6507339616636042</v>
      </c>
      <c r="T77" s="6">
        <f t="shared" si="7"/>
        <v>0.59460748851997802</v>
      </c>
      <c r="U77" s="6">
        <f t="shared" si="8"/>
        <v>0.31223545891451854</v>
      </c>
      <c r="V77" s="6">
        <f>표1_3[[#This Row],[의전졸합격/남]]/표1_3[[#This Row],[의사고시합격자수]]</f>
        <v>2.2471491361272168E-2</v>
      </c>
      <c r="W77" s="6">
        <f>표1_3[[#This Row],[의전졸합격/여]]/표1_3[[#This Row],[의사고시합격자수]]</f>
        <v>1.7149296038865603E-2</v>
      </c>
      <c r="X77" s="6">
        <f>표1_3[[#This Row],[불합합격/남]]/표1_3[[#This Row],[의사고시합격자수]]</f>
        <v>3.3654981782354043E-2</v>
      </c>
      <c r="Y77" s="6">
        <f>표1_3[[#This Row],[불합합격/여]]/표1_3[[#This Row],[의사고시합격자수]]</f>
        <v>1.9881283383011605E-2</v>
      </c>
      <c r="Z77" s="5">
        <v>0</v>
      </c>
      <c r="AA77" s="5">
        <v>0</v>
      </c>
      <c r="AB77" s="16">
        <f>표1_3[[#This Row],[군입대]]/표1_3[[#This Row],[의대졸합격/남]]</f>
        <v>0</v>
      </c>
      <c r="AC77" s="39">
        <v>2011</v>
      </c>
      <c r="AD77" s="39">
        <v>1056</v>
      </c>
      <c r="AE77" s="39">
        <v>76</v>
      </c>
      <c r="AF77" s="39">
        <v>58</v>
      </c>
      <c r="AG77" s="76">
        <f t="shared" si="9"/>
        <v>113.82326941891519</v>
      </c>
      <c r="AH77" s="76">
        <f t="shared" si="10"/>
        <v>67.239753375378186</v>
      </c>
      <c r="AI77" s="72">
        <f>SUM(표1_3[[#This Row],[의대졸업/남]:[재시험자/여]])</f>
        <v>3382.0630227942934</v>
      </c>
      <c r="AJ77" s="74">
        <f>표1_3[[#This Row],[의사고시최초응시자수]]/표1_3[[#This Row],[응시자격자수]]</f>
        <v>0.94999999999999984</v>
      </c>
    </row>
    <row r="78" spans="1:36" x14ac:dyDescent="0.25">
      <c r="A78" s="1">
        <v>2026</v>
      </c>
      <c r="B78" s="9">
        <v>51920462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31">
        <f>표1_3[[#This Row],[응시자격자수]]*0.95</f>
        <v>3142.388712684311</v>
      </c>
      <c r="I78" s="22">
        <f>표1_3[[#This Row],[의사고시최초응시자수]]-표1_3[[#This Row],[의사고시합격자수]]</f>
        <v>188.54332276105879</v>
      </c>
      <c r="J78" s="43">
        <f>표1_3[[#This Row],[의사고시최초응시자수]]*0.94</f>
        <v>2953.8453899232522</v>
      </c>
      <c r="K78" s="12">
        <f t="shared" si="6"/>
        <v>152500.72408565681</v>
      </c>
      <c r="L78" s="1">
        <f>(-5*(표1_3[[#This Row],[년도]]-1950)^2/100000)+(16*(표1_3[[#This Row],[년도]]-1950)/10000)+0.8551</f>
        <v>0.68789999999999996</v>
      </c>
      <c r="M78" s="34">
        <f>표1_3[[#This Row],[의사고시합격자수]]*(표1_3[[#This Row],[의대졸업/남]]/(표1_3[[#This Row],[의대졸업/남]]+표1_3[[#This Row],[의대졸업/여]]+표1_3[[#This Row],[의전원졸업/남]]+표1_3[[#This Row],[의전원졸업/여]]+AG78+AH78))</f>
        <v>1745.4673501793282</v>
      </c>
      <c r="N78" s="34">
        <f>표1_3[[#This Row],[의사고시합격자수]]*(표1_3[[#This Row],[의대졸업/여]]/(표1_3[[#This Row],[의대졸업/남]]+표1_3[[#This Row],[의대졸업/여]]+표1_3[[#This Row],[의전원졸업/남]]+표1_3[[#This Row],[의전원졸업/여]]+AG78+AH78))</f>
        <v>916.56564982067152</v>
      </c>
      <c r="O78" s="34">
        <f>표1_3[[#This Row],[의사고시합격자수]]*(표1_3[[#This Row],[의전원졸업/남]]/(표1_3[[#This Row],[의대졸업/남]]+표1_3[[#This Row],[의대졸업/여]]+표1_3[[#This Row],[의전원졸업/남]]+표1_3[[#This Row],[의전원졸업/여]]+AG78+AH78))</f>
        <v>67.867999999999995</v>
      </c>
      <c r="P78" s="34">
        <f>표1_3[[#This Row],[의사고시합격자수]]*(표1_3[[#This Row],[의전원졸업/여]]/(표1_3[[#This Row],[의대졸업/남]]+표1_3[[#This Row],[의대졸업/여]]+표1_3[[#This Row],[의전원졸업/남]]+표1_3[[#This Row],[의전원졸업/여]]+AG78+AH78))</f>
        <v>51.79399999999999</v>
      </c>
      <c r="Q78" s="34">
        <f>표1_3[[#This Row],[의사고시합격자수]]*(AG78/(표1_3[[#This Row],[의대졸업/남]]+표1_3[[#This Row],[의대졸업/여]]+표1_3[[#This Row],[의전원졸업/남]]+표1_3[[#This Row],[의전원졸업/여]]+AG78+AH78))</f>
        <v>112.02410523669238</v>
      </c>
      <c r="R78" s="34">
        <f>표1_3[[#This Row],[의사고시합격자수]]*(AH78/(표1_3[[#This Row],[의대졸업/남]]+표1_3[[#This Row],[의대졸업/여]]+표1_3[[#This Row],[의전원졸업/남]]+표1_3[[#This Row],[의전원졸업/여]]+AG78+AH78))</f>
        <v>60.126284686560226</v>
      </c>
      <c r="S78" s="40">
        <f>표1_3[[#This Row],[의대졸비율/남]]+표1_3[[#This Row],[의전졸비율/남]]+표1_3[[#This Row],[불합비율/남]]</f>
        <v>0.65181456754107425</v>
      </c>
      <c r="T78" s="6">
        <f t="shared" si="7"/>
        <v>0.59091357866387162</v>
      </c>
      <c r="U78" s="6">
        <f t="shared" si="8"/>
        <v>0.31029574294830847</v>
      </c>
      <c r="V78" s="6">
        <f>표1_3[[#This Row],[의전졸합격/남]]/표1_3[[#This Row],[의사고시합격자수]]</f>
        <v>2.2976151775419552E-2</v>
      </c>
      <c r="W78" s="6">
        <f>표1_3[[#This Row],[의전졸합격/여]]/표1_3[[#This Row],[의사고시합격자수]]</f>
        <v>1.7534431618083341E-2</v>
      </c>
      <c r="X78" s="6">
        <f>표1_3[[#This Row],[불합합격/남]]/표1_3[[#This Row],[의사고시합격자수]]</f>
        <v>3.792483710178312E-2</v>
      </c>
      <c r="Y78" s="6">
        <f>표1_3[[#This Row],[불합합격/여]]/표1_3[[#This Row],[의사고시합격자수]]</f>
        <v>2.0355257892533923E-2</v>
      </c>
      <c r="Z78" s="5">
        <v>0</v>
      </c>
      <c r="AA78" s="5">
        <v>0</v>
      </c>
      <c r="AB78" s="5">
        <v>0</v>
      </c>
      <c r="AC78" s="39">
        <v>1954.6106944897294</v>
      </c>
      <c r="AD78" s="39">
        <v>1026.3893055102706</v>
      </c>
      <c r="AE78" s="39">
        <v>76</v>
      </c>
      <c r="AF78" s="39">
        <v>58</v>
      </c>
      <c r="AG78" s="76">
        <f t="shared" si="9"/>
        <v>125.44692635687838</v>
      </c>
      <c r="AH78" s="76">
        <f t="shared" si="10"/>
        <v>67.330665942396678</v>
      </c>
      <c r="AI78" s="72">
        <f>SUM(표1_3[[#This Row],[의대졸업/남]:[재시험자/여]])</f>
        <v>3307.7775922992751</v>
      </c>
      <c r="AJ78" s="74">
        <f>표1_3[[#This Row],[의사고시최초응시자수]]/표1_3[[#This Row],[응시자격자수]]</f>
        <v>0.95</v>
      </c>
    </row>
    <row r="79" spans="1:36" x14ac:dyDescent="0.25">
      <c r="A79" s="1">
        <v>2027</v>
      </c>
      <c r="B79" s="9">
        <v>51933215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31"/>
      <c r="I79" s="22"/>
      <c r="J79" s="22">
        <v>0</v>
      </c>
      <c r="K79" s="5">
        <v>0</v>
      </c>
      <c r="L79" s="1">
        <f>(-5*(표1_3[[#This Row],[년도]]-1950)^2/100000)+(16*(표1_3[[#This Row],[년도]]-1950)/10000)+0.8551</f>
        <v>0.68184999999999996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40" t="e">
        <f>표1_3[[#This Row],[의대졸비율/남]]+표1_3[[#This Row],[의전졸비율/남]]+표1_3[[#This Row],[불합비율/남]]</f>
        <v>#DIV/0!</v>
      </c>
      <c r="T79" s="6" t="e">
        <f t="shared" si="7"/>
        <v>#DIV/0!</v>
      </c>
      <c r="U79" s="6" t="e">
        <f t="shared" si="8"/>
        <v>#DIV/0!</v>
      </c>
      <c r="V79" s="6" t="e">
        <f>표1_3[[#This Row],[의전졸합격/남]]/표1_3[[#This Row],[의사고시합격자수]]</f>
        <v>#DIV/0!</v>
      </c>
      <c r="W79" s="6" t="e">
        <f>표1_3[[#This Row],[의전졸합격/여]]/표1_3[[#This Row],[의사고시합격자수]]</f>
        <v>#DIV/0!</v>
      </c>
      <c r="X79" s="6" t="e">
        <f>표1_3[[#This Row],[불합합격/남]]/표1_3[[#This Row],[의사고시합격자수]]</f>
        <v>#DIV/0!</v>
      </c>
      <c r="Y79" s="6" t="e">
        <f>표1_3[[#This Row],[불합합격/여]]/표1_3[[#This Row],[의사고시합격자수]]</f>
        <v>#DIV/0!</v>
      </c>
      <c r="Z79" s="5">
        <v>0</v>
      </c>
      <c r="AA79" s="5">
        <v>0</v>
      </c>
      <c r="AB79" s="5">
        <v>0</v>
      </c>
      <c r="AC79" s="39">
        <v>0</v>
      </c>
      <c r="AD79" s="39">
        <v>0</v>
      </c>
      <c r="AE79" s="39">
        <v>0</v>
      </c>
      <c r="AF79" s="39">
        <v>0</v>
      </c>
      <c r="AG79" s="39">
        <v>0</v>
      </c>
      <c r="AH79" s="39">
        <v>0</v>
      </c>
      <c r="AI79" s="72">
        <f>SUM(표1_3[[#This Row],[의대졸업/남]:[재시험자/여]])</f>
        <v>0</v>
      </c>
      <c r="AJ79" s="74" t="e">
        <f>표1_3[[#This Row],[의사고시최초응시자수]]/표1_3[[#This Row],[응시자격자수]]</f>
        <v>#DIV/0!</v>
      </c>
    </row>
    <row r="80" spans="1:36" x14ac:dyDescent="0.25">
      <c r="A80" s="1">
        <v>2028</v>
      </c>
      <c r="B80" s="9">
        <v>51941946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31"/>
      <c r="I80" s="22"/>
      <c r="J80" s="22">
        <v>0</v>
      </c>
      <c r="K80" s="5">
        <v>0</v>
      </c>
      <c r="L80" s="1">
        <f>(-5*(표1_3[[#This Row],[년도]]-1950)^2/100000)+(16*(표1_3[[#This Row],[년도]]-1950)/10000)+0.8551</f>
        <v>0.67569999999999997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40" t="e">
        <f>표1_3[[#This Row],[의대졸비율/남]]+표1_3[[#This Row],[의전졸비율/남]]+표1_3[[#This Row],[불합비율/남]]</f>
        <v>#DIV/0!</v>
      </c>
      <c r="T80" s="6" t="e">
        <f t="shared" si="7"/>
        <v>#DIV/0!</v>
      </c>
      <c r="U80" s="6" t="e">
        <f t="shared" si="8"/>
        <v>#DIV/0!</v>
      </c>
      <c r="V80" s="6" t="e">
        <f>표1_3[[#This Row],[의전졸합격/남]]/표1_3[[#This Row],[의사고시합격자수]]</f>
        <v>#DIV/0!</v>
      </c>
      <c r="W80" s="6" t="e">
        <f>표1_3[[#This Row],[의전졸합격/여]]/표1_3[[#This Row],[의사고시합격자수]]</f>
        <v>#DIV/0!</v>
      </c>
      <c r="X80" s="6" t="e">
        <f>표1_3[[#This Row],[불합합격/남]]/표1_3[[#This Row],[의사고시합격자수]]</f>
        <v>#DIV/0!</v>
      </c>
      <c r="Y80" s="6" t="e">
        <f>표1_3[[#This Row],[불합합격/여]]/표1_3[[#This Row],[의사고시합격자수]]</f>
        <v>#DIV/0!</v>
      </c>
      <c r="Z80" s="5">
        <v>0</v>
      </c>
      <c r="AA80" s="5">
        <v>0</v>
      </c>
      <c r="AB80" s="5">
        <v>0</v>
      </c>
      <c r="AC80" s="39">
        <v>0</v>
      </c>
      <c r="AD80" s="39">
        <v>0</v>
      </c>
      <c r="AE80" s="39">
        <v>0</v>
      </c>
      <c r="AF80" s="39">
        <v>0</v>
      </c>
      <c r="AG80" s="39">
        <v>0</v>
      </c>
      <c r="AH80" s="39">
        <v>0</v>
      </c>
      <c r="AI80" s="72">
        <f>SUM(표1_3[[#This Row],[의대졸업/남]:[재시험자/여]])</f>
        <v>0</v>
      </c>
      <c r="AJ80" s="74" t="e">
        <f>표1_3[[#This Row],[의사고시최초응시자수]]/표1_3[[#This Row],[응시자격자수]]</f>
        <v>#DIV/0!</v>
      </c>
    </row>
    <row r="81" spans="1:36" x14ac:dyDescent="0.25">
      <c r="A81" s="1">
        <v>2029</v>
      </c>
      <c r="B81" s="9">
        <v>51940598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31"/>
      <c r="I81" s="22"/>
      <c r="J81" s="22">
        <v>0</v>
      </c>
      <c r="K81" s="5">
        <v>0</v>
      </c>
      <c r="L81" s="1">
        <f>(-5*(표1_3[[#This Row],[년도]]-1950)^2/100000)+(16*(표1_3[[#This Row],[년도]]-1950)/10000)+0.8551</f>
        <v>0.66944999999999999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40" t="e">
        <f>표1_3[[#This Row],[의대졸비율/남]]+표1_3[[#This Row],[의전졸비율/남]]+표1_3[[#This Row],[불합비율/남]]</f>
        <v>#DIV/0!</v>
      </c>
      <c r="T81" s="6" t="e">
        <f t="shared" si="7"/>
        <v>#DIV/0!</v>
      </c>
      <c r="U81" s="6" t="e">
        <f t="shared" si="8"/>
        <v>#DIV/0!</v>
      </c>
      <c r="V81" s="6" t="e">
        <f>표1_3[[#This Row],[의전졸합격/남]]/표1_3[[#This Row],[의사고시합격자수]]</f>
        <v>#DIV/0!</v>
      </c>
      <c r="W81" s="6" t="e">
        <f>표1_3[[#This Row],[의전졸합격/여]]/표1_3[[#This Row],[의사고시합격자수]]</f>
        <v>#DIV/0!</v>
      </c>
      <c r="X81" s="6" t="e">
        <f>표1_3[[#This Row],[불합합격/남]]/표1_3[[#This Row],[의사고시합격자수]]</f>
        <v>#DIV/0!</v>
      </c>
      <c r="Y81" s="6" t="e">
        <f>표1_3[[#This Row],[불합합격/여]]/표1_3[[#This Row],[의사고시합격자수]]</f>
        <v>#DIV/0!</v>
      </c>
      <c r="Z81" s="5">
        <v>0</v>
      </c>
      <c r="AA81" s="5">
        <v>0</v>
      </c>
      <c r="AB81" s="5">
        <v>0</v>
      </c>
      <c r="AC81" s="39">
        <v>0</v>
      </c>
      <c r="AD81" s="39">
        <v>0</v>
      </c>
      <c r="AE81" s="39">
        <v>0</v>
      </c>
      <c r="AF81" s="39">
        <v>0</v>
      </c>
      <c r="AG81" s="39">
        <v>0</v>
      </c>
      <c r="AH81" s="39">
        <v>0</v>
      </c>
      <c r="AI81" s="72">
        <f>SUM(표1_3[[#This Row],[의대졸업/남]:[재시험자/여]])</f>
        <v>0</v>
      </c>
      <c r="AJ81" s="74" t="e">
        <f>표1_3[[#This Row],[의사고시최초응시자수]]/표1_3[[#This Row],[응시자격자수]]</f>
        <v>#DIV/0!</v>
      </c>
    </row>
    <row r="82" spans="1:36" x14ac:dyDescent="0.25">
      <c r="A82" s="1">
        <v>2030</v>
      </c>
      <c r="B82" s="9">
        <v>51926953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31"/>
      <c r="I82" s="22"/>
      <c r="J82" s="22">
        <v>0</v>
      </c>
      <c r="K82" s="5">
        <v>0</v>
      </c>
      <c r="L82" s="1">
        <f>(-5*(표1_3[[#This Row],[년도]]-1950)^2/100000)+(16*(표1_3[[#This Row],[년도]]-1950)/10000)+0.8551</f>
        <v>0.66310000000000002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40" t="e">
        <f>표1_3[[#This Row],[의대졸비율/남]]+표1_3[[#This Row],[의전졸비율/남]]+표1_3[[#This Row],[불합비율/남]]</f>
        <v>#DIV/0!</v>
      </c>
      <c r="T82" s="6" t="e">
        <f t="shared" si="7"/>
        <v>#DIV/0!</v>
      </c>
      <c r="U82" s="6" t="e">
        <f t="shared" si="8"/>
        <v>#DIV/0!</v>
      </c>
      <c r="V82" s="6" t="e">
        <f>표1_3[[#This Row],[의전졸합격/남]]/표1_3[[#This Row],[의사고시합격자수]]</f>
        <v>#DIV/0!</v>
      </c>
      <c r="W82" s="6" t="e">
        <f>표1_3[[#This Row],[의전졸합격/여]]/표1_3[[#This Row],[의사고시합격자수]]</f>
        <v>#DIV/0!</v>
      </c>
      <c r="X82" s="6" t="e">
        <f>표1_3[[#This Row],[불합합격/남]]/표1_3[[#This Row],[의사고시합격자수]]</f>
        <v>#DIV/0!</v>
      </c>
      <c r="Y82" s="6" t="e">
        <f>표1_3[[#This Row],[불합합격/여]]/표1_3[[#This Row],[의사고시합격자수]]</f>
        <v>#DIV/0!</v>
      </c>
      <c r="Z82" s="5">
        <v>0</v>
      </c>
      <c r="AA82" s="5">
        <v>0</v>
      </c>
      <c r="AB82" s="5">
        <v>0</v>
      </c>
      <c r="AC82" s="39">
        <v>0</v>
      </c>
      <c r="AD82" s="39">
        <v>0</v>
      </c>
      <c r="AE82" s="39">
        <v>0</v>
      </c>
      <c r="AF82" s="39">
        <v>0</v>
      </c>
      <c r="AG82" s="39">
        <v>0</v>
      </c>
      <c r="AH82" s="39">
        <v>0</v>
      </c>
      <c r="AI82" s="72">
        <f>SUM(표1_3[[#This Row],[의대졸업/남]:[재시험자/여]])</f>
        <v>0</v>
      </c>
      <c r="AJ82" s="74" t="e">
        <f>표1_3[[#This Row],[의사고시최초응시자수]]/표1_3[[#This Row],[응시자격자수]]</f>
        <v>#DIV/0!</v>
      </c>
    </row>
    <row r="83" spans="1:36" x14ac:dyDescent="0.25">
      <c r="A83" s="1">
        <v>2031</v>
      </c>
      <c r="B83" s="9">
        <v>51899896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31"/>
      <c r="I83" s="22"/>
      <c r="J83" s="22">
        <v>0</v>
      </c>
      <c r="K83" s="5">
        <v>0</v>
      </c>
      <c r="L83" s="1">
        <f>(-5*(표1_3[[#This Row],[년도]]-1950)^2/100000)+(16*(표1_3[[#This Row],[년도]]-1950)/10000)+0.8551</f>
        <v>0.65664999999999996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40" t="e">
        <f>표1_3[[#This Row],[의대졸비율/남]]+표1_3[[#This Row],[의전졸비율/남]]+표1_3[[#This Row],[불합비율/남]]</f>
        <v>#DIV/0!</v>
      </c>
      <c r="T83" s="6" t="e">
        <f t="shared" si="7"/>
        <v>#DIV/0!</v>
      </c>
      <c r="U83" s="6" t="e">
        <f t="shared" si="8"/>
        <v>#DIV/0!</v>
      </c>
      <c r="V83" s="6" t="e">
        <f>표1_3[[#This Row],[의전졸합격/남]]/표1_3[[#This Row],[의사고시합격자수]]</f>
        <v>#DIV/0!</v>
      </c>
      <c r="W83" s="6" t="e">
        <f>표1_3[[#This Row],[의전졸합격/여]]/표1_3[[#This Row],[의사고시합격자수]]</f>
        <v>#DIV/0!</v>
      </c>
      <c r="X83" s="6" t="e">
        <f>표1_3[[#This Row],[불합합격/남]]/표1_3[[#This Row],[의사고시합격자수]]</f>
        <v>#DIV/0!</v>
      </c>
      <c r="Y83" s="6" t="e">
        <f>표1_3[[#This Row],[불합합격/여]]/표1_3[[#This Row],[의사고시합격자수]]</f>
        <v>#DIV/0!</v>
      </c>
      <c r="Z83" s="5">
        <v>0</v>
      </c>
      <c r="AA83" s="5">
        <v>0</v>
      </c>
      <c r="AB83" s="5">
        <v>0</v>
      </c>
      <c r="AC83" s="39">
        <v>0</v>
      </c>
      <c r="AD83" s="39">
        <v>0</v>
      </c>
      <c r="AE83" s="39">
        <v>0</v>
      </c>
      <c r="AF83" s="39">
        <v>0</v>
      </c>
      <c r="AG83" s="39">
        <v>0</v>
      </c>
      <c r="AH83" s="39">
        <v>0</v>
      </c>
      <c r="AI83" s="72">
        <f>SUM(표1_3[[#This Row],[의대졸업/남]:[재시험자/여]])</f>
        <v>0</v>
      </c>
      <c r="AJ83" s="74" t="e">
        <f>표1_3[[#This Row],[의사고시최초응시자수]]/표1_3[[#This Row],[응시자격자수]]</f>
        <v>#DIV/0!</v>
      </c>
    </row>
    <row r="84" spans="1:36" x14ac:dyDescent="0.25">
      <c r="A84" s="1">
        <v>2032</v>
      </c>
      <c r="B84" s="9">
        <v>51858138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31"/>
      <c r="I84" s="22"/>
      <c r="J84" s="22">
        <v>0</v>
      </c>
      <c r="K84" s="5">
        <v>0</v>
      </c>
      <c r="L84" s="1">
        <f>(-5*(표1_3[[#This Row],[년도]]-1950)^2/100000)+(16*(표1_3[[#This Row],[년도]]-1950)/10000)+0.8551</f>
        <v>0.65010000000000001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40" t="e">
        <f>표1_3[[#This Row],[의대졸비율/남]]+표1_3[[#This Row],[의전졸비율/남]]+표1_3[[#This Row],[불합비율/남]]</f>
        <v>#DIV/0!</v>
      </c>
      <c r="T84" s="6" t="e">
        <f t="shared" si="7"/>
        <v>#DIV/0!</v>
      </c>
      <c r="U84" s="6" t="e">
        <f t="shared" si="8"/>
        <v>#DIV/0!</v>
      </c>
      <c r="V84" s="6" t="e">
        <f>표1_3[[#This Row],[의전졸합격/남]]/표1_3[[#This Row],[의사고시합격자수]]</f>
        <v>#DIV/0!</v>
      </c>
      <c r="W84" s="6" t="e">
        <f>표1_3[[#This Row],[의전졸합격/여]]/표1_3[[#This Row],[의사고시합격자수]]</f>
        <v>#DIV/0!</v>
      </c>
      <c r="X84" s="6" t="e">
        <f>표1_3[[#This Row],[불합합격/남]]/표1_3[[#This Row],[의사고시합격자수]]</f>
        <v>#DIV/0!</v>
      </c>
      <c r="Y84" s="6" t="e">
        <f>표1_3[[#This Row],[불합합격/여]]/표1_3[[#This Row],[의사고시합격자수]]</f>
        <v>#DIV/0!</v>
      </c>
      <c r="Z84" s="5">
        <v>0</v>
      </c>
      <c r="AA84" s="5">
        <v>0</v>
      </c>
      <c r="AB84" s="5">
        <v>0</v>
      </c>
      <c r="AC84" s="39">
        <v>0</v>
      </c>
      <c r="AD84" s="39">
        <v>0</v>
      </c>
      <c r="AE84" s="39">
        <v>0</v>
      </c>
      <c r="AF84" s="39">
        <v>0</v>
      </c>
      <c r="AG84" s="39">
        <v>0</v>
      </c>
      <c r="AH84" s="39">
        <v>0</v>
      </c>
      <c r="AI84" s="72">
        <f>SUM(표1_3[[#This Row],[의대졸업/남]:[재시험자/여]])</f>
        <v>0</v>
      </c>
      <c r="AJ84" s="74" t="e">
        <f>표1_3[[#This Row],[의사고시최초응시자수]]/표1_3[[#This Row],[응시자격자수]]</f>
        <v>#DIV/0!</v>
      </c>
    </row>
    <row r="85" spans="1:36" x14ac:dyDescent="0.25">
      <c r="A85" s="1">
        <v>2033</v>
      </c>
      <c r="B85" s="9">
        <v>51800130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31"/>
      <c r="I85" s="22"/>
      <c r="J85" s="22">
        <v>0</v>
      </c>
      <c r="K85" s="5">
        <v>0</v>
      </c>
      <c r="L85" s="1">
        <f>(-5*(표1_3[[#This Row],[년도]]-1950)^2/100000)+(16*(표1_3[[#This Row],[년도]]-1950)/10000)+0.8551</f>
        <v>0.64344999999999997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40" t="e">
        <f>표1_3[[#This Row],[의대졸비율/남]]+표1_3[[#This Row],[의전졸비율/남]]+표1_3[[#This Row],[불합비율/남]]</f>
        <v>#DIV/0!</v>
      </c>
      <c r="T85" s="6" t="e">
        <f t="shared" si="7"/>
        <v>#DIV/0!</v>
      </c>
      <c r="U85" s="6" t="e">
        <f t="shared" si="8"/>
        <v>#DIV/0!</v>
      </c>
      <c r="V85" s="6" t="e">
        <f>표1_3[[#This Row],[의전졸합격/남]]/표1_3[[#This Row],[의사고시합격자수]]</f>
        <v>#DIV/0!</v>
      </c>
      <c r="W85" s="6" t="e">
        <f>표1_3[[#This Row],[의전졸합격/여]]/표1_3[[#This Row],[의사고시합격자수]]</f>
        <v>#DIV/0!</v>
      </c>
      <c r="X85" s="6" t="e">
        <f>표1_3[[#This Row],[불합합격/남]]/표1_3[[#This Row],[의사고시합격자수]]</f>
        <v>#DIV/0!</v>
      </c>
      <c r="Y85" s="6" t="e">
        <f>표1_3[[#This Row],[불합합격/여]]/표1_3[[#This Row],[의사고시합격자수]]</f>
        <v>#DIV/0!</v>
      </c>
      <c r="Z85" s="5">
        <v>0</v>
      </c>
      <c r="AA85" s="5">
        <v>0</v>
      </c>
      <c r="AB85" s="5">
        <v>0</v>
      </c>
      <c r="AC85" s="39">
        <v>0</v>
      </c>
      <c r="AD85" s="39">
        <v>0</v>
      </c>
      <c r="AE85" s="39">
        <v>0</v>
      </c>
      <c r="AF85" s="39">
        <v>0</v>
      </c>
      <c r="AG85" s="39">
        <v>0</v>
      </c>
      <c r="AH85" s="39">
        <v>0</v>
      </c>
      <c r="AI85" s="72">
        <f>SUM(표1_3[[#This Row],[의대졸업/남]:[재시험자/여]])</f>
        <v>0</v>
      </c>
      <c r="AJ85" s="74" t="e">
        <f>표1_3[[#This Row],[의사고시최초응시자수]]/표1_3[[#This Row],[응시자격자수]]</f>
        <v>#DIV/0!</v>
      </c>
    </row>
    <row r="86" spans="1:36" x14ac:dyDescent="0.25">
      <c r="A86" s="1">
        <v>2034</v>
      </c>
      <c r="B86" s="9">
        <v>51724407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31"/>
      <c r="I86" s="22"/>
      <c r="J86" s="22">
        <v>0</v>
      </c>
      <c r="K86" s="5">
        <v>0</v>
      </c>
      <c r="L86" s="1">
        <f>(-5*(표1_3[[#This Row],[년도]]-1950)^2/100000)+(16*(표1_3[[#This Row],[년도]]-1950)/10000)+0.8551</f>
        <v>0.63669999999999993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40" t="e">
        <f>표1_3[[#This Row],[의대졸비율/남]]+표1_3[[#This Row],[의전졸비율/남]]+표1_3[[#This Row],[불합비율/남]]</f>
        <v>#DIV/0!</v>
      </c>
      <c r="T86" s="6" t="e">
        <f t="shared" si="7"/>
        <v>#DIV/0!</v>
      </c>
      <c r="U86" s="6" t="e">
        <f t="shared" si="8"/>
        <v>#DIV/0!</v>
      </c>
      <c r="V86" s="6" t="e">
        <f>표1_3[[#This Row],[의전졸합격/남]]/표1_3[[#This Row],[의사고시합격자수]]</f>
        <v>#DIV/0!</v>
      </c>
      <c r="W86" s="6" t="e">
        <f>표1_3[[#This Row],[의전졸합격/여]]/표1_3[[#This Row],[의사고시합격자수]]</f>
        <v>#DIV/0!</v>
      </c>
      <c r="X86" s="6" t="e">
        <f>표1_3[[#This Row],[불합합격/남]]/표1_3[[#This Row],[의사고시합격자수]]</f>
        <v>#DIV/0!</v>
      </c>
      <c r="Y86" s="6" t="e">
        <f>표1_3[[#This Row],[불합합격/여]]/표1_3[[#This Row],[의사고시합격자수]]</f>
        <v>#DIV/0!</v>
      </c>
      <c r="Z86" s="5">
        <v>0</v>
      </c>
      <c r="AA86" s="5">
        <v>0</v>
      </c>
      <c r="AB86" s="5">
        <v>0</v>
      </c>
      <c r="AC86" s="39">
        <v>0</v>
      </c>
      <c r="AD86" s="39">
        <v>0</v>
      </c>
      <c r="AE86" s="39">
        <v>0</v>
      </c>
      <c r="AF86" s="39">
        <v>0</v>
      </c>
      <c r="AG86" s="39">
        <v>0</v>
      </c>
      <c r="AH86" s="39">
        <v>0</v>
      </c>
      <c r="AI86" s="72">
        <f>SUM(표1_3[[#This Row],[의대졸업/남]:[재시험자/여]])</f>
        <v>0</v>
      </c>
      <c r="AJ86" s="74" t="e">
        <f>표1_3[[#This Row],[의사고시최초응시자수]]/표1_3[[#This Row],[응시자격자수]]</f>
        <v>#DIV/0!</v>
      </c>
    </row>
    <row r="87" spans="1:36" x14ac:dyDescent="0.25">
      <c r="A87" s="1">
        <v>2035</v>
      </c>
      <c r="B87" s="9">
        <v>51629895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31"/>
      <c r="I87" s="22"/>
      <c r="J87" s="22">
        <v>0</v>
      </c>
      <c r="K87" s="5">
        <v>0</v>
      </c>
      <c r="L87" s="1">
        <f>(-5*(표1_3[[#This Row],[년도]]-1950)^2/100000)+(16*(표1_3[[#This Row],[년도]]-1950)/10000)+0.8551</f>
        <v>0.62985000000000002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40" t="e">
        <f>표1_3[[#This Row],[의대졸비율/남]]+표1_3[[#This Row],[의전졸비율/남]]+표1_3[[#This Row],[불합비율/남]]</f>
        <v>#DIV/0!</v>
      </c>
      <c r="T87" s="6" t="e">
        <f t="shared" si="7"/>
        <v>#DIV/0!</v>
      </c>
      <c r="U87" s="6" t="e">
        <f t="shared" si="8"/>
        <v>#DIV/0!</v>
      </c>
      <c r="V87" s="6" t="e">
        <f>표1_3[[#This Row],[의전졸합격/남]]/표1_3[[#This Row],[의사고시합격자수]]</f>
        <v>#DIV/0!</v>
      </c>
      <c r="W87" s="6" t="e">
        <f>표1_3[[#This Row],[의전졸합격/여]]/표1_3[[#This Row],[의사고시합격자수]]</f>
        <v>#DIV/0!</v>
      </c>
      <c r="X87" s="6" t="e">
        <f>표1_3[[#This Row],[불합합격/남]]/표1_3[[#This Row],[의사고시합격자수]]</f>
        <v>#DIV/0!</v>
      </c>
      <c r="Y87" s="6" t="e">
        <f>표1_3[[#This Row],[불합합격/여]]/표1_3[[#This Row],[의사고시합격자수]]</f>
        <v>#DIV/0!</v>
      </c>
      <c r="Z87" s="5">
        <v>0</v>
      </c>
      <c r="AA87" s="5">
        <v>0</v>
      </c>
      <c r="AB87" s="5">
        <v>0</v>
      </c>
      <c r="AC87" s="39">
        <v>0</v>
      </c>
      <c r="AD87" s="39">
        <v>0</v>
      </c>
      <c r="AE87" s="39">
        <v>0</v>
      </c>
      <c r="AF87" s="39">
        <v>0</v>
      </c>
      <c r="AG87" s="39">
        <v>0</v>
      </c>
      <c r="AH87" s="39">
        <v>0</v>
      </c>
      <c r="AI87" s="72">
        <f>SUM(표1_3[[#This Row],[의대졸업/남]:[재시험자/여]])</f>
        <v>0</v>
      </c>
      <c r="AJ87" s="74" t="e">
        <f>표1_3[[#This Row],[의사고시최초응시자수]]/표1_3[[#This Row],[응시자격자수]]</f>
        <v>#DIV/0!</v>
      </c>
    </row>
    <row r="88" spans="1:36" x14ac:dyDescent="0.25">
      <c r="A88" s="1">
        <v>2036</v>
      </c>
      <c r="B88" s="9">
        <v>51515697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31"/>
      <c r="I88" s="22"/>
      <c r="J88" s="22">
        <v>0</v>
      </c>
      <c r="K88" s="5">
        <v>0</v>
      </c>
      <c r="L88" s="1">
        <f>(-5*(표1_3[[#This Row],[년도]]-1950)^2/100000)+(16*(표1_3[[#This Row],[년도]]-1950)/10000)+0.8551</f>
        <v>0.62290000000000001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40" t="e">
        <f>표1_3[[#This Row],[의대졸비율/남]]+표1_3[[#This Row],[의전졸비율/남]]+표1_3[[#This Row],[불합비율/남]]</f>
        <v>#DIV/0!</v>
      </c>
      <c r="T88" s="6" t="e">
        <f t="shared" si="7"/>
        <v>#DIV/0!</v>
      </c>
      <c r="U88" s="6" t="e">
        <f t="shared" si="8"/>
        <v>#DIV/0!</v>
      </c>
      <c r="V88" s="6" t="e">
        <f>표1_3[[#This Row],[의전졸합격/남]]/표1_3[[#This Row],[의사고시합격자수]]</f>
        <v>#DIV/0!</v>
      </c>
      <c r="W88" s="6" t="e">
        <f>표1_3[[#This Row],[의전졸합격/여]]/표1_3[[#This Row],[의사고시합격자수]]</f>
        <v>#DIV/0!</v>
      </c>
      <c r="X88" s="6" t="e">
        <f>표1_3[[#This Row],[불합합격/남]]/표1_3[[#This Row],[의사고시합격자수]]</f>
        <v>#DIV/0!</v>
      </c>
      <c r="Y88" s="6" t="e">
        <f>표1_3[[#This Row],[불합합격/여]]/표1_3[[#This Row],[의사고시합격자수]]</f>
        <v>#DIV/0!</v>
      </c>
      <c r="Z88" s="5">
        <v>0</v>
      </c>
      <c r="AA88" s="5">
        <v>0</v>
      </c>
      <c r="AB88" s="5">
        <v>0</v>
      </c>
      <c r="AC88" s="39">
        <v>0</v>
      </c>
      <c r="AD88" s="39">
        <v>0</v>
      </c>
      <c r="AE88" s="39">
        <v>0</v>
      </c>
      <c r="AF88" s="39">
        <v>0</v>
      </c>
      <c r="AG88" s="39">
        <v>0</v>
      </c>
      <c r="AH88" s="39">
        <v>0</v>
      </c>
      <c r="AI88" s="72">
        <f>SUM(표1_3[[#This Row],[의대졸업/남]:[재시험자/여]])</f>
        <v>0</v>
      </c>
      <c r="AJ88" s="74" t="e">
        <f>표1_3[[#This Row],[의사고시최초응시자수]]/표1_3[[#This Row],[응시자격자수]]</f>
        <v>#DIV/0!</v>
      </c>
    </row>
    <row r="89" spans="1:36" x14ac:dyDescent="0.25">
      <c r="A89" s="1">
        <v>2037</v>
      </c>
      <c r="B89" s="9">
        <v>51381324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31"/>
      <c r="I89" s="22"/>
      <c r="J89" s="22">
        <v>0</v>
      </c>
      <c r="K89" s="5">
        <v>0</v>
      </c>
      <c r="L89" s="1">
        <f>(-5*(표1_3[[#This Row],[년도]]-1950)^2/100000)+(16*(표1_3[[#This Row],[년도]]-1950)/10000)+0.8551</f>
        <v>0.61585000000000001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40" t="e">
        <f>표1_3[[#This Row],[의대졸비율/남]]+표1_3[[#This Row],[의전졸비율/남]]+표1_3[[#This Row],[불합비율/남]]</f>
        <v>#DIV/0!</v>
      </c>
      <c r="T89" s="6" t="e">
        <f t="shared" si="7"/>
        <v>#DIV/0!</v>
      </c>
      <c r="U89" s="6" t="e">
        <f t="shared" si="8"/>
        <v>#DIV/0!</v>
      </c>
      <c r="V89" s="6" t="e">
        <f>표1_3[[#This Row],[의전졸합격/남]]/표1_3[[#This Row],[의사고시합격자수]]</f>
        <v>#DIV/0!</v>
      </c>
      <c r="W89" s="6" t="e">
        <f>표1_3[[#This Row],[의전졸합격/여]]/표1_3[[#This Row],[의사고시합격자수]]</f>
        <v>#DIV/0!</v>
      </c>
      <c r="X89" s="6" t="e">
        <f>표1_3[[#This Row],[불합합격/남]]/표1_3[[#This Row],[의사고시합격자수]]</f>
        <v>#DIV/0!</v>
      </c>
      <c r="Y89" s="6" t="e">
        <f>표1_3[[#This Row],[불합합격/여]]/표1_3[[#This Row],[의사고시합격자수]]</f>
        <v>#DIV/0!</v>
      </c>
      <c r="Z89" s="5">
        <v>0</v>
      </c>
      <c r="AA89" s="5">
        <v>0</v>
      </c>
      <c r="AB89" s="5">
        <v>0</v>
      </c>
      <c r="AC89" s="39">
        <v>0</v>
      </c>
      <c r="AD89" s="39">
        <v>0</v>
      </c>
      <c r="AE89" s="39">
        <v>0</v>
      </c>
      <c r="AF89" s="39">
        <v>0</v>
      </c>
      <c r="AG89" s="39">
        <v>0</v>
      </c>
      <c r="AH89" s="39">
        <v>0</v>
      </c>
      <c r="AI89" s="72">
        <f>SUM(표1_3[[#This Row],[의대졸업/남]:[재시험자/여]])</f>
        <v>0</v>
      </c>
      <c r="AJ89" s="74" t="e">
        <f>표1_3[[#This Row],[의사고시최초응시자수]]/표1_3[[#This Row],[응시자격자수]]</f>
        <v>#DIV/0!</v>
      </c>
    </row>
    <row r="90" spans="1:36" x14ac:dyDescent="0.25">
      <c r="A90" s="1">
        <v>2038</v>
      </c>
      <c r="B90" s="9">
        <v>51226482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31"/>
      <c r="I90" s="22"/>
      <c r="J90" s="22">
        <v>0</v>
      </c>
      <c r="K90" s="5">
        <v>0</v>
      </c>
      <c r="L90" s="1">
        <f>(-5*(표1_3[[#This Row],[년도]]-1950)^2/100000)+(16*(표1_3[[#This Row],[년도]]-1950)/10000)+0.8551</f>
        <v>0.60870000000000002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40" t="e">
        <f>표1_3[[#This Row],[의대졸비율/남]]+표1_3[[#This Row],[의전졸비율/남]]+표1_3[[#This Row],[불합비율/남]]</f>
        <v>#DIV/0!</v>
      </c>
      <c r="T90" s="6" t="e">
        <f t="shared" si="7"/>
        <v>#DIV/0!</v>
      </c>
      <c r="U90" s="6" t="e">
        <f t="shared" si="8"/>
        <v>#DIV/0!</v>
      </c>
      <c r="V90" s="6" t="e">
        <f>표1_3[[#This Row],[의전졸합격/남]]/표1_3[[#This Row],[의사고시합격자수]]</f>
        <v>#DIV/0!</v>
      </c>
      <c r="W90" s="6" t="e">
        <f>표1_3[[#This Row],[의전졸합격/여]]/표1_3[[#This Row],[의사고시합격자수]]</f>
        <v>#DIV/0!</v>
      </c>
      <c r="X90" s="6" t="e">
        <f>표1_3[[#This Row],[불합합격/남]]/표1_3[[#This Row],[의사고시합격자수]]</f>
        <v>#DIV/0!</v>
      </c>
      <c r="Y90" s="6" t="e">
        <f>표1_3[[#This Row],[불합합격/여]]/표1_3[[#This Row],[의사고시합격자수]]</f>
        <v>#DIV/0!</v>
      </c>
      <c r="Z90" s="5">
        <v>0</v>
      </c>
      <c r="AA90" s="5">
        <v>0</v>
      </c>
      <c r="AB90" s="5">
        <v>0</v>
      </c>
      <c r="AC90" s="39">
        <v>0</v>
      </c>
      <c r="AD90" s="39">
        <v>0</v>
      </c>
      <c r="AE90" s="39">
        <v>0</v>
      </c>
      <c r="AF90" s="39">
        <v>0</v>
      </c>
      <c r="AG90" s="39">
        <v>0</v>
      </c>
      <c r="AH90" s="39">
        <v>0</v>
      </c>
      <c r="AI90" s="72">
        <f>SUM(표1_3[[#This Row],[의대졸업/남]:[재시험자/여]])</f>
        <v>0</v>
      </c>
      <c r="AJ90" s="74" t="e">
        <f>표1_3[[#This Row],[의사고시최초응시자수]]/표1_3[[#This Row],[응시자격자수]]</f>
        <v>#DIV/0!</v>
      </c>
    </row>
    <row r="91" spans="1:36" x14ac:dyDescent="0.25">
      <c r="A91" s="1">
        <v>2039</v>
      </c>
      <c r="B91" s="9">
        <v>51051053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31"/>
      <c r="I91" s="22"/>
      <c r="J91" s="22">
        <v>0</v>
      </c>
      <c r="K91" s="5">
        <v>0</v>
      </c>
      <c r="L91" s="1">
        <f>(-5*(표1_3[[#This Row],[년도]]-1950)^2/100000)+(16*(표1_3[[#This Row],[년도]]-1950)/10000)+0.8551</f>
        <v>0.60144999999999993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40" t="e">
        <f>표1_3[[#This Row],[의대졸비율/남]]+표1_3[[#This Row],[의전졸비율/남]]+표1_3[[#This Row],[불합비율/남]]</f>
        <v>#DIV/0!</v>
      </c>
      <c r="T91" s="6" t="e">
        <f t="shared" si="7"/>
        <v>#DIV/0!</v>
      </c>
      <c r="U91" s="6" t="e">
        <f t="shared" si="8"/>
        <v>#DIV/0!</v>
      </c>
      <c r="V91" s="6" t="e">
        <f>표1_3[[#This Row],[의전졸합격/남]]/표1_3[[#This Row],[의사고시합격자수]]</f>
        <v>#DIV/0!</v>
      </c>
      <c r="W91" s="6" t="e">
        <f>표1_3[[#This Row],[의전졸합격/여]]/표1_3[[#This Row],[의사고시합격자수]]</f>
        <v>#DIV/0!</v>
      </c>
      <c r="X91" s="6" t="e">
        <f>표1_3[[#This Row],[불합합격/남]]/표1_3[[#This Row],[의사고시합격자수]]</f>
        <v>#DIV/0!</v>
      </c>
      <c r="Y91" s="6" t="e">
        <f>표1_3[[#This Row],[불합합격/여]]/표1_3[[#This Row],[의사고시합격자수]]</f>
        <v>#DIV/0!</v>
      </c>
      <c r="Z91" s="5">
        <v>0</v>
      </c>
      <c r="AA91" s="5">
        <v>0</v>
      </c>
      <c r="AB91" s="5">
        <v>0</v>
      </c>
      <c r="AC91" s="39">
        <v>0</v>
      </c>
      <c r="AD91" s="39">
        <v>0</v>
      </c>
      <c r="AE91" s="39">
        <v>0</v>
      </c>
      <c r="AF91" s="39">
        <v>0</v>
      </c>
      <c r="AG91" s="39">
        <v>0</v>
      </c>
      <c r="AH91" s="39">
        <v>0</v>
      </c>
      <c r="AI91" s="72">
        <f>SUM(표1_3[[#This Row],[의대졸업/남]:[재시험자/여]])</f>
        <v>0</v>
      </c>
      <c r="AJ91" s="74" t="e">
        <f>표1_3[[#This Row],[의사고시최초응시자수]]/표1_3[[#This Row],[응시자격자수]]</f>
        <v>#DIV/0!</v>
      </c>
    </row>
    <row r="92" spans="1:36" x14ac:dyDescent="0.25">
      <c r="A92" s="1">
        <v>2040</v>
      </c>
      <c r="B92" s="9">
        <v>50855376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31"/>
      <c r="I92" s="22"/>
      <c r="J92" s="22">
        <v>0</v>
      </c>
      <c r="K92" s="5">
        <v>0</v>
      </c>
      <c r="L92" s="1">
        <f>(-5*(표1_3[[#This Row],[년도]]-1950)^2/100000)+(16*(표1_3[[#This Row],[년도]]-1950)/10000)+0.8551</f>
        <v>0.59409999999999996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40" t="e">
        <f>표1_3[[#This Row],[의대졸비율/남]]+표1_3[[#This Row],[의전졸비율/남]]+표1_3[[#This Row],[불합비율/남]]</f>
        <v>#DIV/0!</v>
      </c>
      <c r="T92" s="6" t="e">
        <f t="shared" si="7"/>
        <v>#DIV/0!</v>
      </c>
      <c r="U92" s="6" t="e">
        <f t="shared" si="8"/>
        <v>#DIV/0!</v>
      </c>
      <c r="V92" s="6" t="e">
        <f>표1_3[[#This Row],[의전졸합격/남]]/표1_3[[#This Row],[의사고시합격자수]]</f>
        <v>#DIV/0!</v>
      </c>
      <c r="W92" s="6" t="e">
        <f>표1_3[[#This Row],[의전졸합격/여]]/표1_3[[#This Row],[의사고시합격자수]]</f>
        <v>#DIV/0!</v>
      </c>
      <c r="X92" s="6" t="e">
        <f>표1_3[[#This Row],[불합합격/남]]/표1_3[[#This Row],[의사고시합격자수]]</f>
        <v>#DIV/0!</v>
      </c>
      <c r="Y92" s="6" t="e">
        <f>표1_3[[#This Row],[불합합격/여]]/표1_3[[#This Row],[의사고시합격자수]]</f>
        <v>#DIV/0!</v>
      </c>
      <c r="Z92" s="5">
        <v>0</v>
      </c>
      <c r="AA92" s="5">
        <v>0</v>
      </c>
      <c r="AB92" s="5">
        <v>0</v>
      </c>
      <c r="AC92" s="39">
        <v>0</v>
      </c>
      <c r="AD92" s="39">
        <v>0</v>
      </c>
      <c r="AE92" s="39">
        <v>0</v>
      </c>
      <c r="AF92" s="39">
        <v>0</v>
      </c>
      <c r="AG92" s="39">
        <v>0</v>
      </c>
      <c r="AH92" s="39">
        <v>0</v>
      </c>
      <c r="AI92" s="72">
        <f>SUM(표1_3[[#This Row],[의대졸업/남]:[재시험자/여]])</f>
        <v>0</v>
      </c>
      <c r="AJ92" s="74" t="e">
        <f>표1_3[[#This Row],[의사고시최초응시자수]]/표1_3[[#This Row],[응시자격자수]]</f>
        <v>#DIV/0!</v>
      </c>
    </row>
    <row r="93" spans="1:36" x14ac:dyDescent="0.25">
      <c r="A93" s="1">
        <v>2041</v>
      </c>
      <c r="B93" s="9">
        <v>50639882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31"/>
      <c r="I93" s="22"/>
      <c r="J93" s="22">
        <v>0</v>
      </c>
      <c r="K93" s="5">
        <v>0</v>
      </c>
      <c r="L93" s="1">
        <f>(-5*(표1_3[[#This Row],[년도]]-1950)^2/100000)+(16*(표1_3[[#This Row],[년도]]-1950)/10000)+0.8551</f>
        <v>0.58665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40" t="e">
        <f>표1_3[[#This Row],[의대졸비율/남]]+표1_3[[#This Row],[의전졸비율/남]]+표1_3[[#This Row],[불합비율/남]]</f>
        <v>#DIV/0!</v>
      </c>
      <c r="T93" s="6" t="e">
        <f t="shared" si="7"/>
        <v>#DIV/0!</v>
      </c>
      <c r="U93" s="6" t="e">
        <f t="shared" si="8"/>
        <v>#DIV/0!</v>
      </c>
      <c r="V93" s="6" t="e">
        <f>표1_3[[#This Row],[의전졸합격/남]]/표1_3[[#This Row],[의사고시합격자수]]</f>
        <v>#DIV/0!</v>
      </c>
      <c r="W93" s="6" t="e">
        <f>표1_3[[#This Row],[의전졸합격/여]]/표1_3[[#This Row],[의사고시합격자수]]</f>
        <v>#DIV/0!</v>
      </c>
      <c r="X93" s="6" t="e">
        <f>표1_3[[#This Row],[불합합격/남]]/표1_3[[#This Row],[의사고시합격자수]]</f>
        <v>#DIV/0!</v>
      </c>
      <c r="Y93" s="6" t="e">
        <f>표1_3[[#This Row],[불합합격/여]]/표1_3[[#This Row],[의사고시합격자수]]</f>
        <v>#DIV/0!</v>
      </c>
      <c r="Z93" s="5">
        <v>0</v>
      </c>
      <c r="AA93" s="5">
        <v>0</v>
      </c>
      <c r="AB93" s="5">
        <v>0</v>
      </c>
      <c r="AC93" s="39">
        <v>0</v>
      </c>
      <c r="AD93" s="39">
        <v>0</v>
      </c>
      <c r="AE93" s="39">
        <v>0</v>
      </c>
      <c r="AF93" s="39">
        <v>0</v>
      </c>
      <c r="AG93" s="39">
        <v>0</v>
      </c>
      <c r="AH93" s="39">
        <v>0</v>
      </c>
      <c r="AI93" s="72">
        <f>SUM(표1_3[[#This Row],[의대졸업/남]:[재시험자/여]])</f>
        <v>0</v>
      </c>
      <c r="AJ93" s="74" t="e">
        <f>표1_3[[#This Row],[의사고시최초응시자수]]/표1_3[[#This Row],[응시자격자수]]</f>
        <v>#DIV/0!</v>
      </c>
    </row>
    <row r="94" spans="1:36" x14ac:dyDescent="0.25">
      <c r="A94" s="1">
        <v>2042</v>
      </c>
      <c r="B94" s="9">
        <v>50404693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31"/>
      <c r="I94" s="22"/>
      <c r="J94" s="22">
        <v>0</v>
      </c>
      <c r="K94" s="5">
        <v>0</v>
      </c>
      <c r="L94" s="1">
        <f>(-5*(표1_3[[#This Row],[년도]]-1950)^2/100000)+(16*(표1_3[[#This Row],[년도]]-1950)/10000)+0.8551</f>
        <v>0.57909999999999995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40" t="e">
        <f>표1_3[[#This Row],[의대졸비율/남]]+표1_3[[#This Row],[의전졸비율/남]]+표1_3[[#This Row],[불합비율/남]]</f>
        <v>#DIV/0!</v>
      </c>
      <c r="T94" s="6" t="e">
        <f t="shared" si="7"/>
        <v>#DIV/0!</v>
      </c>
      <c r="U94" s="6" t="e">
        <f t="shared" si="8"/>
        <v>#DIV/0!</v>
      </c>
      <c r="V94" s="6" t="e">
        <f>표1_3[[#This Row],[의전졸합격/남]]/표1_3[[#This Row],[의사고시합격자수]]</f>
        <v>#DIV/0!</v>
      </c>
      <c r="W94" s="6" t="e">
        <f>표1_3[[#This Row],[의전졸합격/여]]/표1_3[[#This Row],[의사고시합격자수]]</f>
        <v>#DIV/0!</v>
      </c>
      <c r="X94" s="6" t="e">
        <f>표1_3[[#This Row],[불합합격/남]]/표1_3[[#This Row],[의사고시합격자수]]</f>
        <v>#DIV/0!</v>
      </c>
      <c r="Y94" s="6" t="e">
        <f>표1_3[[#This Row],[불합합격/여]]/표1_3[[#This Row],[의사고시합격자수]]</f>
        <v>#DIV/0!</v>
      </c>
      <c r="Z94" s="5">
        <v>0</v>
      </c>
      <c r="AA94" s="5">
        <v>0</v>
      </c>
      <c r="AB94" s="5">
        <v>0</v>
      </c>
      <c r="AC94" s="39">
        <v>0</v>
      </c>
      <c r="AD94" s="39">
        <v>0</v>
      </c>
      <c r="AE94" s="39">
        <v>0</v>
      </c>
      <c r="AF94" s="39">
        <v>0</v>
      </c>
      <c r="AG94" s="39">
        <v>0</v>
      </c>
      <c r="AH94" s="39">
        <v>0</v>
      </c>
      <c r="AI94" s="72">
        <f>SUM(표1_3[[#This Row],[의대졸업/남]:[재시험자/여]])</f>
        <v>0</v>
      </c>
      <c r="AJ94" s="74" t="e">
        <f>표1_3[[#This Row],[의사고시최초응시자수]]/표1_3[[#This Row],[응시자격자수]]</f>
        <v>#DIV/0!</v>
      </c>
    </row>
    <row r="95" spans="1:36" x14ac:dyDescent="0.25">
      <c r="A95" s="1">
        <v>2043</v>
      </c>
      <c r="B95" s="9">
        <v>50149334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31"/>
      <c r="I95" s="22"/>
      <c r="J95" s="22">
        <v>0</v>
      </c>
      <c r="K95" s="5">
        <v>0</v>
      </c>
      <c r="L95" s="1">
        <f>(-5*(표1_3[[#This Row],[년도]]-1950)^2/100000)+(16*(표1_3[[#This Row],[년도]]-1950)/10000)+0.8551</f>
        <v>0.57145000000000001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40" t="e">
        <f>표1_3[[#This Row],[의대졸비율/남]]+표1_3[[#This Row],[의전졸비율/남]]+표1_3[[#This Row],[불합비율/남]]</f>
        <v>#DIV/0!</v>
      </c>
      <c r="T95" s="6" t="e">
        <f t="shared" si="7"/>
        <v>#DIV/0!</v>
      </c>
      <c r="U95" s="6" t="e">
        <f t="shared" si="8"/>
        <v>#DIV/0!</v>
      </c>
      <c r="V95" s="6" t="e">
        <f>표1_3[[#This Row],[의전졸합격/남]]/표1_3[[#This Row],[의사고시합격자수]]</f>
        <v>#DIV/0!</v>
      </c>
      <c r="W95" s="6" t="e">
        <f>표1_3[[#This Row],[의전졸합격/여]]/표1_3[[#This Row],[의사고시합격자수]]</f>
        <v>#DIV/0!</v>
      </c>
      <c r="X95" s="6" t="e">
        <f>표1_3[[#This Row],[불합합격/남]]/표1_3[[#This Row],[의사고시합격자수]]</f>
        <v>#DIV/0!</v>
      </c>
      <c r="Y95" s="6" t="e">
        <f>표1_3[[#This Row],[불합합격/여]]/표1_3[[#This Row],[의사고시합격자수]]</f>
        <v>#DIV/0!</v>
      </c>
      <c r="Z95" s="5">
        <v>0</v>
      </c>
      <c r="AA95" s="5">
        <v>0</v>
      </c>
      <c r="AB95" s="5">
        <v>0</v>
      </c>
      <c r="AC95" s="39">
        <v>0</v>
      </c>
      <c r="AD95" s="39">
        <v>0</v>
      </c>
      <c r="AE95" s="39">
        <v>0</v>
      </c>
      <c r="AF95" s="39">
        <v>0</v>
      </c>
      <c r="AG95" s="39">
        <v>0</v>
      </c>
      <c r="AH95" s="39">
        <v>0</v>
      </c>
      <c r="AI95" s="72">
        <f>SUM(표1_3[[#This Row],[의대졸업/남]:[재시험자/여]])</f>
        <v>0</v>
      </c>
      <c r="AJ95" s="74" t="e">
        <f>표1_3[[#This Row],[의사고시최초응시자수]]/표1_3[[#This Row],[응시자격자수]]</f>
        <v>#DIV/0!</v>
      </c>
    </row>
    <row r="96" spans="1:36" x14ac:dyDescent="0.25">
      <c r="A96" s="1">
        <v>2044</v>
      </c>
      <c r="B96" s="9">
        <v>49872642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31"/>
      <c r="I96" s="22"/>
      <c r="J96" s="22">
        <v>0</v>
      </c>
      <c r="K96" s="5">
        <v>0</v>
      </c>
      <c r="L96" s="1">
        <f>(-5*(표1_3[[#This Row],[년도]]-1950)^2/100000)+(16*(표1_3[[#This Row],[년도]]-1950)/10000)+0.8551</f>
        <v>0.56369999999999998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40" t="e">
        <f>표1_3[[#This Row],[의대졸비율/남]]+표1_3[[#This Row],[의전졸비율/남]]+표1_3[[#This Row],[불합비율/남]]</f>
        <v>#DIV/0!</v>
      </c>
      <c r="T96" s="6" t="e">
        <f t="shared" si="7"/>
        <v>#DIV/0!</v>
      </c>
      <c r="U96" s="6" t="e">
        <f t="shared" si="8"/>
        <v>#DIV/0!</v>
      </c>
      <c r="V96" s="6" t="e">
        <f>표1_3[[#This Row],[의전졸합격/남]]/표1_3[[#This Row],[의사고시합격자수]]</f>
        <v>#DIV/0!</v>
      </c>
      <c r="W96" s="6" t="e">
        <f>표1_3[[#This Row],[의전졸합격/여]]/표1_3[[#This Row],[의사고시합격자수]]</f>
        <v>#DIV/0!</v>
      </c>
      <c r="X96" s="6" t="e">
        <f>표1_3[[#This Row],[불합합격/남]]/표1_3[[#This Row],[의사고시합격자수]]</f>
        <v>#DIV/0!</v>
      </c>
      <c r="Y96" s="6" t="e">
        <f>표1_3[[#This Row],[불합합격/여]]/표1_3[[#This Row],[의사고시합격자수]]</f>
        <v>#DIV/0!</v>
      </c>
      <c r="Z96" s="5">
        <v>0</v>
      </c>
      <c r="AA96" s="5">
        <v>0</v>
      </c>
      <c r="AB96" s="5">
        <v>0</v>
      </c>
      <c r="AC96" s="39">
        <v>0</v>
      </c>
      <c r="AD96" s="39">
        <v>0</v>
      </c>
      <c r="AE96" s="39">
        <v>0</v>
      </c>
      <c r="AF96" s="39">
        <v>0</v>
      </c>
      <c r="AG96" s="39">
        <v>0</v>
      </c>
      <c r="AH96" s="39">
        <v>0</v>
      </c>
      <c r="AI96" s="72">
        <f>SUM(표1_3[[#This Row],[의대졸업/남]:[재시험자/여]])</f>
        <v>0</v>
      </c>
      <c r="AJ96" s="74" t="e">
        <f>표1_3[[#This Row],[의사고시최초응시자수]]/표1_3[[#This Row],[응시자격자수]]</f>
        <v>#DIV/0!</v>
      </c>
    </row>
    <row r="97" spans="1:36" x14ac:dyDescent="0.25">
      <c r="A97" s="1">
        <v>2045</v>
      </c>
      <c r="B97" s="9">
        <v>49574038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31"/>
      <c r="I97" s="22"/>
      <c r="J97" s="22">
        <v>0</v>
      </c>
      <c r="K97" s="5">
        <v>0</v>
      </c>
      <c r="L97" s="1">
        <f>(-5*(표1_3[[#This Row],[년도]]-1950)^2/100000)+(16*(표1_3[[#This Row],[년도]]-1950)/10000)+0.8551</f>
        <v>0.55584999999999996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40" t="e">
        <f>표1_3[[#This Row],[의대졸비율/남]]+표1_3[[#This Row],[의전졸비율/남]]+표1_3[[#This Row],[불합비율/남]]</f>
        <v>#DIV/0!</v>
      </c>
      <c r="T97" s="6" t="e">
        <f t="shared" si="7"/>
        <v>#DIV/0!</v>
      </c>
      <c r="U97" s="6" t="e">
        <f t="shared" si="8"/>
        <v>#DIV/0!</v>
      </c>
      <c r="V97" s="6" t="e">
        <f>표1_3[[#This Row],[의전졸합격/남]]/표1_3[[#This Row],[의사고시합격자수]]</f>
        <v>#DIV/0!</v>
      </c>
      <c r="W97" s="6" t="e">
        <f>표1_3[[#This Row],[의전졸합격/여]]/표1_3[[#This Row],[의사고시합격자수]]</f>
        <v>#DIV/0!</v>
      </c>
      <c r="X97" s="6" t="e">
        <f>표1_3[[#This Row],[불합합격/남]]/표1_3[[#This Row],[의사고시합격자수]]</f>
        <v>#DIV/0!</v>
      </c>
      <c r="Y97" s="6" t="e">
        <f>표1_3[[#This Row],[불합합격/여]]/표1_3[[#This Row],[의사고시합격자수]]</f>
        <v>#DIV/0!</v>
      </c>
      <c r="Z97" s="5">
        <v>0</v>
      </c>
      <c r="AA97" s="5">
        <v>0</v>
      </c>
      <c r="AB97" s="5">
        <v>0</v>
      </c>
      <c r="AC97" s="39">
        <v>0</v>
      </c>
      <c r="AD97" s="39">
        <v>0</v>
      </c>
      <c r="AE97" s="39">
        <v>0</v>
      </c>
      <c r="AF97" s="39">
        <v>0</v>
      </c>
      <c r="AG97" s="39">
        <v>0</v>
      </c>
      <c r="AH97" s="39">
        <v>0</v>
      </c>
      <c r="AI97" s="72">
        <f>SUM(표1_3[[#This Row],[의대졸업/남]:[재시험자/여]])</f>
        <v>0</v>
      </c>
      <c r="AJ97" s="74" t="e">
        <f>표1_3[[#This Row],[의사고시최초응시자수]]/표1_3[[#This Row],[응시자격자수]]</f>
        <v>#DIV/0!</v>
      </c>
    </row>
    <row r="98" spans="1:36" x14ac:dyDescent="0.25">
      <c r="A98" s="1">
        <v>2046</v>
      </c>
      <c r="B98" s="9">
        <v>49253490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31"/>
      <c r="I98" s="22"/>
      <c r="J98" s="22">
        <v>0</v>
      </c>
      <c r="K98" s="5">
        <v>0</v>
      </c>
      <c r="L98" s="1">
        <f>(-5*(표1_3[[#This Row],[년도]]-1950)^2/100000)+(16*(표1_3[[#This Row],[년도]]-1950)/10000)+0.8551</f>
        <v>0.54789999999999994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40" t="e">
        <f>표1_3[[#This Row],[의대졸비율/남]]+표1_3[[#This Row],[의전졸비율/남]]+표1_3[[#This Row],[불합비율/남]]</f>
        <v>#DIV/0!</v>
      </c>
      <c r="T98" s="6" t="e">
        <f t="shared" si="7"/>
        <v>#DIV/0!</v>
      </c>
      <c r="U98" s="6" t="e">
        <f t="shared" si="8"/>
        <v>#DIV/0!</v>
      </c>
      <c r="V98" s="6" t="e">
        <f>표1_3[[#This Row],[의전졸합격/남]]/표1_3[[#This Row],[의사고시합격자수]]</f>
        <v>#DIV/0!</v>
      </c>
      <c r="W98" s="6" t="e">
        <f>표1_3[[#This Row],[의전졸합격/여]]/표1_3[[#This Row],[의사고시합격자수]]</f>
        <v>#DIV/0!</v>
      </c>
      <c r="X98" s="6" t="e">
        <f>표1_3[[#This Row],[불합합격/남]]/표1_3[[#This Row],[의사고시합격자수]]</f>
        <v>#DIV/0!</v>
      </c>
      <c r="Y98" s="6" t="e">
        <f>표1_3[[#This Row],[불합합격/여]]/표1_3[[#This Row],[의사고시합격자수]]</f>
        <v>#DIV/0!</v>
      </c>
      <c r="Z98" s="5">
        <v>0</v>
      </c>
      <c r="AA98" s="5">
        <v>0</v>
      </c>
      <c r="AB98" s="5">
        <v>0</v>
      </c>
      <c r="AC98" s="39">
        <v>0</v>
      </c>
      <c r="AD98" s="39">
        <v>0</v>
      </c>
      <c r="AE98" s="39">
        <v>0</v>
      </c>
      <c r="AF98" s="39">
        <v>0</v>
      </c>
      <c r="AG98" s="39">
        <v>0</v>
      </c>
      <c r="AH98" s="39">
        <v>0</v>
      </c>
      <c r="AI98" s="72">
        <f>SUM(표1_3[[#This Row],[의대졸업/남]:[재시험자/여]])</f>
        <v>0</v>
      </c>
      <c r="AJ98" s="74" t="e">
        <f>표1_3[[#This Row],[의사고시최초응시자수]]/표1_3[[#This Row],[응시자격자수]]</f>
        <v>#DIV/0!</v>
      </c>
    </row>
    <row r="99" spans="1:36" x14ac:dyDescent="0.25">
      <c r="A99" s="1">
        <v>2047</v>
      </c>
      <c r="B99" s="9">
        <v>48910639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31"/>
      <c r="I99" s="22"/>
      <c r="J99" s="22">
        <v>0</v>
      </c>
      <c r="K99" s="5">
        <v>0</v>
      </c>
      <c r="L99" s="1">
        <f>(-5*(표1_3[[#This Row],[년도]]-1950)^2/100000)+(16*(표1_3[[#This Row],[년도]]-1950)/10000)+0.8551</f>
        <v>0.53984999999999994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40" t="e">
        <f>표1_3[[#This Row],[의대졸비율/남]]+표1_3[[#This Row],[의전졸비율/남]]+표1_3[[#This Row],[불합비율/남]]</f>
        <v>#DIV/0!</v>
      </c>
      <c r="T99" s="6" t="e">
        <f t="shared" si="7"/>
        <v>#DIV/0!</v>
      </c>
      <c r="U99" s="6" t="e">
        <f t="shared" si="8"/>
        <v>#DIV/0!</v>
      </c>
      <c r="V99" s="6" t="e">
        <f>표1_3[[#This Row],[의전졸합격/남]]/표1_3[[#This Row],[의사고시합격자수]]</f>
        <v>#DIV/0!</v>
      </c>
      <c r="W99" s="6" t="e">
        <f>표1_3[[#This Row],[의전졸합격/여]]/표1_3[[#This Row],[의사고시합격자수]]</f>
        <v>#DIV/0!</v>
      </c>
      <c r="X99" s="6" t="e">
        <f>표1_3[[#This Row],[불합합격/남]]/표1_3[[#This Row],[의사고시합격자수]]</f>
        <v>#DIV/0!</v>
      </c>
      <c r="Y99" s="6" t="e">
        <f>표1_3[[#This Row],[불합합격/여]]/표1_3[[#This Row],[의사고시합격자수]]</f>
        <v>#DIV/0!</v>
      </c>
      <c r="Z99" s="5">
        <v>0</v>
      </c>
      <c r="AA99" s="5">
        <v>0</v>
      </c>
      <c r="AB99" s="5">
        <v>0</v>
      </c>
      <c r="AC99" s="39">
        <v>0</v>
      </c>
      <c r="AD99" s="39">
        <v>0</v>
      </c>
      <c r="AE99" s="39">
        <v>0</v>
      </c>
      <c r="AF99" s="39">
        <v>0</v>
      </c>
      <c r="AG99" s="39">
        <v>0</v>
      </c>
      <c r="AH99" s="39">
        <v>0</v>
      </c>
      <c r="AI99" s="72">
        <f>SUM(표1_3[[#This Row],[의대졸업/남]:[재시험자/여]])</f>
        <v>0</v>
      </c>
      <c r="AJ99" s="74" t="e">
        <f>표1_3[[#This Row],[의사고시최초응시자수]]/표1_3[[#This Row],[응시자격자수]]</f>
        <v>#DIV/0!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72C00-4A4A-4C6F-B290-184352DB6952}">
  <dimension ref="A1:AK99"/>
  <sheetViews>
    <sheetView topLeftCell="A53" workbookViewId="0">
      <pane xSplit="1" topLeftCell="B1" activePane="topRight" state="frozen"/>
      <selection activeCell="A7" sqref="A7"/>
      <selection pane="topRight" activeCell="G77" sqref="G77"/>
    </sheetView>
  </sheetViews>
  <sheetFormatPr defaultRowHeight="16.5" x14ac:dyDescent="0.3"/>
  <cols>
    <col min="6" max="6" width="13.625" bestFit="1" customWidth="1"/>
    <col min="8" max="8" width="10.125" style="32" customWidth="1"/>
    <col min="9" max="9" width="11.75" style="23" customWidth="1"/>
    <col min="11" max="11" width="9" customWidth="1"/>
    <col min="12" max="12" width="9" style="38" customWidth="1"/>
    <col min="14" max="15" width="10.375" customWidth="1"/>
  </cols>
  <sheetData>
    <row r="1" spans="1:37" ht="40.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  <c r="H1" s="24" t="s">
        <v>26</v>
      </c>
      <c r="I1" s="20" t="s">
        <v>28</v>
      </c>
      <c r="J1" s="1" t="s">
        <v>6</v>
      </c>
      <c r="K1" s="1" t="s">
        <v>7</v>
      </c>
      <c r="L1" s="33" t="s">
        <v>27</v>
      </c>
      <c r="M1" s="1" t="s">
        <v>23</v>
      </c>
      <c r="N1" s="1" t="s">
        <v>24</v>
      </c>
      <c r="O1" s="1" t="s">
        <v>25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36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7" t="s">
        <v>29</v>
      </c>
      <c r="AF1" s="17" t="s">
        <v>30</v>
      </c>
      <c r="AG1" s="17" t="s">
        <v>31</v>
      </c>
      <c r="AH1" s="17" t="s">
        <v>32</v>
      </c>
      <c r="AI1" s="17" t="s">
        <v>33</v>
      </c>
      <c r="AJ1" s="17" t="s">
        <v>34</v>
      </c>
      <c r="AK1" s="17" t="s">
        <v>35</v>
      </c>
    </row>
    <row r="2" spans="1:37" x14ac:dyDescent="0.25">
      <c r="A2" s="1">
        <v>1950</v>
      </c>
      <c r="B2" s="2">
        <v>19211387</v>
      </c>
      <c r="C2" s="3">
        <v>0</v>
      </c>
      <c r="D2" s="3">
        <v>0</v>
      </c>
      <c r="E2" s="4">
        <v>0</v>
      </c>
      <c r="F2" s="4">
        <v>0</v>
      </c>
      <c r="G2" s="4">
        <v>0</v>
      </c>
      <c r="H2" s="25">
        <v>0</v>
      </c>
      <c r="I2" s="21"/>
      <c r="J2" s="1">
        <v>0</v>
      </c>
      <c r="K2" s="1">
        <v>0</v>
      </c>
      <c r="L2" s="34"/>
      <c r="M2" s="1">
        <v>0</v>
      </c>
      <c r="N2" s="1">
        <f>(-5*(표1[[#This Row],[년도]]-1950)^2/100000)+(16*(표1[[#This Row],[년도]]-1950)/10000)+0.8551</f>
        <v>0.85509999999999997</v>
      </c>
      <c r="O2" s="19">
        <f>(표1[[#This Row],[의대졸비율/남]]+표1[[#This Row],[의전졸비율/남]]+표1[[#This Row],[불합비율/남]])-표1[[#This Row],[의사고시성비추세]]</f>
        <v>-0.85509999999999997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40">
        <f>표1[[#This Row],[의대졸비율/남]]+표1[[#This Row],[의전졸비율/남]]+표1[[#This Row],[불합비율/남]]</f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5">
        <v>0</v>
      </c>
      <c r="AD2" s="5">
        <v>0</v>
      </c>
      <c r="AE2" s="5">
        <v>0</v>
      </c>
      <c r="AF2" s="39">
        <v>0</v>
      </c>
      <c r="AG2" s="39">
        <v>0</v>
      </c>
      <c r="AH2" s="39">
        <v>0</v>
      </c>
      <c r="AI2" s="39">
        <v>0</v>
      </c>
      <c r="AJ2" s="39">
        <v>0</v>
      </c>
      <c r="AK2" s="39">
        <f t="shared" ref="AK2:AK33" si="0">AG2+AI2</f>
        <v>0</v>
      </c>
    </row>
    <row r="3" spans="1:37" x14ac:dyDescent="0.25">
      <c r="A3" s="1">
        <v>1951</v>
      </c>
      <c r="B3" s="2">
        <v>19452640</v>
      </c>
      <c r="C3" s="3">
        <v>0</v>
      </c>
      <c r="D3" s="3">
        <v>0</v>
      </c>
      <c r="E3" s="4">
        <v>0</v>
      </c>
      <c r="F3" s="4">
        <v>0</v>
      </c>
      <c r="G3" s="4">
        <v>0</v>
      </c>
      <c r="H3" s="25">
        <v>0</v>
      </c>
      <c r="I3" s="21"/>
      <c r="J3" s="1">
        <v>0</v>
      </c>
      <c r="K3" s="1">
        <v>0</v>
      </c>
      <c r="L3" s="34"/>
      <c r="M3" s="1">
        <v>0</v>
      </c>
      <c r="N3" s="1">
        <f>(-5*(표1[[#This Row],[년도]]-1950)^2/100000)+(16*(표1[[#This Row],[년도]]-1950)/10000)+0.8551</f>
        <v>0.85665000000000002</v>
      </c>
      <c r="O3" s="19">
        <f>(표1[[#This Row],[의대졸비율/남]]+표1[[#This Row],[의전졸비율/남]]+표1[[#This Row],[불합비율/남]])-표1[[#This Row],[의사고시성비추세]]</f>
        <v>-0.85665000000000002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40">
        <f>표1[[#This Row],[의대졸비율/남]]+표1[[#This Row],[의전졸비율/남]]+표1[[#This Row],[불합비율/남]]</f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5">
        <v>0</v>
      </c>
      <c r="AD3" s="5">
        <v>0</v>
      </c>
      <c r="AE3" s="5">
        <v>0</v>
      </c>
      <c r="AF3" s="39">
        <v>0</v>
      </c>
      <c r="AG3" s="39">
        <v>0</v>
      </c>
      <c r="AH3" s="39">
        <v>0</v>
      </c>
      <c r="AI3" s="39">
        <v>0</v>
      </c>
      <c r="AJ3" s="39">
        <f t="shared" ref="AJ3:AJ33" si="1">AF3+AH3</f>
        <v>0</v>
      </c>
      <c r="AK3" s="39">
        <f t="shared" si="0"/>
        <v>0</v>
      </c>
    </row>
    <row r="4" spans="1:37" x14ac:dyDescent="0.25">
      <c r="A4" s="1">
        <v>1952</v>
      </c>
      <c r="B4" s="2">
        <v>19817775</v>
      </c>
      <c r="C4" s="3">
        <v>0</v>
      </c>
      <c r="D4" s="3">
        <v>0</v>
      </c>
      <c r="E4" s="4">
        <v>0</v>
      </c>
      <c r="F4" s="4">
        <v>0.89015639374425026</v>
      </c>
      <c r="G4" s="4">
        <v>0</v>
      </c>
      <c r="H4" s="26">
        <v>189</v>
      </c>
      <c r="I4" s="26">
        <v>189</v>
      </c>
      <c r="J4" s="1">
        <v>128</v>
      </c>
      <c r="K4" s="1">
        <v>61</v>
      </c>
      <c r="L4" s="35">
        <v>61</v>
      </c>
      <c r="M4" s="1">
        <f>J4+M3</f>
        <v>128</v>
      </c>
      <c r="N4" s="1">
        <f>(-5*(표1[[#This Row],[년도]]-1950)^2/100000)+(16*(표1[[#This Row],[년도]]-1950)/10000)+0.8551</f>
        <v>0.85809999999999997</v>
      </c>
      <c r="O4" s="19">
        <f>(표1[[#This Row],[의대졸비율/남]]+표1[[#This Row],[의전졸비율/남]]+표1[[#This Row],[불합비율/남]])-표1[[#This Row],[의사고시성비추세]]</f>
        <v>0</v>
      </c>
      <c r="P4" s="5">
        <f>표1[[#This Row],[의사고시 합격자수]]*표1[[#This Row],[의사고시성비추세]]</f>
        <v>109.8368</v>
      </c>
      <c r="Q4" s="5">
        <f>표1[[#This Row],[의사고시 합격자수]]-표1[[#This Row],[의대졸합격/남]]</f>
        <v>18.163200000000003</v>
      </c>
      <c r="R4" s="5">
        <v>0</v>
      </c>
      <c r="S4" s="5">
        <v>0</v>
      </c>
      <c r="T4" s="5">
        <v>0</v>
      </c>
      <c r="U4" s="5">
        <v>0</v>
      </c>
      <c r="V4" s="40">
        <f>표1[[#This Row],[의대졸비율/남]]+표1[[#This Row],[의전졸비율/남]]+표1[[#This Row],[불합비율/남]]</f>
        <v>0.85809999999999997</v>
      </c>
      <c r="W4" s="6">
        <f t="shared" ref="W4:W35" si="2">P4/J4</f>
        <v>0.85809999999999997</v>
      </c>
      <c r="X4" s="6">
        <f t="shared" ref="X4:X35" si="3">Q4/J4</f>
        <v>0.14190000000000003</v>
      </c>
      <c r="Y4" s="6">
        <v>0</v>
      </c>
      <c r="Z4" s="6">
        <v>0</v>
      </c>
      <c r="AA4" s="6">
        <v>0</v>
      </c>
      <c r="AB4" s="6">
        <v>0</v>
      </c>
      <c r="AC4" s="5">
        <f>표1[[#This Row],[의사수비율]]*0.5553*표1[[#This Row],[의사고시 합격자수]]</f>
        <v>63.270892217111317</v>
      </c>
      <c r="AD4" s="5">
        <v>0</v>
      </c>
      <c r="AE4" s="16">
        <f>표1[[#This Row],[군입대]]/표1[[#This Row],[의대졸합격/남]]</f>
        <v>0.57604456991747133</v>
      </c>
      <c r="AF4" s="39">
        <v>0</v>
      </c>
      <c r="AG4" s="39">
        <v>0</v>
      </c>
      <c r="AH4" s="39">
        <v>0</v>
      </c>
      <c r="AI4" s="39">
        <v>0</v>
      </c>
      <c r="AJ4" s="39">
        <f t="shared" si="1"/>
        <v>0</v>
      </c>
      <c r="AK4" s="39">
        <f t="shared" si="0"/>
        <v>0</v>
      </c>
    </row>
    <row r="5" spans="1:37" x14ac:dyDescent="0.25">
      <c r="A5" s="1">
        <v>1953</v>
      </c>
      <c r="B5" s="2">
        <v>20293199.999999993</v>
      </c>
      <c r="C5" s="3">
        <v>0</v>
      </c>
      <c r="D5" s="3">
        <v>0</v>
      </c>
      <c r="E5" s="4">
        <v>0</v>
      </c>
      <c r="F5" s="4">
        <v>0.89015639374425026</v>
      </c>
      <c r="G5" s="4">
        <v>0</v>
      </c>
      <c r="H5" s="27">
        <f>347</f>
        <v>347</v>
      </c>
      <c r="I5" s="27">
        <v>254</v>
      </c>
      <c r="J5" s="1">
        <v>283</v>
      </c>
      <c r="K5" s="1">
        <v>318</v>
      </c>
      <c r="L5" s="35">
        <v>195</v>
      </c>
      <c r="M5" s="1">
        <f t="shared" ref="M5:M68" si="4">J5+M4</f>
        <v>411</v>
      </c>
      <c r="N5" s="1">
        <f>(-5*(표1[[#This Row],[년도]]-1950)^2/100000)+(16*(표1[[#This Row],[년도]]-1950)/10000)+0.8551</f>
        <v>0.85944999999999994</v>
      </c>
      <c r="O5" s="19">
        <f>(표1[[#This Row],[의대졸비율/남]]+표1[[#This Row],[의전졸비율/남]]+표1[[#This Row],[불합비율/남]])-표1[[#This Row],[의사고시성비추세]]</f>
        <v>-0.12964436274509805</v>
      </c>
      <c r="P5" s="5">
        <f>(표1[[#This Row],[의사고시 응시자수]])/(표1[[#This Row],[의사고시 응시자수]]+L4)*N4*표1[[#This Row],[의사고시 합격자수]]</f>
        <v>206.53499534313724</v>
      </c>
      <c r="Q5" s="5">
        <f>(표1[[#This Row],[의사고시 응시자수]])/(표1[[#This Row],[의사고시 응시자수]]+L4)*(1-N4)*표1[[#This Row],[의사고시 합격자수]]</f>
        <v>34.15373014705883</v>
      </c>
      <c r="R5" s="5">
        <v>0</v>
      </c>
      <c r="S5" s="5">
        <v>0</v>
      </c>
      <c r="T5" s="5">
        <f>(L4)/(표1[[#This Row],[의사고시 응시자수]]+L4)*N4*표1[[#This Row],[의사고시 합격자수]]</f>
        <v>36.30730465686274</v>
      </c>
      <c r="U5" s="5">
        <f>(K4)/(표1[[#This Row],[의사고시 응시자수]]+L4)*(1-N4)*표1[[#This Row],[의사고시 합격자수]]</f>
        <v>6.0039698529411778</v>
      </c>
      <c r="V5" s="40">
        <f>표1[[#This Row],[의대졸비율/남]]+표1[[#This Row],[의전졸비율/남]]+표1[[#This Row],[불합비율/남]]</f>
        <v>0.72980563725490188</v>
      </c>
      <c r="W5" s="6">
        <f t="shared" si="2"/>
        <v>0.72980563725490188</v>
      </c>
      <c r="X5" s="6">
        <f t="shared" si="3"/>
        <v>0.12068455882352944</v>
      </c>
      <c r="Y5" s="6">
        <v>0</v>
      </c>
      <c r="Z5" s="6">
        <v>0</v>
      </c>
      <c r="AA5" s="6">
        <v>0</v>
      </c>
      <c r="AB5" s="6">
        <v>0</v>
      </c>
      <c r="AC5" s="5">
        <f>표1[[#This Row],[의사수비율]]*0.5553*표1[[#This Row],[의사고시 합격자수]]</f>
        <v>139.88798826126956</v>
      </c>
      <c r="AD5" s="5">
        <v>0</v>
      </c>
      <c r="AE5" s="16">
        <f>표1[[#This Row],[군입대]]/표1[[#This Row],[의대졸합격/남]]</f>
        <v>0.67730888912486553</v>
      </c>
      <c r="AF5" s="39">
        <v>0</v>
      </c>
      <c r="AG5" s="39">
        <v>0</v>
      </c>
      <c r="AH5" s="39">
        <v>0</v>
      </c>
      <c r="AI5" s="39">
        <v>0</v>
      </c>
      <c r="AJ5" s="39">
        <f t="shared" si="1"/>
        <v>0</v>
      </c>
      <c r="AK5" s="39">
        <f t="shared" si="0"/>
        <v>0</v>
      </c>
    </row>
    <row r="6" spans="1:37" x14ac:dyDescent="0.25">
      <c r="A6" s="1">
        <v>1954</v>
      </c>
      <c r="B6" s="2">
        <v>20864104</v>
      </c>
      <c r="C6" s="3">
        <v>0</v>
      </c>
      <c r="D6" s="3">
        <v>0</v>
      </c>
      <c r="E6" s="4">
        <v>0</v>
      </c>
      <c r="F6" s="4">
        <v>0.89015639374425026</v>
      </c>
      <c r="G6" s="4">
        <v>0</v>
      </c>
      <c r="H6" s="26">
        <v>162</v>
      </c>
      <c r="I6" s="26">
        <v>162</v>
      </c>
      <c r="J6" s="1">
        <v>125</v>
      </c>
      <c r="K6" s="1">
        <v>37</v>
      </c>
      <c r="L6" s="35">
        <v>37</v>
      </c>
      <c r="M6" s="1">
        <f t="shared" si="4"/>
        <v>536</v>
      </c>
      <c r="N6" s="1">
        <f>(-5*(표1[[#This Row],[년도]]-1950)^2/100000)+(16*(표1[[#This Row],[년도]]-1950)/10000)+0.8551</f>
        <v>0.86070000000000002</v>
      </c>
      <c r="O6" s="19">
        <f>(표1[[#This Row],[의대졸비율/남]]+표1[[#This Row],[의전졸비율/남]]+표1[[#This Row],[불합비율/남]])-표1[[#This Row],[의사고시성비추세]]</f>
        <v>-0.4706974789915967</v>
      </c>
      <c r="P6" s="5">
        <f>(표1[[#This Row],[의사고시 응시자수]])/(표1[[#This Row],[의사고시 응시자수]]+L5)*N5*표1[[#This Row],[의사고시 합격자수]]</f>
        <v>48.750315126050417</v>
      </c>
      <c r="Q6" s="5">
        <f>(표1[[#This Row],[의사고시 응시자수]])/(표1[[#This Row],[의사고시 응시자수]]+L5)*(1-N5)*표1[[#This Row],[의사고시 합격자수]]</f>
        <v>7.9723739495798362</v>
      </c>
      <c r="R6" s="5">
        <v>0</v>
      </c>
      <c r="S6" s="5">
        <v>0</v>
      </c>
      <c r="T6" s="5">
        <f>(L5)/(표1[[#This Row],[의사고시 응시자수]]+L5)*N5*표1[[#This Row],[의사고시 합격자수]]</f>
        <v>58.680934873949568</v>
      </c>
      <c r="U6" s="5">
        <f>(K5)/(표1[[#This Row],[의사고시 응시자수]]+L5)*(1-N5)*표1[[#This Row],[의사고시 합격자수]]</f>
        <v>15.649474789915972</v>
      </c>
      <c r="V6" s="40">
        <f>표1[[#This Row],[의대졸비율/남]]+표1[[#This Row],[의전졸비율/남]]+표1[[#This Row],[불합비율/남]]</f>
        <v>0.39000252100840332</v>
      </c>
      <c r="W6" s="6">
        <f t="shared" si="2"/>
        <v>0.39000252100840332</v>
      </c>
      <c r="X6" s="6">
        <f t="shared" si="3"/>
        <v>6.377899159663869E-2</v>
      </c>
      <c r="Y6" s="6">
        <v>0</v>
      </c>
      <c r="Z6" s="6">
        <v>0</v>
      </c>
      <c r="AA6" s="6">
        <v>0</v>
      </c>
      <c r="AB6" s="6">
        <v>0</v>
      </c>
      <c r="AC6" s="5">
        <f>표1[[#This Row],[의사수비율]]*0.5553*표1[[#This Row],[의사고시 합격자수]]</f>
        <v>61.787980680772769</v>
      </c>
      <c r="AD6" s="5">
        <v>0</v>
      </c>
      <c r="AE6" s="16">
        <f>표1[[#This Row],[군입대]]/표1[[#This Row],[의대졸합격/남]]</f>
        <v>1.267437564680592</v>
      </c>
      <c r="AF6" s="39">
        <v>0</v>
      </c>
      <c r="AG6" s="39">
        <v>0</v>
      </c>
      <c r="AH6" s="39">
        <v>0</v>
      </c>
      <c r="AI6" s="39">
        <v>0</v>
      </c>
      <c r="AJ6" s="39">
        <f t="shared" si="1"/>
        <v>0</v>
      </c>
      <c r="AK6" s="39">
        <f t="shared" si="0"/>
        <v>0</v>
      </c>
    </row>
    <row r="7" spans="1:37" x14ac:dyDescent="0.25">
      <c r="A7" s="1">
        <v>1955</v>
      </c>
      <c r="B7" s="2">
        <v>21514564</v>
      </c>
      <c r="C7" s="7">
        <v>5435</v>
      </c>
      <c r="D7" s="7">
        <v>4838</v>
      </c>
      <c r="E7" s="8">
        <v>597</v>
      </c>
      <c r="F7" s="14">
        <f>표1[[#This Row],[의사수/남]]/표1[[#This Row],[의사수/계]]</f>
        <v>0.89015639374425026</v>
      </c>
      <c r="G7" s="4">
        <v>0</v>
      </c>
      <c r="H7" s="27">
        <v>291</v>
      </c>
      <c r="I7" s="27">
        <v>291</v>
      </c>
      <c r="J7" s="1">
        <v>252</v>
      </c>
      <c r="K7" s="1">
        <v>39</v>
      </c>
      <c r="L7" s="35">
        <v>39</v>
      </c>
      <c r="M7" s="1">
        <f t="shared" si="4"/>
        <v>788</v>
      </c>
      <c r="N7" s="1">
        <f>(-5*(표1[[#This Row],[년도]]-1950)^2/100000)+(16*(표1[[#This Row],[년도]]-1950)/10000)+0.8551</f>
        <v>0.86185</v>
      </c>
      <c r="O7" s="19">
        <f>(표1[[#This Row],[의대졸비율/남]]+표1[[#This Row],[의전졸비율/남]]+표1[[#This Row],[불합비율/남]])-표1[[#This Row],[의사고시성비추세]]</f>
        <v>-9.8241158536585327E-2</v>
      </c>
      <c r="P7" s="5">
        <f>(표1[[#This Row],[의사고시 응시자수]])/(표1[[#This Row],[의사고시 응시자수]]+L6)*N6*표1[[#This Row],[의사고시 합격자수]]</f>
        <v>192.42942804878049</v>
      </c>
      <c r="Q7" s="5">
        <f>(표1[[#This Row],[의사고시 응시자수]])/(표1[[#This Row],[의사고시 응시자수]]+L6)*(1-N6)*표1[[#This Row],[의사고시 합격자수]]</f>
        <v>31.143742682926824</v>
      </c>
      <c r="R7" s="5">
        <v>0</v>
      </c>
      <c r="S7" s="5">
        <v>0</v>
      </c>
      <c r="T7" s="5">
        <f>(L6)/(표1[[#This Row],[의사고시 응시자수]]+L6)*N6*표1[[#This Row],[의사고시 합격자수]]</f>
        <v>24.466971951219513</v>
      </c>
      <c r="U7" s="5">
        <f>(K6)/(표1[[#This Row],[의사고시 응시자수]]+L6)*(1-N6)*표1[[#This Row],[의사고시 합격자수]]</f>
        <v>3.9598573170731703</v>
      </c>
      <c r="V7" s="40">
        <f>표1[[#This Row],[의대졸비율/남]]+표1[[#This Row],[의전졸비율/남]]+표1[[#This Row],[불합비율/남]]</f>
        <v>0.76360884146341468</v>
      </c>
      <c r="W7" s="6">
        <f t="shared" si="2"/>
        <v>0.76360884146341468</v>
      </c>
      <c r="X7" s="6">
        <f t="shared" si="3"/>
        <v>0.12358628048780486</v>
      </c>
      <c r="Y7" s="6">
        <v>0</v>
      </c>
      <c r="Z7" s="6">
        <v>0</v>
      </c>
      <c r="AA7" s="6">
        <v>0</v>
      </c>
      <c r="AB7" s="6">
        <v>0</v>
      </c>
      <c r="AC7" s="5">
        <f>표1[[#This Row],[의사수비율]]*0.5553*표1[[#This Row],[의사고시 합격자수]]</f>
        <v>124.5645690524379</v>
      </c>
      <c r="AD7" s="5">
        <v>63.270892217111317</v>
      </c>
      <c r="AE7" s="16">
        <f>표1[[#This Row],[군입대]]/표1[[#This Row],[의대졸합격/남]]</f>
        <v>0.64732598498843441</v>
      </c>
      <c r="AF7" s="39">
        <v>0</v>
      </c>
      <c r="AG7" s="39">
        <v>0</v>
      </c>
      <c r="AH7" s="39">
        <v>0</v>
      </c>
      <c r="AI7" s="39">
        <v>0</v>
      </c>
      <c r="AJ7" s="39">
        <f t="shared" si="1"/>
        <v>0</v>
      </c>
      <c r="AK7" s="39">
        <f t="shared" si="0"/>
        <v>0</v>
      </c>
    </row>
    <row r="8" spans="1:37" x14ac:dyDescent="0.25">
      <c r="A8" s="1">
        <v>1956</v>
      </c>
      <c r="B8" s="2">
        <v>22227339.000000004</v>
      </c>
      <c r="C8" s="7">
        <v>5723</v>
      </c>
      <c r="D8" s="7">
        <v>5068</v>
      </c>
      <c r="E8" s="8">
        <v>655</v>
      </c>
      <c r="F8" s="14">
        <f>표1[[#This Row],[의사수/남]]/표1[[#This Row],[의사수/계]]</f>
        <v>0.88554953695614191</v>
      </c>
      <c r="G8" s="4">
        <v>0</v>
      </c>
      <c r="H8" s="26">
        <v>390</v>
      </c>
      <c r="I8" s="26">
        <v>390</v>
      </c>
      <c r="J8" s="1">
        <v>340</v>
      </c>
      <c r="K8" s="1">
        <v>50</v>
      </c>
      <c r="L8" s="35">
        <v>50</v>
      </c>
      <c r="M8" s="1">
        <f t="shared" si="4"/>
        <v>1128</v>
      </c>
      <c r="N8" s="1">
        <f>(-5*(표1[[#This Row],[년도]]-1950)^2/100000)+(16*(표1[[#This Row],[년도]]-1950)/10000)+0.8551</f>
        <v>0.8629</v>
      </c>
      <c r="O8" s="19">
        <f>(표1[[#This Row],[의대졸비율/남]]+표1[[#This Row],[의전졸비율/남]]+표1[[#This Row],[불합비율/남]])-표1[[#This Row],[의사고시성비추세]]</f>
        <v>-7.9400000000000026E-2</v>
      </c>
      <c r="P8" s="5">
        <f>(표1[[#This Row],[의사고시 응시자수]])/(표1[[#This Row],[의사고시 응시자수]]+L7)*N7*표1[[#This Row],[의사고시 합격자수]]</f>
        <v>266.39</v>
      </c>
      <c r="Q8" s="5">
        <f>(표1[[#This Row],[의사고시 응시자수]])/(표1[[#This Row],[의사고시 응시자수]]+L7)*(1-N7)*표1[[#This Row],[의사고시 합격자수]]</f>
        <v>42.700909090909093</v>
      </c>
      <c r="R8" s="5">
        <v>0</v>
      </c>
      <c r="S8" s="5">
        <v>0</v>
      </c>
      <c r="T8" s="5">
        <f>(L7)/(표1[[#This Row],[의사고시 응시자수]]+L7)*N7*표1[[#This Row],[의사고시 합격자수]]</f>
        <v>26.638999999999999</v>
      </c>
      <c r="U8" s="5">
        <f>(K7)/(표1[[#This Row],[의사고시 응시자수]]+L7)*(1-N7)*표1[[#This Row],[의사고시 합격자수]]</f>
        <v>4.2700909090909089</v>
      </c>
      <c r="V8" s="40">
        <f>표1[[#This Row],[의대졸비율/남]]+표1[[#This Row],[의전졸비율/남]]+표1[[#This Row],[불합비율/남]]</f>
        <v>0.78349999999999997</v>
      </c>
      <c r="W8" s="6">
        <f t="shared" si="2"/>
        <v>0.78349999999999997</v>
      </c>
      <c r="X8" s="6">
        <f t="shared" si="3"/>
        <v>0.12559090909090909</v>
      </c>
      <c r="Y8" s="6">
        <v>0</v>
      </c>
      <c r="Z8" s="6">
        <v>0</v>
      </c>
      <c r="AA8" s="6">
        <v>0</v>
      </c>
      <c r="AB8" s="6">
        <v>0</v>
      </c>
      <c r="AC8" s="5">
        <f>표1[[#This Row],[의사수비율]]*0.5553*표1[[#This Row],[의사고시 합격자수]]</f>
        <v>167.19352367639351</v>
      </c>
      <c r="AD8" s="5">
        <v>139.88798826126956</v>
      </c>
      <c r="AE8" s="16">
        <f>표1[[#This Row],[군입대]]/표1[[#This Row],[의대졸합격/남]]</f>
        <v>0.6276268766710219</v>
      </c>
      <c r="AF8" s="39">
        <v>0</v>
      </c>
      <c r="AG8" s="39">
        <v>0</v>
      </c>
      <c r="AH8" s="39">
        <v>0</v>
      </c>
      <c r="AI8" s="39">
        <v>0</v>
      </c>
      <c r="AJ8" s="39">
        <f t="shared" si="1"/>
        <v>0</v>
      </c>
      <c r="AK8" s="39">
        <f t="shared" si="0"/>
        <v>0</v>
      </c>
    </row>
    <row r="9" spans="1:37" x14ac:dyDescent="0.25">
      <c r="A9" s="1">
        <v>1957</v>
      </c>
      <c r="B9" s="2">
        <v>22984010</v>
      </c>
      <c r="C9" s="7">
        <v>6068</v>
      </c>
      <c r="D9" s="7">
        <v>5360</v>
      </c>
      <c r="E9" s="8">
        <v>708</v>
      </c>
      <c r="F9" s="14">
        <f>표1[[#This Row],[의사수/남]]/표1[[#This Row],[의사수/계]]</f>
        <v>0.88332234673698085</v>
      </c>
      <c r="G9" s="4">
        <v>0</v>
      </c>
      <c r="H9" s="27">
        <v>511</v>
      </c>
      <c r="I9" s="27">
        <v>511</v>
      </c>
      <c r="J9" s="1">
        <v>479</v>
      </c>
      <c r="K9" s="1">
        <v>32</v>
      </c>
      <c r="L9" s="35">
        <v>32</v>
      </c>
      <c r="M9" s="1">
        <f t="shared" si="4"/>
        <v>1607</v>
      </c>
      <c r="N9" s="1">
        <f>(-5*(표1[[#This Row],[년도]]-1950)^2/100000)+(16*(표1[[#This Row],[년도]]-1950)/10000)+0.8551</f>
        <v>0.86385000000000001</v>
      </c>
      <c r="O9" s="19">
        <f>(표1[[#This Row],[의대졸비율/남]]+표1[[#This Row],[의전졸비율/남]]+표1[[#This Row],[불합비율/남]])-표1[[#This Row],[의사고시성비추세]]</f>
        <v>-7.7857308377896617E-2</v>
      </c>
      <c r="P9" s="5">
        <f>(표1[[#This Row],[의사고시 응시자수]])/(표1[[#This Row],[의사고시 응시자수]]+L8)*N8*표1[[#This Row],[의사고시 합격자수]]</f>
        <v>376.49049928698753</v>
      </c>
      <c r="Q9" s="5">
        <f>(표1[[#This Row],[의사고시 응시자수]])/(표1[[#This Row],[의사고시 응시자수]]+L8)*(1-N8)*표1[[#This Row],[의사고시 합격자수]]</f>
        <v>59.817878609625666</v>
      </c>
      <c r="R9" s="5">
        <v>0</v>
      </c>
      <c r="S9" s="5">
        <v>0</v>
      </c>
      <c r="T9" s="5">
        <f>(L8)/(표1[[#This Row],[의사고시 응시자수]]+L8)*N8*표1[[#This Row],[의사고시 합격자수]]</f>
        <v>36.838600713012475</v>
      </c>
      <c r="U9" s="5">
        <f>(K8)/(표1[[#This Row],[의사고시 응시자수]]+L8)*(1-N8)*표1[[#This Row],[의사고시 합격자수]]</f>
        <v>5.8530213903743311</v>
      </c>
      <c r="V9" s="40">
        <f>표1[[#This Row],[의대졸비율/남]]+표1[[#This Row],[의전졸비율/남]]+표1[[#This Row],[불합비율/남]]</f>
        <v>0.78599269162210339</v>
      </c>
      <c r="W9" s="6">
        <f t="shared" si="2"/>
        <v>0.78599269162210339</v>
      </c>
      <c r="X9" s="6">
        <f t="shared" si="3"/>
        <v>0.1248807486631016</v>
      </c>
      <c r="Y9" s="6">
        <v>0</v>
      </c>
      <c r="Z9" s="6">
        <v>0</v>
      </c>
      <c r="AA9" s="6">
        <v>0</v>
      </c>
      <c r="AB9" s="6">
        <v>0</v>
      </c>
      <c r="AC9" s="5">
        <f>표1[[#This Row],[의사수비율]]*0.5553*표1[[#This Row],[의사고시 합격자수]]</f>
        <v>234.95376268951878</v>
      </c>
      <c r="AD9" s="5">
        <v>61.787980680772769</v>
      </c>
      <c r="AE9" s="16">
        <f>표1[[#This Row],[군입대]]/표1[[#This Row],[의대졸합격/남]]</f>
        <v>0.62406292624776305</v>
      </c>
      <c r="AF9" s="39">
        <v>0</v>
      </c>
      <c r="AG9" s="39">
        <v>0</v>
      </c>
      <c r="AH9" s="39">
        <v>0</v>
      </c>
      <c r="AI9" s="39">
        <v>0</v>
      </c>
      <c r="AJ9" s="39">
        <f t="shared" si="1"/>
        <v>0</v>
      </c>
      <c r="AK9" s="39">
        <f t="shared" si="0"/>
        <v>0</v>
      </c>
    </row>
    <row r="10" spans="1:37" x14ac:dyDescent="0.25">
      <c r="A10" s="1">
        <v>1958</v>
      </c>
      <c r="B10" s="2">
        <v>23765501</v>
      </c>
      <c r="C10" s="7">
        <v>6405</v>
      </c>
      <c r="D10" s="7">
        <v>5628</v>
      </c>
      <c r="E10" s="8">
        <v>777</v>
      </c>
      <c r="F10" s="14">
        <f>표1[[#This Row],[의사수/남]]/표1[[#This Row],[의사수/계]]</f>
        <v>0.87868852459016389</v>
      </c>
      <c r="G10" s="4">
        <v>0</v>
      </c>
      <c r="H10" s="26">
        <v>599</v>
      </c>
      <c r="I10" s="26">
        <v>599</v>
      </c>
      <c r="J10" s="1">
        <v>342</v>
      </c>
      <c r="K10" s="1">
        <v>257</v>
      </c>
      <c r="L10" s="35">
        <v>257</v>
      </c>
      <c r="M10" s="1">
        <f t="shared" si="4"/>
        <v>1949</v>
      </c>
      <c r="N10" s="1">
        <f>(-5*(표1[[#This Row],[년도]]-1950)^2/100000)+(16*(표1[[#This Row],[년도]]-1950)/10000)+0.8551</f>
        <v>0.86470000000000002</v>
      </c>
      <c r="O10" s="19">
        <f>(표1[[#This Row],[의대졸비율/남]]+표1[[#This Row],[의전졸비율/남]]+표1[[#This Row],[불합비율/남]])-표1[[#This Row],[의사고시성비추세]]</f>
        <v>-4.4658557844690971E-2</v>
      </c>
      <c r="P10" s="5">
        <f>(표1[[#This Row],[의사고시 응시자수]])/(표1[[#This Row],[의사고시 응시자수]]+L9)*N9*표1[[#This Row],[의사고시 합격자수]]</f>
        <v>280.45417321711568</v>
      </c>
      <c r="Q10" s="5">
        <f>(표1[[#This Row],[의사고시 응시자수]])/(표1[[#This Row],[의사고시 응시자수]]+L9)*(1-N9)*표1[[#This Row],[의사고시 합격자수]]</f>
        <v>44.201928209191763</v>
      </c>
      <c r="R10" s="5">
        <v>0</v>
      </c>
      <c r="S10" s="5">
        <v>0</v>
      </c>
      <c r="T10" s="5">
        <f>(L9)/(표1[[#This Row],[의사고시 응시자수]]+L9)*N9*표1[[#This Row],[의사고시 합격자수]]</f>
        <v>14.98252678288431</v>
      </c>
      <c r="U10" s="5">
        <f>(K9)/(표1[[#This Row],[의사고시 응시자수]]+L9)*(1-N9)*표1[[#This Row],[의사고시 합격자수]]</f>
        <v>2.3613717908082408</v>
      </c>
      <c r="V10" s="40">
        <f>표1[[#This Row],[의대졸비율/남]]+표1[[#This Row],[의전졸비율/남]]+표1[[#This Row],[불합비율/남]]</f>
        <v>0.82004144215530905</v>
      </c>
      <c r="W10" s="6">
        <f t="shared" si="2"/>
        <v>0.82004144215530905</v>
      </c>
      <c r="X10" s="6">
        <f t="shared" si="3"/>
        <v>0.12924540412044375</v>
      </c>
      <c r="Y10" s="6">
        <v>0</v>
      </c>
      <c r="Z10" s="6">
        <v>0</v>
      </c>
      <c r="AA10" s="6">
        <v>0</v>
      </c>
      <c r="AB10" s="6">
        <v>0</v>
      </c>
      <c r="AC10" s="5">
        <f>표1[[#This Row],[의사수비율]]*0.5553*표1[[#This Row],[의사고시 합격자수]]</f>
        <v>166.87402229508197</v>
      </c>
      <c r="AD10" s="5">
        <v>124.5645690524379</v>
      </c>
      <c r="AE10" s="16">
        <f>표1[[#This Row],[군입대]]/표1[[#This Row],[의대졸합격/남]]</f>
        <v>0.59501351105192934</v>
      </c>
      <c r="AF10" s="39">
        <v>0</v>
      </c>
      <c r="AG10" s="39">
        <v>0</v>
      </c>
      <c r="AH10" s="39">
        <v>0</v>
      </c>
      <c r="AI10" s="39">
        <v>0</v>
      </c>
      <c r="AJ10" s="39">
        <f t="shared" si="1"/>
        <v>0</v>
      </c>
      <c r="AK10" s="39">
        <f t="shared" si="0"/>
        <v>0</v>
      </c>
    </row>
    <row r="11" spans="1:37" x14ac:dyDescent="0.25">
      <c r="A11" s="1">
        <v>1959</v>
      </c>
      <c r="B11" s="2">
        <v>24552846</v>
      </c>
      <c r="C11" s="7">
        <v>6614</v>
      </c>
      <c r="D11" s="7">
        <v>5751</v>
      </c>
      <c r="E11" s="8">
        <v>863</v>
      </c>
      <c r="F11" s="14">
        <f>표1[[#This Row],[의사수/남]]/표1[[#This Row],[의사수/계]]</f>
        <v>0.86951920169337771</v>
      </c>
      <c r="G11" s="4">
        <v>0</v>
      </c>
      <c r="H11" s="27">
        <f>846</f>
        <v>846</v>
      </c>
      <c r="I11" s="27">
        <v>143</v>
      </c>
      <c r="J11" s="1">
        <v>815</v>
      </c>
      <c r="K11" s="1">
        <v>174</v>
      </c>
      <c r="L11" s="35">
        <v>38</v>
      </c>
      <c r="M11" s="1">
        <f t="shared" si="4"/>
        <v>2764</v>
      </c>
      <c r="N11" s="1">
        <f>(-5*(표1[[#This Row],[년도]]-1950)^2/100000)+(16*(표1[[#This Row],[년도]]-1950)/10000)+0.8551</f>
        <v>0.86544999999999994</v>
      </c>
      <c r="O11" s="19">
        <f>(표1[[#This Row],[의대졸비율/남]]+표1[[#This Row],[의전졸비율/남]]+표1[[#This Row],[불합비율/남]])-표1[[#This Row],[의사고시성비추세]]</f>
        <v>-0.20222588395285579</v>
      </c>
      <c r="P11" s="5">
        <f>(표1[[#This Row],[의사고시 응시자수]])/(표1[[#This Row],[의사고시 응시자수]]+L10)*N10*표1[[#This Row],[의사고시 합격자수]]</f>
        <v>540.52765457842247</v>
      </c>
      <c r="Q11" s="5">
        <f>(표1[[#This Row],[의사고시 응시자수]])/(표1[[#This Row],[의사고시 응시자수]]+L10)*(1-N10)*표1[[#This Row],[의사고시 합격자수]]</f>
        <v>84.576606527651833</v>
      </c>
      <c r="R11" s="5">
        <v>0</v>
      </c>
      <c r="S11" s="5">
        <v>0</v>
      </c>
      <c r="T11" s="5">
        <f>(L10)/(표1[[#This Row],[의사고시 응시자수]]+L10)*N10*표1[[#This Row],[의사고시 합격자수]]</f>
        <v>164.20284542157751</v>
      </c>
      <c r="U11" s="5">
        <f>(K10)/(표1[[#This Row],[의사고시 응시자수]]+L10)*(1-N10)*표1[[#This Row],[의사고시 합격자수]]</f>
        <v>25.692893472348135</v>
      </c>
      <c r="V11" s="40">
        <f>표1[[#This Row],[의대졸비율/남]]+표1[[#This Row],[의전졸비율/남]]+표1[[#This Row],[불합비율/남]]</f>
        <v>0.66322411604714415</v>
      </c>
      <c r="W11" s="6">
        <f t="shared" si="2"/>
        <v>0.66322411604714415</v>
      </c>
      <c r="X11" s="6">
        <f t="shared" si="3"/>
        <v>0.10377497733454212</v>
      </c>
      <c r="Y11" s="6">
        <v>0</v>
      </c>
      <c r="Z11" s="6">
        <v>0</v>
      </c>
      <c r="AA11" s="6">
        <v>0</v>
      </c>
      <c r="AB11" s="6">
        <v>0</v>
      </c>
      <c r="AC11" s="5">
        <f>표1[[#This Row],[의사수비율]]*0.5553*표1[[#This Row],[의사고시 합격자수]]</f>
        <v>393.51787035077115</v>
      </c>
      <c r="AD11" s="5">
        <v>167.19352367639351</v>
      </c>
      <c r="AE11" s="16">
        <f>표1[[#This Row],[군입대]]/표1[[#This Row],[의대졸합격/남]]</f>
        <v>0.72802541556858968</v>
      </c>
      <c r="AF11" s="39">
        <v>0</v>
      </c>
      <c r="AG11" s="39">
        <v>0</v>
      </c>
      <c r="AH11" s="39">
        <v>0</v>
      </c>
      <c r="AI11" s="39">
        <v>0</v>
      </c>
      <c r="AJ11" s="39">
        <f t="shared" si="1"/>
        <v>0</v>
      </c>
      <c r="AK11" s="39">
        <f t="shared" si="0"/>
        <v>0</v>
      </c>
    </row>
    <row r="12" spans="1:37" x14ac:dyDescent="0.25">
      <c r="A12" s="1">
        <v>1960</v>
      </c>
      <c r="B12" s="2">
        <v>25329521</v>
      </c>
      <c r="C12" s="7">
        <v>7064</v>
      </c>
      <c r="D12" s="7">
        <v>6084</v>
      </c>
      <c r="E12" s="8">
        <v>980</v>
      </c>
      <c r="F12" s="14">
        <f>표1[[#This Row],[의사수/남]]/표1[[#This Row],[의사수/계]]</f>
        <v>0.86126840317100795</v>
      </c>
      <c r="G12" s="4">
        <v>0</v>
      </c>
      <c r="H12" s="26">
        <v>650</v>
      </c>
      <c r="I12" s="26">
        <v>650</v>
      </c>
      <c r="J12" s="1">
        <v>603</v>
      </c>
      <c r="K12" s="1">
        <v>47</v>
      </c>
      <c r="L12" s="35">
        <v>47</v>
      </c>
      <c r="M12" s="1">
        <f t="shared" si="4"/>
        <v>3367</v>
      </c>
      <c r="N12" s="1">
        <f>(-5*(표1[[#This Row],[년도]]-1950)^2/100000)+(16*(표1[[#This Row],[년도]]-1950)/10000)+0.8551</f>
        <v>0.86609999999999998</v>
      </c>
      <c r="O12" s="19">
        <f>(표1[[#This Row],[의대졸비율/남]]+표1[[#This Row],[의전졸비율/남]]+표1[[#This Row],[불합비율/남]])-표1[[#This Row],[의사고시성비추세]]</f>
        <v>-4.8451017441860533E-2</v>
      </c>
      <c r="P12" s="5">
        <f>(표1[[#This Row],[의사고시 응시자수]])/(표1[[#This Row],[의사고시 응시자수]]+L11)*N11*표1[[#This Row],[의사고시 합격자수]]</f>
        <v>493.04233648255808</v>
      </c>
      <c r="Q12" s="5">
        <f>(표1[[#This Row],[의사고시 응시자수]])/(표1[[#This Row],[의사고시 응시자수]]+L11)*(1-N11)*표1[[#This Row],[의사고시 합격자수]]</f>
        <v>76.65243095930235</v>
      </c>
      <c r="R12" s="5">
        <v>0</v>
      </c>
      <c r="S12" s="5">
        <v>0</v>
      </c>
      <c r="T12" s="5">
        <f>(L11)/(표1[[#This Row],[의사고시 응시자수]]+L11)*N11*표1[[#This Row],[의사고시 합격자수]]</f>
        <v>28.824013517441863</v>
      </c>
      <c r="U12" s="5">
        <f>(K11)/(표1[[#This Row],[의사고시 응시자수]]+L11)*(1-N11)*표1[[#This Row],[의사고시 합격자수]]</f>
        <v>20.51926613372094</v>
      </c>
      <c r="V12" s="40">
        <f>표1[[#This Row],[의대졸비율/남]]+표1[[#This Row],[의전졸비율/남]]+표1[[#This Row],[불합비율/남]]</f>
        <v>0.81764898255813945</v>
      </c>
      <c r="W12" s="6">
        <f t="shared" si="2"/>
        <v>0.81764898255813945</v>
      </c>
      <c r="X12" s="6">
        <f t="shared" si="3"/>
        <v>0.12711845930232563</v>
      </c>
      <c r="Y12" s="6">
        <v>0</v>
      </c>
      <c r="Z12" s="6">
        <v>0</v>
      </c>
      <c r="AA12" s="6">
        <v>0</v>
      </c>
      <c r="AB12" s="6">
        <v>0</v>
      </c>
      <c r="AC12" s="5">
        <f>표1[[#This Row],[의사수비율]]*0.5553*표1[[#This Row],[의사고시 합격자수]]</f>
        <v>288.392193601359</v>
      </c>
      <c r="AD12" s="5">
        <v>234.95376268951878</v>
      </c>
      <c r="AE12" s="16">
        <f>표1[[#This Row],[군입대]]/표1[[#This Row],[의대졸합격/남]]</f>
        <v>0.58492379307382503</v>
      </c>
      <c r="AF12" s="39">
        <v>0</v>
      </c>
      <c r="AG12" s="39">
        <v>0</v>
      </c>
      <c r="AH12" s="39">
        <v>0</v>
      </c>
      <c r="AI12" s="39">
        <v>0</v>
      </c>
      <c r="AJ12" s="39">
        <f t="shared" si="1"/>
        <v>0</v>
      </c>
      <c r="AK12" s="39">
        <f t="shared" si="0"/>
        <v>0</v>
      </c>
    </row>
    <row r="13" spans="1:37" x14ac:dyDescent="0.25">
      <c r="A13" s="1">
        <v>1961</v>
      </c>
      <c r="B13" s="2">
        <v>26084024.999999996</v>
      </c>
      <c r="C13" s="7">
        <v>7704</v>
      </c>
      <c r="D13" s="7">
        <v>6527</v>
      </c>
      <c r="E13" s="7">
        <v>1177</v>
      </c>
      <c r="F13" s="14">
        <f>표1[[#This Row],[의사수/남]]/표1[[#This Row],[의사수/계]]</f>
        <v>0.84722222222222221</v>
      </c>
      <c r="G13" s="4">
        <v>0</v>
      </c>
      <c r="H13" s="27">
        <f>711</f>
        <v>711</v>
      </c>
      <c r="I13" s="27">
        <v>127</v>
      </c>
      <c r="J13" s="1">
        <v>722</v>
      </c>
      <c r="K13" s="1">
        <v>116</v>
      </c>
      <c r="L13" s="35">
        <v>21</v>
      </c>
      <c r="M13" s="1">
        <f t="shared" si="4"/>
        <v>4089</v>
      </c>
      <c r="N13" s="1">
        <f>(-5*(표1[[#This Row],[년도]]-1950)^2/100000)+(16*(표1[[#This Row],[년도]]-1950)/10000)+0.8551</f>
        <v>0.86664999999999992</v>
      </c>
      <c r="O13" s="19">
        <f>(표1[[#This Row],[의대졸비율/남]]+표1[[#This Row],[의전졸비율/남]]+표1[[#This Row],[불합비율/남]])-표1[[#This Row],[의사고시성비추세]]</f>
        <v>-5.4252770448548815E-2</v>
      </c>
      <c r="P13" s="5">
        <f>(표1[[#This Row],[의사고시 응시자수]])/(표1[[#This Row],[의사고시 응시자수]]+L12)*N12*표1[[#This Row],[의사고시 합격자수]]</f>
        <v>586.55079973614772</v>
      </c>
      <c r="Q13" s="5">
        <f>(표1[[#This Row],[의사고시 응시자수]])/(표1[[#This Row],[의사고시 응시자수]]+L12)*(1-N12)*표1[[#This Row],[의사고시 합격자수]]</f>
        <v>90.681390237467028</v>
      </c>
      <c r="R13" s="5">
        <v>0</v>
      </c>
      <c r="S13" s="5">
        <v>0</v>
      </c>
      <c r="T13" s="5">
        <f>(L12)/(표1[[#This Row],[의사고시 응시자수]]+L12)*N12*표1[[#This Row],[의사고시 합격자수]]</f>
        <v>38.773400263852245</v>
      </c>
      <c r="U13" s="5">
        <f>(K12)/(표1[[#This Row],[의사고시 응시자수]]+L12)*(1-N12)*표1[[#This Row],[의사고시 합격자수]]</f>
        <v>5.9944097625329826</v>
      </c>
      <c r="V13" s="40">
        <f>표1[[#This Row],[의대졸비율/남]]+표1[[#This Row],[의전졸비율/남]]+표1[[#This Row],[불합비율/남]]</f>
        <v>0.81239722955145111</v>
      </c>
      <c r="W13" s="6">
        <f t="shared" si="2"/>
        <v>0.81239722955145111</v>
      </c>
      <c r="X13" s="6">
        <f t="shared" si="3"/>
        <v>0.12559749340369394</v>
      </c>
      <c r="Y13" s="6">
        <v>0</v>
      </c>
      <c r="Z13" s="6">
        <v>0</v>
      </c>
      <c r="AA13" s="6">
        <v>0</v>
      </c>
      <c r="AB13" s="6">
        <v>0</v>
      </c>
      <c r="AC13" s="5">
        <f>표1[[#This Row],[의사수비율]]*0.5553*표1[[#This Row],[의사고시 합격자수]]</f>
        <v>339.673925</v>
      </c>
      <c r="AD13" s="5">
        <v>166.87402229508197</v>
      </c>
      <c r="AE13" s="16">
        <f>표1[[#This Row],[군입대]]/표1[[#This Row],[의대졸합격/남]]</f>
        <v>0.57910401819040724</v>
      </c>
      <c r="AF13" s="39">
        <v>0</v>
      </c>
      <c r="AG13" s="39">
        <v>0</v>
      </c>
      <c r="AH13" s="39">
        <v>0</v>
      </c>
      <c r="AI13" s="39">
        <v>0</v>
      </c>
      <c r="AJ13" s="39">
        <f t="shared" si="1"/>
        <v>0</v>
      </c>
      <c r="AK13" s="39">
        <f t="shared" si="0"/>
        <v>0</v>
      </c>
    </row>
    <row r="14" spans="1:37" x14ac:dyDescent="0.25">
      <c r="A14" s="1">
        <v>1962</v>
      </c>
      <c r="B14" s="2">
        <v>26812084</v>
      </c>
      <c r="C14" s="7">
        <v>8951</v>
      </c>
      <c r="D14" s="7">
        <v>7551</v>
      </c>
      <c r="E14" s="7">
        <v>1400</v>
      </c>
      <c r="F14" s="14">
        <f>표1[[#This Row],[의사수/남]]/표1[[#This Row],[의사수/계]]</f>
        <v>0.84359289464864262</v>
      </c>
      <c r="G14" s="4">
        <v>0</v>
      </c>
      <c r="H14" s="26">
        <v>742</v>
      </c>
      <c r="I14" s="26">
        <v>742</v>
      </c>
      <c r="J14" s="1">
        <v>680</v>
      </c>
      <c r="K14" s="1">
        <v>62</v>
      </c>
      <c r="L14" s="35">
        <v>62</v>
      </c>
      <c r="M14" s="1">
        <f t="shared" si="4"/>
        <v>4769</v>
      </c>
      <c r="N14" s="1">
        <f>(-5*(표1[[#This Row],[년도]]-1950)^2/100000)+(16*(표1[[#This Row],[년도]]-1950)/10000)+0.8551</f>
        <v>0.86709999999999998</v>
      </c>
      <c r="O14" s="19">
        <f>(표1[[#This Row],[의대졸비율/남]]+표1[[#This Row],[의전졸비율/남]]+표1[[#This Row],[불합비율/남]])-표1[[#This Row],[의사고시성비추세]]</f>
        <v>-2.4302752293578145E-2</v>
      </c>
      <c r="P14" s="5">
        <f>(표1[[#This Row],[의사고시 응시자수]])/(표1[[#This Row],[의사고시 응시자수]]+L13)*N13*표1[[#This Row],[의사고시 합격자수]]</f>
        <v>573.10212844036687</v>
      </c>
      <c r="Q14" s="5">
        <f>(표1[[#This Row],[의사고시 응시자수]])/(표1[[#This Row],[의사고시 응시자수]]+L13)*(1-N13)*표1[[#This Row],[의사고시 합격자수]]</f>
        <v>88.18227522935787</v>
      </c>
      <c r="R14" s="5">
        <v>0</v>
      </c>
      <c r="S14" s="5">
        <v>0</v>
      </c>
      <c r="T14" s="5">
        <f>(L13)/(표1[[#This Row],[의사고시 응시자수]]+L13)*N13*표1[[#This Row],[의사고시 합격자수]]</f>
        <v>16.219871559633027</v>
      </c>
      <c r="U14" s="5">
        <f>(K13)/(표1[[#This Row],[의사고시 응시자수]]+L13)*(1-N13)*표1[[#This Row],[의사고시 합격자수]]</f>
        <v>13.785908256880743</v>
      </c>
      <c r="V14" s="40">
        <f>표1[[#This Row],[의대졸비율/남]]+표1[[#This Row],[의전졸비율/남]]+표1[[#This Row],[불합비율/남]]</f>
        <v>0.84279724770642184</v>
      </c>
      <c r="W14" s="6">
        <f t="shared" si="2"/>
        <v>0.84279724770642184</v>
      </c>
      <c r="X14" s="6">
        <f t="shared" si="3"/>
        <v>0.12967981651376156</v>
      </c>
      <c r="Y14" s="6">
        <v>0</v>
      </c>
      <c r="Z14" s="6">
        <v>0</v>
      </c>
      <c r="AA14" s="6">
        <v>0</v>
      </c>
      <c r="AB14" s="6">
        <v>0</v>
      </c>
      <c r="AC14" s="5">
        <f>표1[[#This Row],[의사수비율]]*0.5553*표1[[#This Row],[의사고시 합격자수]]</f>
        <v>318.54405139090608</v>
      </c>
      <c r="AD14" s="5">
        <v>393.51787035077115</v>
      </c>
      <c r="AE14" s="16">
        <f>표1[[#This Row],[군입대]]/표1[[#This Row],[의대졸합격/남]]</f>
        <v>0.55582423373262979</v>
      </c>
      <c r="AF14" s="39">
        <v>0</v>
      </c>
      <c r="AG14" s="39">
        <v>0</v>
      </c>
      <c r="AH14" s="39">
        <v>0</v>
      </c>
      <c r="AI14" s="39">
        <v>0</v>
      </c>
      <c r="AJ14" s="39">
        <f t="shared" si="1"/>
        <v>0</v>
      </c>
      <c r="AK14" s="39">
        <f t="shared" si="0"/>
        <v>0</v>
      </c>
    </row>
    <row r="15" spans="1:37" x14ac:dyDescent="0.25">
      <c r="A15" s="1">
        <v>1963</v>
      </c>
      <c r="B15" s="2">
        <v>27517540</v>
      </c>
      <c r="C15" s="7">
        <v>8649</v>
      </c>
      <c r="D15" s="7">
        <v>7245</v>
      </c>
      <c r="E15" s="7">
        <v>1404</v>
      </c>
      <c r="F15" s="14">
        <f>표1[[#This Row],[의사수/남]]/표1[[#This Row],[의사수/계]]</f>
        <v>0.83766909469302808</v>
      </c>
      <c r="G15" s="4">
        <v>0</v>
      </c>
      <c r="H15" s="27">
        <f>847</f>
        <v>847</v>
      </c>
      <c r="I15" s="27">
        <v>847</v>
      </c>
      <c r="J15" s="1">
        <v>802</v>
      </c>
      <c r="K15" s="1">
        <v>135</v>
      </c>
      <c r="L15" s="35">
        <v>82</v>
      </c>
      <c r="M15" s="1">
        <f t="shared" si="4"/>
        <v>5571</v>
      </c>
      <c r="N15" s="1">
        <f>(-5*(표1[[#This Row],[년도]]-1950)^2/100000)+(16*(표1[[#This Row],[년도]]-1950)/10000)+0.8551</f>
        <v>0.86744999999999994</v>
      </c>
      <c r="O15" s="19">
        <f>(표1[[#This Row],[의대졸비율/남]]+표1[[#This Row],[의전졸비율/남]]+표1[[#This Row],[불합비율/남]])-표1[[#This Row],[의사고시성비추세]]</f>
        <v>-5.9492134213421255E-2</v>
      </c>
      <c r="P15" s="5">
        <f>(표1[[#This Row],[의사고시 응시자수]])/(표1[[#This Row],[의사고시 응시자수]]+L14)*N14*표1[[#This Row],[의사고시 합격자수]]</f>
        <v>647.98220836083613</v>
      </c>
      <c r="Q15" s="5">
        <f>(표1[[#This Row],[의사고시 응시자수]])/(표1[[#This Row],[의사고시 응시자수]]+L14)*(1-N14)*표1[[#This Row],[의사고시 합격자수]]</f>
        <v>99.315921452145233</v>
      </c>
      <c r="R15" s="5">
        <v>0</v>
      </c>
      <c r="S15" s="5">
        <v>0</v>
      </c>
      <c r="T15" s="5">
        <f>(L14)/(표1[[#This Row],[의사고시 응시자수]]+L14)*N14*표1[[#This Row],[의사고시 합격자수]]</f>
        <v>47.431991639163918</v>
      </c>
      <c r="U15" s="5">
        <f>(K14)/(표1[[#This Row],[의사고시 응시자수]]+L14)*(1-N14)*표1[[#This Row],[의사고시 합격자수]]</f>
        <v>7.2698785478547867</v>
      </c>
      <c r="V15" s="40">
        <f>표1[[#This Row],[의대졸비율/남]]+표1[[#This Row],[의전졸비율/남]]+표1[[#This Row],[불합비율/남]]</f>
        <v>0.80795786578657869</v>
      </c>
      <c r="W15" s="6">
        <f t="shared" si="2"/>
        <v>0.80795786578657869</v>
      </c>
      <c r="X15" s="6">
        <f t="shared" si="3"/>
        <v>0.12383531353135316</v>
      </c>
      <c r="Y15" s="6">
        <v>0</v>
      </c>
      <c r="Z15" s="6">
        <v>0</v>
      </c>
      <c r="AA15" s="6">
        <v>0</v>
      </c>
      <c r="AB15" s="6">
        <v>0</v>
      </c>
      <c r="AC15" s="5">
        <f>표1[[#This Row],[의사수비율]]*0.5553*표1[[#This Row],[의사고시 합격자수]]</f>
        <v>373.05643392299692</v>
      </c>
      <c r="AD15" s="5">
        <v>288.392193601359</v>
      </c>
      <c r="AE15" s="16">
        <f>표1[[#This Row],[군입대]]/표1[[#This Row],[의대졸합격/남]]</f>
        <v>0.57572018044553508</v>
      </c>
      <c r="AF15" s="39">
        <v>0</v>
      </c>
      <c r="AG15" s="39">
        <v>0</v>
      </c>
      <c r="AH15" s="39">
        <v>0</v>
      </c>
      <c r="AI15" s="39">
        <v>0</v>
      </c>
      <c r="AJ15" s="39">
        <f t="shared" si="1"/>
        <v>0</v>
      </c>
      <c r="AK15" s="39">
        <f t="shared" si="0"/>
        <v>0</v>
      </c>
    </row>
    <row r="16" spans="1:37" x14ac:dyDescent="0.25">
      <c r="A16" s="1">
        <v>1964</v>
      </c>
      <c r="B16" s="2">
        <v>28209737</v>
      </c>
      <c r="C16" s="7">
        <v>9695</v>
      </c>
      <c r="D16" s="7">
        <v>8147</v>
      </c>
      <c r="E16" s="7">
        <v>1548</v>
      </c>
      <c r="F16" s="14">
        <f>표1[[#This Row],[의사수/남]]/표1[[#This Row],[의사수/계]]</f>
        <v>0.84033006704486846</v>
      </c>
      <c r="G16" s="4">
        <v>0</v>
      </c>
      <c r="H16" s="26">
        <v>906</v>
      </c>
      <c r="I16" s="26">
        <v>906</v>
      </c>
      <c r="J16" s="1">
        <v>848</v>
      </c>
      <c r="K16" s="1">
        <v>58</v>
      </c>
      <c r="L16" s="35">
        <v>58</v>
      </c>
      <c r="M16" s="1">
        <f t="shared" si="4"/>
        <v>6419</v>
      </c>
      <c r="N16" s="1">
        <f>(-5*(표1[[#This Row],[년도]]-1950)^2/100000)+(16*(표1[[#This Row],[년도]]-1950)/10000)+0.8551</f>
        <v>0.86769999999999992</v>
      </c>
      <c r="O16" s="19">
        <f>(표1[[#This Row],[의대졸비율/남]]+표1[[#This Row],[의전졸비율/남]]+표1[[#This Row],[불합비율/남]])-표1[[#This Row],[의사고시성비추세]]</f>
        <v>-7.2244838056680138E-2</v>
      </c>
      <c r="P16" s="5">
        <f>(표1[[#This Row],[의사고시 응시자수]])/(표1[[#This Row],[의사고시 응시자수]]+L15)*N15*표1[[#This Row],[의사고시 합격자수]]</f>
        <v>674.54597732793513</v>
      </c>
      <c r="Q16" s="5">
        <f>(표1[[#This Row],[의사고시 응시자수]])/(표1[[#This Row],[의사고시 응시자수]]+L15)*(1-N15)*표1[[#This Row],[의사고시 합격자수]]</f>
        <v>103.07345587044539</v>
      </c>
      <c r="R16" s="5">
        <v>0</v>
      </c>
      <c r="S16" s="5">
        <v>0</v>
      </c>
      <c r="T16" s="5">
        <f>(L15)/(표1[[#This Row],[의사고시 응시자수]]+L15)*N15*표1[[#This Row],[의사고시 합격자수]]</f>
        <v>61.051622672064781</v>
      </c>
      <c r="U16" s="5">
        <f>(K15)/(표1[[#This Row],[의사고시 응시자수]]+L15)*(1-N15)*표1[[#This Row],[의사고시 합격자수]]</f>
        <v>15.358627530364382</v>
      </c>
      <c r="V16" s="40">
        <f>표1[[#This Row],[의대졸비율/남]]+표1[[#This Row],[의전졸비율/남]]+표1[[#This Row],[불합비율/남]]</f>
        <v>0.79545516194331978</v>
      </c>
      <c r="W16" s="6">
        <f t="shared" si="2"/>
        <v>0.79545516194331978</v>
      </c>
      <c r="X16" s="6">
        <f t="shared" si="3"/>
        <v>0.12154888663967617</v>
      </c>
      <c r="Y16" s="6">
        <v>0</v>
      </c>
      <c r="Z16" s="6">
        <v>0</v>
      </c>
      <c r="AA16" s="6">
        <v>0</v>
      </c>
      <c r="AB16" s="6">
        <v>0</v>
      </c>
      <c r="AC16" s="5">
        <f>표1[[#This Row],[의사수비율]]*0.5553*표1[[#This Row],[의사고시 합격자수]]</f>
        <v>395.70672272305313</v>
      </c>
      <c r="AD16" s="5">
        <v>339.673925</v>
      </c>
      <c r="AE16" s="16">
        <f>표1[[#This Row],[군입대]]/표1[[#This Row],[의대졸합격/남]]</f>
        <v>0.58662676233065369</v>
      </c>
      <c r="AF16" s="39">
        <v>0</v>
      </c>
      <c r="AG16" s="39">
        <v>0</v>
      </c>
      <c r="AH16" s="39">
        <v>0</v>
      </c>
      <c r="AI16" s="39">
        <v>0</v>
      </c>
      <c r="AJ16" s="39">
        <f t="shared" si="1"/>
        <v>0</v>
      </c>
      <c r="AK16" s="39">
        <f t="shared" si="0"/>
        <v>0</v>
      </c>
    </row>
    <row r="17" spans="1:37" x14ac:dyDescent="0.25">
      <c r="A17" s="1">
        <v>1965</v>
      </c>
      <c r="B17" s="2">
        <v>28895557</v>
      </c>
      <c r="C17" s="7">
        <v>10464</v>
      </c>
      <c r="D17" s="7">
        <v>8800</v>
      </c>
      <c r="E17" s="7">
        <v>1664</v>
      </c>
      <c r="F17" s="14">
        <f>표1[[#This Row],[의사수/남]]/표1[[#This Row],[의사수/계]]</f>
        <v>0.84097859327217128</v>
      </c>
      <c r="G17" s="4">
        <v>0</v>
      </c>
      <c r="H17" s="27">
        <v>853</v>
      </c>
      <c r="I17" s="27">
        <v>853</v>
      </c>
      <c r="J17" s="1">
        <v>781</v>
      </c>
      <c r="K17" s="1">
        <v>72</v>
      </c>
      <c r="L17" s="35">
        <v>72</v>
      </c>
      <c r="M17" s="1">
        <f t="shared" si="4"/>
        <v>7200</v>
      </c>
      <c r="N17" s="1">
        <f>(-5*(표1[[#This Row],[년도]]-1950)^2/100000)+(16*(표1[[#This Row],[년도]]-1950)/10000)+0.8551</f>
        <v>0.86785000000000001</v>
      </c>
      <c r="O17" s="19">
        <f>(표1[[#This Row],[의대졸비율/남]]+표1[[#This Row],[의전졸비율/남]]+표1[[#This Row],[불합비율/남]])-표1[[#This Row],[의사고시성비추세]]</f>
        <v>-5.5393249176728943E-2</v>
      </c>
      <c r="P17" s="5">
        <f>(표1[[#This Row],[의사고시 응시자수]])/(표1[[#This Row],[의사고시 응시자수]]+L16)*N16*표1[[#This Row],[의사고시 합격자수]]</f>
        <v>634.52872239297471</v>
      </c>
      <c r="Q17" s="5">
        <f>(표1[[#This Row],[의사고시 응시자수]])/(표1[[#This Row],[의사고시 응시자수]]+L16)*(1-N16)*표1[[#This Row],[의사고시 합격자수]]</f>
        <v>96.74789670691554</v>
      </c>
      <c r="R17" s="5">
        <v>0</v>
      </c>
      <c r="S17" s="5">
        <v>0</v>
      </c>
      <c r="T17" s="5">
        <f>(L16)/(표1[[#This Row],[의사고시 응시자수]]+L16)*N16*표1[[#This Row],[의사고시 합격자수]]</f>
        <v>43.144977607025247</v>
      </c>
      <c r="U17" s="5">
        <f>(K16)/(표1[[#This Row],[의사고시 응시자수]]+L16)*(1-N16)*표1[[#This Row],[의사고시 합격자수]]</f>
        <v>6.5784032930845262</v>
      </c>
      <c r="V17" s="40">
        <f>표1[[#This Row],[의대졸비율/남]]+표1[[#This Row],[의전졸비율/남]]+표1[[#This Row],[불합비율/남]]</f>
        <v>0.81245675082327107</v>
      </c>
      <c r="W17" s="6">
        <f t="shared" si="2"/>
        <v>0.81245675082327107</v>
      </c>
      <c r="X17" s="6">
        <f t="shared" si="3"/>
        <v>0.12387694840834255</v>
      </c>
      <c r="Y17" s="6">
        <v>0</v>
      </c>
      <c r="Z17" s="6">
        <v>0</v>
      </c>
      <c r="AA17" s="6">
        <v>0</v>
      </c>
      <c r="AB17" s="6">
        <v>0</v>
      </c>
      <c r="AC17" s="5">
        <f>표1[[#This Row],[의사수비율]]*0.5553*표1[[#This Row],[의사고시 합격자수]]</f>
        <v>364.72341743119267</v>
      </c>
      <c r="AD17" s="5">
        <v>318.54405139090608</v>
      </c>
      <c r="AE17" s="16">
        <f>표1[[#This Row],[군입대]]/표1[[#This Row],[의대졸합격/남]]</f>
        <v>0.57479418119281467</v>
      </c>
      <c r="AF17" s="39">
        <v>0</v>
      </c>
      <c r="AG17" s="39">
        <v>0</v>
      </c>
      <c r="AH17" s="39">
        <v>0</v>
      </c>
      <c r="AI17" s="39">
        <v>0</v>
      </c>
      <c r="AJ17" s="39">
        <f t="shared" si="1"/>
        <v>0</v>
      </c>
      <c r="AK17" s="39">
        <f t="shared" si="0"/>
        <v>0</v>
      </c>
    </row>
    <row r="18" spans="1:37" x14ac:dyDescent="0.25">
      <c r="A18" s="1">
        <v>1966</v>
      </c>
      <c r="B18" s="2">
        <v>29572554</v>
      </c>
      <c r="C18" s="7">
        <v>11072</v>
      </c>
      <c r="D18" s="7">
        <v>9308</v>
      </c>
      <c r="E18" s="7">
        <v>1764</v>
      </c>
      <c r="F18" s="14">
        <f>표1[[#This Row],[의사수/남]]/표1[[#This Row],[의사수/계]]</f>
        <v>0.84067919075144504</v>
      </c>
      <c r="G18" s="4">
        <v>0</v>
      </c>
      <c r="H18" s="28">
        <v>791</v>
      </c>
      <c r="I18" s="28">
        <v>791</v>
      </c>
      <c r="J18" s="1">
        <v>684</v>
      </c>
      <c r="K18" s="1">
        <v>107</v>
      </c>
      <c r="L18" s="35">
        <v>107</v>
      </c>
      <c r="M18" s="1">
        <f t="shared" si="4"/>
        <v>7884</v>
      </c>
      <c r="N18" s="1">
        <f>(-5*(표1[[#This Row],[년도]]-1950)^2/100000)+(16*(표1[[#This Row],[년도]]-1950)/10000)+0.8551</f>
        <v>0.8679</v>
      </c>
      <c r="O18" s="19">
        <f>(표1[[#This Row],[의대졸비율/남]]+표1[[#This Row],[의전졸비율/남]]+표1[[#This Row],[불합비율/남]])-표1[[#This Row],[의사고시성비추세]]</f>
        <v>-7.2454634994206235E-2</v>
      </c>
      <c r="P18" s="5">
        <f>(표1[[#This Row],[의사고시 응시자수]])/(표1[[#This Row],[의사고시 응시자수]]+L17)*N17*표1[[#This Row],[의사고시 합격자수]]</f>
        <v>544.08462966396291</v>
      </c>
      <c r="Q18" s="5">
        <f>(표1[[#This Row],[의사고시 응시자수]])/(표1[[#This Row],[의사고시 응시자수]]+L17)*(1-N17)*표1[[#This Row],[의사고시 합격자수]]</f>
        <v>82.849321668597909</v>
      </c>
      <c r="R18" s="5">
        <v>0</v>
      </c>
      <c r="S18" s="5">
        <v>0</v>
      </c>
      <c r="T18" s="5">
        <f>(L17)/(표1[[#This Row],[의사고시 응시자수]]+L17)*N17*표1[[#This Row],[의사고시 합격자수]]</f>
        <v>49.524770336037079</v>
      </c>
      <c r="U18" s="5">
        <f>(K17)/(표1[[#This Row],[의사고시 응시자수]]+L17)*(1-N17)*표1[[#This Row],[의사고시 합격자수]]</f>
        <v>7.5412783314020855</v>
      </c>
      <c r="V18" s="40">
        <f>표1[[#This Row],[의대졸비율/남]]+표1[[#This Row],[의전졸비율/남]]+표1[[#This Row],[불합비율/남]]</f>
        <v>0.79544536500579377</v>
      </c>
      <c r="W18" s="6">
        <f t="shared" si="2"/>
        <v>0.79544536500579377</v>
      </c>
      <c r="X18" s="6">
        <f t="shared" si="3"/>
        <v>0.1211247392815759</v>
      </c>
      <c r="Y18" s="6">
        <v>0</v>
      </c>
      <c r="Z18" s="6">
        <v>0</v>
      </c>
      <c r="AA18" s="6">
        <v>0</v>
      </c>
      <c r="AB18" s="6">
        <v>0</v>
      </c>
      <c r="AC18" s="5">
        <f>표1[[#This Row],[의사수비율]]*0.5553*표1[[#This Row],[의사고시 합격자수]]</f>
        <v>319.31114176300576</v>
      </c>
      <c r="AD18" s="5">
        <v>373.05643392299692</v>
      </c>
      <c r="AE18" s="16">
        <f>표1[[#This Row],[군입대]]/표1[[#This Row],[의대졸합격/남]]</f>
        <v>0.58687771047717052</v>
      </c>
      <c r="AF18" s="39">
        <v>0</v>
      </c>
      <c r="AG18" s="39">
        <v>0</v>
      </c>
      <c r="AH18" s="39">
        <v>0</v>
      </c>
      <c r="AI18" s="39">
        <v>0</v>
      </c>
      <c r="AJ18" s="39">
        <f t="shared" si="1"/>
        <v>0</v>
      </c>
      <c r="AK18" s="39">
        <f t="shared" si="0"/>
        <v>0</v>
      </c>
    </row>
    <row r="19" spans="1:37" x14ac:dyDescent="0.25">
      <c r="A19" s="1">
        <v>1967</v>
      </c>
      <c r="B19" s="2">
        <v>30236691</v>
      </c>
      <c r="C19" s="7">
        <v>11824</v>
      </c>
      <c r="D19" s="7">
        <v>9951</v>
      </c>
      <c r="E19" s="7">
        <v>1873</v>
      </c>
      <c r="F19" s="14">
        <f>표1[[#This Row],[의사수/남]]/표1[[#This Row],[의사수/계]]</f>
        <v>0.84159336941813256</v>
      </c>
      <c r="G19" s="4">
        <v>0</v>
      </c>
      <c r="H19" s="29">
        <f>788</f>
        <v>788</v>
      </c>
      <c r="I19" s="29">
        <v>221</v>
      </c>
      <c r="J19" s="1">
        <v>723</v>
      </c>
      <c r="K19" s="1">
        <v>286</v>
      </c>
      <c r="L19" s="35">
        <v>202</v>
      </c>
      <c r="M19" s="1">
        <f t="shared" si="4"/>
        <v>8607</v>
      </c>
      <c r="N19" s="1">
        <f>(-5*(표1[[#This Row],[년도]]-1950)^2/100000)+(16*(표1[[#This Row],[년도]]-1950)/10000)+0.8551</f>
        <v>0.86785000000000001</v>
      </c>
      <c r="O19" s="19">
        <f>(표1[[#This Row],[의대졸비율/남]]+표1[[#This Row],[의전졸비율/남]]+표1[[#This Row],[불합비율/남]])-표1[[#This Row],[의사고시성비추세]]</f>
        <v>-0.10371011173184363</v>
      </c>
      <c r="P19" s="5">
        <f>(표1[[#This Row],[의사고시 응시자수]])/(표1[[#This Row],[의사고시 응시자수]]+L18)*N18*표1[[#This Row],[의사고시 합격자수]]</f>
        <v>552.47313921787702</v>
      </c>
      <c r="Q19" s="5">
        <f>(표1[[#This Row],[의사고시 응시자수]])/(표1[[#This Row],[의사고시 응시자수]]+L18)*(1-N18)*표1[[#This Row],[의사고시 합격자수]]</f>
        <v>84.089989273743015</v>
      </c>
      <c r="R19" s="5">
        <v>0</v>
      </c>
      <c r="S19" s="5">
        <v>0</v>
      </c>
      <c r="T19" s="5">
        <f>(L18)/(표1[[#This Row],[의사고시 응시자수]]+L18)*N18*표1[[#This Row],[의사고시 합격자수]]</f>
        <v>75.018560782122904</v>
      </c>
      <c r="U19" s="5">
        <f>(K18)/(표1[[#This Row],[의사고시 응시자수]]+L18)*(1-N18)*표1[[#This Row],[의사고시 합격자수]]</f>
        <v>11.418310726256983</v>
      </c>
      <c r="V19" s="40">
        <f>표1[[#This Row],[의대졸비율/남]]+표1[[#This Row],[의전졸비율/남]]+표1[[#This Row],[불합비율/남]]</f>
        <v>0.76413988826815638</v>
      </c>
      <c r="W19" s="6">
        <f t="shared" si="2"/>
        <v>0.76413988826815638</v>
      </c>
      <c r="X19" s="6">
        <f t="shared" si="3"/>
        <v>0.11630703910614525</v>
      </c>
      <c r="Y19" s="6">
        <v>0</v>
      </c>
      <c r="Z19" s="6">
        <v>0</v>
      </c>
      <c r="AA19" s="6">
        <v>0</v>
      </c>
      <c r="AB19" s="6">
        <v>0</v>
      </c>
      <c r="AC19" s="5">
        <f>표1[[#This Row],[의사수비율]]*0.5553*표1[[#This Row],[의사고시 합격자수]]</f>
        <v>337.88450498139377</v>
      </c>
      <c r="AD19" s="5">
        <v>395.70672272305313</v>
      </c>
      <c r="AE19" s="16">
        <f>표1[[#This Row],[군입대]]/표1[[#This Row],[의대졸합격/남]]</f>
        <v>0.61158539844983006</v>
      </c>
      <c r="AF19" s="39">
        <v>0</v>
      </c>
      <c r="AG19" s="39">
        <v>0</v>
      </c>
      <c r="AH19" s="39">
        <v>0</v>
      </c>
      <c r="AI19" s="39">
        <v>0</v>
      </c>
      <c r="AJ19" s="39">
        <f t="shared" si="1"/>
        <v>0</v>
      </c>
      <c r="AK19" s="39">
        <f t="shared" si="0"/>
        <v>0</v>
      </c>
    </row>
    <row r="20" spans="1:37" x14ac:dyDescent="0.25">
      <c r="A20" s="1">
        <v>1968</v>
      </c>
      <c r="B20" s="2">
        <v>30891968.000000004</v>
      </c>
      <c r="C20" s="7">
        <v>12727</v>
      </c>
      <c r="D20" s="7">
        <v>10769</v>
      </c>
      <c r="E20" s="7">
        <v>1958</v>
      </c>
      <c r="F20" s="14">
        <f>표1[[#This Row],[의사수/남]]/표1[[#This Row],[의사수/계]]</f>
        <v>0.84615384615384615</v>
      </c>
      <c r="G20" s="4">
        <v>0</v>
      </c>
      <c r="H20" s="28">
        <v>815</v>
      </c>
      <c r="I20" s="28">
        <v>815</v>
      </c>
      <c r="J20" s="1">
        <v>660</v>
      </c>
      <c r="K20" s="1">
        <v>155</v>
      </c>
      <c r="L20" s="35">
        <v>155</v>
      </c>
      <c r="M20" s="1">
        <f t="shared" si="4"/>
        <v>9267</v>
      </c>
      <c r="N20" s="1">
        <f>(-5*(표1[[#This Row],[년도]]-1950)^2/100000)+(16*(표1[[#This Row],[년도]]-1950)/10000)+0.8551</f>
        <v>0.86769999999999992</v>
      </c>
      <c r="O20" s="19">
        <f>(표1[[#This Row],[의대졸비율/남]]+표1[[#This Row],[의전졸비율/남]]+표1[[#This Row],[불합비율/남]])-표1[[#This Row],[의사고시성비추세]]</f>
        <v>-0.17222531956735487</v>
      </c>
      <c r="P20" s="5">
        <f>(표1[[#This Row],[의사고시 응시자수]])/(표1[[#This Row],[의사고시 응시자수]]+L19)*N19*표1[[#This Row],[의사고시 합격자수]]</f>
        <v>459.01328908554575</v>
      </c>
      <c r="Q20" s="5">
        <f>(표1[[#This Row],[의사고시 응시자수]])/(표1[[#This Row],[의사고시 응시자수]]+L19)*(1-N19)*표1[[#This Row],[의사고시 합격자수]]</f>
        <v>69.895265486725663</v>
      </c>
      <c r="R20" s="5">
        <v>0</v>
      </c>
      <c r="S20" s="5">
        <v>0</v>
      </c>
      <c r="T20" s="5">
        <f>(L19)/(표1[[#This Row],[의사고시 응시자수]]+L19)*N19*표1[[#This Row],[의사고시 합격자수]]</f>
        <v>113.76771091445428</v>
      </c>
      <c r="U20" s="5">
        <f>(K19)/(표1[[#This Row],[의사고시 응시자수]]+L19)*(1-N19)*표1[[#This Row],[의사고시 합격자수]]</f>
        <v>24.527663716814157</v>
      </c>
      <c r="V20" s="40">
        <f>표1[[#This Row],[의대졸비율/남]]+표1[[#This Row],[의전졸비율/남]]+표1[[#This Row],[불합비율/남]]</f>
        <v>0.69547468043264504</v>
      </c>
      <c r="W20" s="6">
        <f t="shared" si="2"/>
        <v>0.69547468043264504</v>
      </c>
      <c r="X20" s="6">
        <f t="shared" si="3"/>
        <v>0.1059019174041298</v>
      </c>
      <c r="Y20" s="6">
        <v>0</v>
      </c>
      <c r="Z20" s="6">
        <v>0</v>
      </c>
      <c r="AA20" s="6">
        <v>0</v>
      </c>
      <c r="AB20" s="6">
        <v>0</v>
      </c>
      <c r="AC20" s="5">
        <f>표1[[#This Row],[의사수비율]]*0.5553*표1[[#This Row],[의사고시 합격자수]]</f>
        <v>310.1136923076923</v>
      </c>
      <c r="AD20" s="5">
        <v>364.72341743119267</v>
      </c>
      <c r="AE20" s="16">
        <f>표1[[#This Row],[군입대]]/표1[[#This Row],[의대졸합격/남]]</f>
        <v>0.67560939885968485</v>
      </c>
      <c r="AF20" s="39">
        <v>0</v>
      </c>
      <c r="AG20" s="39">
        <v>0</v>
      </c>
      <c r="AH20" s="39">
        <v>0</v>
      </c>
      <c r="AI20" s="39">
        <v>0</v>
      </c>
      <c r="AJ20" s="39">
        <f t="shared" si="1"/>
        <v>0</v>
      </c>
      <c r="AK20" s="39">
        <f t="shared" si="0"/>
        <v>0</v>
      </c>
    </row>
    <row r="21" spans="1:37" x14ac:dyDescent="0.25">
      <c r="A21" s="1">
        <v>1969</v>
      </c>
      <c r="B21" s="2">
        <v>31543830.999999993</v>
      </c>
      <c r="C21" s="7">
        <v>13465</v>
      </c>
      <c r="D21" s="7">
        <v>11415</v>
      </c>
      <c r="E21" s="7">
        <v>2050</v>
      </c>
      <c r="F21" s="14">
        <f>표1[[#This Row],[의사수/남]]/표1[[#This Row],[의사수/계]]</f>
        <v>0.84775343483104348</v>
      </c>
      <c r="G21" s="4">
        <v>0</v>
      </c>
      <c r="H21" s="29">
        <f>803</f>
        <v>803</v>
      </c>
      <c r="I21" s="29">
        <v>224</v>
      </c>
      <c r="J21" s="1">
        <v>619</v>
      </c>
      <c r="K21" s="1">
        <v>408</v>
      </c>
      <c r="L21" s="35">
        <v>156</v>
      </c>
      <c r="M21" s="1">
        <f t="shared" si="4"/>
        <v>9886</v>
      </c>
      <c r="N21" s="1">
        <f>(-5*(표1[[#This Row],[년도]]-1950)^2/100000)+(16*(표1[[#This Row],[년도]]-1950)/10000)+0.8551</f>
        <v>0.86744999999999994</v>
      </c>
      <c r="O21" s="19">
        <f>(표1[[#This Row],[의대졸비율/남]]+표1[[#This Row],[의전졸비율/남]]+표1[[#This Row],[불합비율/남]])-표1[[#This Row],[의사고시성비추세]]</f>
        <v>-0.14013987473903966</v>
      </c>
      <c r="P21" s="5">
        <f>(표1[[#This Row],[의사고시 응시자수]])/(표1[[#This Row],[의사고시 응시자수]]+L20)*N20*표1[[#This Row],[의사고시 합격자수]]</f>
        <v>450.20496753653441</v>
      </c>
      <c r="Q21" s="5">
        <f>(표1[[#This Row],[의사고시 응시자수]])/(표1[[#This Row],[의사고시 응시자수]]+L20)*(1-N20)*표1[[#This Row],[의사고시 합격자수]]</f>
        <v>68.643675469728649</v>
      </c>
      <c r="R21" s="5">
        <v>0</v>
      </c>
      <c r="S21" s="5">
        <v>0</v>
      </c>
      <c r="T21" s="5">
        <f>(L20)/(표1[[#This Row],[의사고시 응시자수]]+L20)*N20*표1[[#This Row],[의사고시 합격자수]]</f>
        <v>86.90133246346555</v>
      </c>
      <c r="U21" s="5">
        <f>(K20)/(표1[[#This Row],[의사고시 응시자수]]+L20)*(1-N20)*표1[[#This Row],[의사고시 합격자수]]</f>
        <v>13.250024530271409</v>
      </c>
      <c r="V21" s="40">
        <f>표1[[#This Row],[의대졸비율/남]]+표1[[#This Row],[의전졸비율/남]]+표1[[#This Row],[불합비율/남]]</f>
        <v>0.72731012526096028</v>
      </c>
      <c r="W21" s="6">
        <f t="shared" si="2"/>
        <v>0.72731012526096028</v>
      </c>
      <c r="X21" s="6">
        <f t="shared" si="3"/>
        <v>0.11089446764091866</v>
      </c>
      <c r="Y21" s="6">
        <v>0</v>
      </c>
      <c r="Z21" s="6">
        <v>0</v>
      </c>
      <c r="AA21" s="6">
        <v>0</v>
      </c>
      <c r="AB21" s="6">
        <v>0</v>
      </c>
      <c r="AC21" s="5">
        <f>표1[[#This Row],[의사수비율]]*0.5553*표1[[#This Row],[의사고시 합격자수]]</f>
        <v>291.39888158187898</v>
      </c>
      <c r="AD21" s="5">
        <v>319.31114176300576</v>
      </c>
      <c r="AE21" s="16">
        <f>표1[[#This Row],[군입대]]/표1[[#This Row],[의대졸합격/남]]</f>
        <v>0.6472582547819884</v>
      </c>
      <c r="AF21" s="39">
        <v>0</v>
      </c>
      <c r="AG21" s="39">
        <v>0</v>
      </c>
      <c r="AH21" s="39">
        <v>0</v>
      </c>
      <c r="AI21" s="39">
        <v>0</v>
      </c>
      <c r="AJ21" s="39">
        <f t="shared" si="1"/>
        <v>0</v>
      </c>
      <c r="AK21" s="39">
        <f t="shared" si="0"/>
        <v>0</v>
      </c>
    </row>
    <row r="22" spans="1:37" x14ac:dyDescent="0.25">
      <c r="A22" s="1">
        <v>1970</v>
      </c>
      <c r="B22" s="9">
        <v>32240827</v>
      </c>
      <c r="C22" s="7">
        <v>14404</v>
      </c>
      <c r="D22" s="7">
        <v>12638</v>
      </c>
      <c r="E22" s="7">
        <v>1766</v>
      </c>
      <c r="F22" s="14">
        <f>표1[[#This Row],[의사수/남]]/표1[[#This Row],[의사수/계]]</f>
        <v>0.87739516800888639</v>
      </c>
      <c r="G22" s="4">
        <v>0</v>
      </c>
      <c r="H22" s="28">
        <v>814</v>
      </c>
      <c r="I22" s="28">
        <v>814</v>
      </c>
      <c r="J22" s="1">
        <v>631</v>
      </c>
      <c r="K22" s="1">
        <v>183</v>
      </c>
      <c r="L22" s="35">
        <v>183</v>
      </c>
      <c r="M22" s="1">
        <f t="shared" si="4"/>
        <v>10517</v>
      </c>
      <c r="N22" s="1">
        <f>(-5*(표1[[#This Row],[년도]]-1950)^2/100000)+(16*(표1[[#This Row],[년도]]-1950)/10000)+0.8551</f>
        <v>0.86709999999999998</v>
      </c>
      <c r="O22" s="19">
        <f>(표1[[#This Row],[의대졸비율/남]]+표1[[#This Row],[의전졸비율/남]]+표1[[#This Row],[불합비율/남]])-표1[[#This Row],[의사고시성비추세]]</f>
        <v>-0.13915742268041242</v>
      </c>
      <c r="P22" s="5">
        <f>(표1[[#This Row],[의사고시 응시자수]])/(표1[[#This Row],[의사고시 응시자수]]+L21)*N21*표1[[#This Row],[의사고시 합격자수]]</f>
        <v>459.33176628865976</v>
      </c>
      <c r="Q22" s="5">
        <f>(표1[[#This Row],[의사고시 응시자수]])/(표1[[#This Row],[의사고시 응시자수]]+L21)*(1-N21)*표1[[#This Row],[의사고시 합격자수]]</f>
        <v>70.187821340206213</v>
      </c>
      <c r="R22" s="5">
        <v>0</v>
      </c>
      <c r="S22" s="5">
        <v>0</v>
      </c>
      <c r="T22" s="5">
        <f>(L21)/(표1[[#This Row],[의사고시 응시자수]]+L21)*N21*표1[[#This Row],[의사고시 합격자수]]</f>
        <v>88.02918371134021</v>
      </c>
      <c r="U22" s="5">
        <f>(K21)/(표1[[#This Row],[의사고시 응시자수]]+L21)*(1-N21)*표1[[#This Row],[의사고시 합격자수]]</f>
        <v>35.180136494845378</v>
      </c>
      <c r="V22" s="40">
        <f>표1[[#This Row],[의대졸비율/남]]+표1[[#This Row],[의전졸비율/남]]+표1[[#This Row],[불합비율/남]]</f>
        <v>0.72794257731958756</v>
      </c>
      <c r="W22" s="6">
        <f t="shared" si="2"/>
        <v>0.72794257731958756</v>
      </c>
      <c r="X22" s="6">
        <f t="shared" si="3"/>
        <v>0.11123268041237118</v>
      </c>
      <c r="Y22" s="6">
        <v>0</v>
      </c>
      <c r="Z22" s="6">
        <v>0</v>
      </c>
      <c r="AA22" s="6">
        <v>0</v>
      </c>
      <c r="AB22" s="6">
        <v>0</v>
      </c>
      <c r="AC22" s="5">
        <f>표1[[#This Row],[의사수비율]]*0.5553*표1[[#This Row],[의사고시 합격자수]]</f>
        <v>307.43426571785614</v>
      </c>
      <c r="AD22" s="5">
        <v>337.88450498139377</v>
      </c>
      <c r="AE22" s="16">
        <f>표1[[#This Row],[군입대]]/표1[[#This Row],[의대졸합격/남]]</f>
        <v>0.66930765142129089</v>
      </c>
      <c r="AF22" s="39">
        <v>0</v>
      </c>
      <c r="AG22" s="39">
        <v>0</v>
      </c>
      <c r="AH22" s="39">
        <v>0</v>
      </c>
      <c r="AI22" s="39">
        <v>0</v>
      </c>
      <c r="AJ22" s="39">
        <f t="shared" si="1"/>
        <v>0</v>
      </c>
      <c r="AK22" s="39">
        <f t="shared" si="0"/>
        <v>0</v>
      </c>
    </row>
    <row r="23" spans="1:37" x14ac:dyDescent="0.25">
      <c r="A23" s="1">
        <v>1971</v>
      </c>
      <c r="B23" s="9">
        <v>32882704</v>
      </c>
      <c r="C23" s="7">
        <v>15589</v>
      </c>
      <c r="D23" s="7">
        <v>13707</v>
      </c>
      <c r="E23" s="7">
        <v>1882</v>
      </c>
      <c r="F23" s="14">
        <f>표1[[#This Row],[의사수/남]]/표1[[#This Row],[의사수/계]]</f>
        <v>0.87927384694335753</v>
      </c>
      <c r="G23" s="4">
        <v>0</v>
      </c>
      <c r="H23" s="29">
        <v>759</v>
      </c>
      <c r="I23" s="29">
        <v>759</v>
      </c>
      <c r="J23" s="1">
        <v>658</v>
      </c>
      <c r="K23" s="1">
        <v>101</v>
      </c>
      <c r="L23" s="35">
        <v>101</v>
      </c>
      <c r="M23" s="1">
        <f t="shared" si="4"/>
        <v>11175</v>
      </c>
      <c r="N23" s="1">
        <f>(-5*(표1[[#This Row],[년도]]-1950)^2/100000)+(16*(표1[[#This Row],[년도]]-1950)/10000)+0.8551</f>
        <v>0.86664999999999992</v>
      </c>
      <c r="O23" s="19">
        <f>(표1[[#This Row],[의대졸비율/남]]+표1[[#This Row],[의전졸비율/남]]+표1[[#This Row],[불합비율/남]])-표1[[#This Row],[의사고시성비추세]]</f>
        <v>-0.16799936305732477</v>
      </c>
      <c r="P23" s="5">
        <f>(표1[[#This Row],[의사고시 응시자수]])/(표1[[#This Row],[의사고시 응시자수]]+L22)*N22*표1[[#This Row],[의사고시 합격자수]]</f>
        <v>459.71211910828026</v>
      </c>
      <c r="Q23" s="5">
        <f>(표1[[#This Row],[의사고시 응시자수]])/(표1[[#This Row],[의사고시 응시자수]]+L22)*(1-N22)*표1[[#This Row],[의사고시 합격자수]]</f>
        <v>70.45985541401275</v>
      </c>
      <c r="R23" s="5">
        <v>0</v>
      </c>
      <c r="S23" s="5">
        <v>0</v>
      </c>
      <c r="T23" s="5">
        <f>(L22)/(표1[[#This Row],[의사고시 응시자수]]+L22)*N22*표1[[#This Row],[의사고시 합격자수]]</f>
        <v>110.83968089171975</v>
      </c>
      <c r="U23" s="5">
        <f>(K22)/(표1[[#This Row],[의사고시 응시자수]]+L22)*(1-N22)*표1[[#This Row],[의사고시 합격자수]]</f>
        <v>16.988344585987264</v>
      </c>
      <c r="V23" s="40">
        <f>표1[[#This Row],[의대졸비율/남]]+표1[[#This Row],[의전졸비율/남]]+표1[[#This Row],[불합비율/남]]</f>
        <v>0.69865063694267515</v>
      </c>
      <c r="W23" s="6">
        <f t="shared" si="2"/>
        <v>0.69865063694267515</v>
      </c>
      <c r="X23" s="6">
        <f t="shared" si="3"/>
        <v>0.10708184713375798</v>
      </c>
      <c r="Y23" s="6">
        <v>0</v>
      </c>
      <c r="Z23" s="6">
        <v>0</v>
      </c>
      <c r="AA23" s="6">
        <v>0</v>
      </c>
      <c r="AB23" s="6">
        <v>0</v>
      </c>
      <c r="AC23" s="5">
        <f>표1[[#This Row],[의사수비율]]*0.5553*표1[[#This Row],[의사고시 합격자수]]</f>
        <v>321.27558482263134</v>
      </c>
      <c r="AD23" s="5">
        <v>310.1136923076923</v>
      </c>
      <c r="AE23" s="16">
        <f>표1[[#This Row],[군입대]]/표1[[#This Row],[의대졸합격/남]]</f>
        <v>0.69886255216812831</v>
      </c>
      <c r="AF23" s="39">
        <v>0</v>
      </c>
      <c r="AG23" s="39">
        <v>0</v>
      </c>
      <c r="AH23" s="39">
        <v>0</v>
      </c>
      <c r="AI23" s="39">
        <v>0</v>
      </c>
      <c r="AJ23" s="39">
        <f t="shared" si="1"/>
        <v>0</v>
      </c>
      <c r="AK23" s="39">
        <f t="shared" si="0"/>
        <v>0</v>
      </c>
    </row>
    <row r="24" spans="1:37" x14ac:dyDescent="0.25">
      <c r="A24" s="1">
        <v>1972</v>
      </c>
      <c r="B24" s="9">
        <v>33505406</v>
      </c>
      <c r="C24" s="7">
        <v>16363</v>
      </c>
      <c r="D24" s="7">
        <v>14382</v>
      </c>
      <c r="E24" s="7">
        <v>1981</v>
      </c>
      <c r="F24" s="14">
        <f>표1[[#This Row],[의사수/남]]/표1[[#This Row],[의사수/계]]</f>
        <v>0.87893418077369678</v>
      </c>
      <c r="G24" s="4">
        <v>0</v>
      </c>
      <c r="H24" s="28">
        <v>744</v>
      </c>
      <c r="I24" s="28">
        <v>744</v>
      </c>
      <c r="J24" s="1">
        <v>658</v>
      </c>
      <c r="K24" s="1">
        <v>86</v>
      </c>
      <c r="L24" s="35">
        <v>86</v>
      </c>
      <c r="M24" s="1">
        <f t="shared" si="4"/>
        <v>11833</v>
      </c>
      <c r="N24" s="1">
        <f>(-5*(표1[[#This Row],[년도]]-1950)^2/100000)+(16*(표1[[#This Row],[년도]]-1950)/10000)+0.8551</f>
        <v>0.86609999999999998</v>
      </c>
      <c r="O24" s="19">
        <f>(표1[[#This Row],[의대졸비율/남]]+표1[[#This Row],[의전졸비율/남]]+표1[[#This Row],[불합비율/남]])-표1[[#This Row],[의사고시성비추세]]</f>
        <v>-0.10303775147928995</v>
      </c>
      <c r="P24" s="5">
        <f>(표1[[#This Row],[의사고시 응시자수]])/(표1[[#This Row],[의사고시 응시자수]]+L23)*N23*표1[[#This Row],[의사고시 합격자수]]</f>
        <v>502.09495952662718</v>
      </c>
      <c r="Q24" s="5">
        <f>(표1[[#This Row],[의사고시 응시자수]])/(표1[[#This Row],[의사고시 응시자수]]+L23)*(1-N23)*표1[[#This Row],[의사고시 합격자수]]</f>
        <v>77.256519763313662</v>
      </c>
      <c r="R24" s="5">
        <v>0</v>
      </c>
      <c r="S24" s="5">
        <v>0</v>
      </c>
      <c r="T24" s="5">
        <f>(L23)/(표1[[#This Row],[의사고시 응시자수]]+L23)*N23*표1[[#This Row],[의사고시 합격자수]]</f>
        <v>68.160740473372769</v>
      </c>
      <c r="U24" s="5">
        <f>(K23)/(표1[[#This Row],[의사고시 응시자수]]+L23)*(1-N23)*표1[[#This Row],[의사고시 합격자수]]</f>
        <v>10.487780236686396</v>
      </c>
      <c r="V24" s="40">
        <f>표1[[#This Row],[의대졸비율/남]]+표1[[#This Row],[의전졸비율/남]]+표1[[#This Row],[불합비율/남]]</f>
        <v>0.76306224852071003</v>
      </c>
      <c r="W24" s="6">
        <f t="shared" si="2"/>
        <v>0.76306224852071003</v>
      </c>
      <c r="X24" s="6">
        <f t="shared" si="3"/>
        <v>0.1174111242603551</v>
      </c>
      <c r="Y24" s="6">
        <v>0</v>
      </c>
      <c r="Z24" s="6">
        <v>0</v>
      </c>
      <c r="AA24" s="6">
        <v>0</v>
      </c>
      <c r="AB24" s="6">
        <v>0</v>
      </c>
      <c r="AC24" s="5">
        <f>표1[[#This Row],[의사수비율]]*0.5553*표1[[#This Row],[의사고시 합격자수]]</f>
        <v>321.15147508403106</v>
      </c>
      <c r="AD24" s="5">
        <v>291.39888158187898</v>
      </c>
      <c r="AE24" s="16">
        <f>표1[[#This Row],[군입대]]/표1[[#This Row],[의대졸합격/남]]</f>
        <v>0.63962298165034592</v>
      </c>
      <c r="AF24" s="39">
        <v>0</v>
      </c>
      <c r="AG24" s="39">
        <v>0</v>
      </c>
      <c r="AH24" s="39">
        <v>0</v>
      </c>
      <c r="AI24" s="39">
        <v>0</v>
      </c>
      <c r="AJ24" s="39">
        <f t="shared" si="1"/>
        <v>0</v>
      </c>
      <c r="AK24" s="39">
        <f t="shared" si="0"/>
        <v>0</v>
      </c>
    </row>
    <row r="25" spans="1:37" x14ac:dyDescent="0.25">
      <c r="A25" s="1">
        <v>1973</v>
      </c>
      <c r="B25" s="9">
        <v>34103149</v>
      </c>
      <c r="C25" s="7">
        <v>16377</v>
      </c>
      <c r="D25" s="7">
        <v>14378</v>
      </c>
      <c r="E25" s="7">
        <v>1999</v>
      </c>
      <c r="F25" s="14">
        <f>표1[[#This Row],[의사수/남]]/표1[[#This Row],[의사수/계]]</f>
        <v>0.87793857238810524</v>
      </c>
      <c r="G25" s="4">
        <v>0</v>
      </c>
      <c r="H25" s="29">
        <v>797</v>
      </c>
      <c r="I25" s="29">
        <v>797</v>
      </c>
      <c r="J25" s="1">
        <v>761</v>
      </c>
      <c r="K25" s="1">
        <v>36</v>
      </c>
      <c r="L25" s="35">
        <v>36</v>
      </c>
      <c r="M25" s="1">
        <f t="shared" si="4"/>
        <v>12594</v>
      </c>
      <c r="N25" s="1">
        <f>(-5*(표1[[#This Row],[년도]]-1950)^2/100000)+(16*(표1[[#This Row],[년도]]-1950)/10000)+0.8551</f>
        <v>0.86544999999999994</v>
      </c>
      <c r="O25" s="19">
        <f>(표1[[#This Row],[의대졸비율/남]]+표1[[#This Row],[의전졸비율/남]]+표1[[#This Row],[불합비율/남]])-표1[[#This Row],[의사고시성비추세]]</f>
        <v>-8.3704020385050759E-2</v>
      </c>
      <c r="P25" s="5">
        <f>(표1[[#This Row],[의사고시 응시자수]])/(표1[[#This Row],[의사고시 응시자수]]+L24)*N24*표1[[#This Row],[의사고시 합격자수]]</f>
        <v>594.9086904869763</v>
      </c>
      <c r="Q25" s="5">
        <f>(표1[[#This Row],[의사고시 응시자수]])/(표1[[#This Row],[의사고시 응시자수]]+L24)*(1-N24)*표1[[#This Row],[의사고시 합격자수]]</f>
        <v>91.973529218573063</v>
      </c>
      <c r="R25" s="5">
        <v>0</v>
      </c>
      <c r="S25" s="5">
        <v>0</v>
      </c>
      <c r="T25" s="5">
        <f>(L24)/(표1[[#This Row],[의사고시 응시자수]]+L24)*N24*표1[[#This Row],[의사고시 합격자수]]</f>
        <v>64.193409513023781</v>
      </c>
      <c r="U25" s="5">
        <f>(K24)/(표1[[#This Row],[의사고시 응시자수]]+L24)*(1-N24)*표1[[#This Row],[의사고시 합격자수]]</f>
        <v>9.9243707814269548</v>
      </c>
      <c r="V25" s="40">
        <f>표1[[#This Row],[의대졸비율/남]]+표1[[#This Row],[의전졸비율/남]]+표1[[#This Row],[불합비율/남]]</f>
        <v>0.78174597961494918</v>
      </c>
      <c r="W25" s="6">
        <f t="shared" si="2"/>
        <v>0.78174597961494918</v>
      </c>
      <c r="X25" s="6">
        <f t="shared" si="3"/>
        <v>0.12085877689694226</v>
      </c>
      <c r="Y25" s="6">
        <v>0</v>
      </c>
      <c r="Z25" s="6">
        <v>0</v>
      </c>
      <c r="AA25" s="6">
        <v>0</v>
      </c>
      <c r="AB25" s="6">
        <v>0</v>
      </c>
      <c r="AC25" s="5">
        <f>표1[[#This Row],[의사수비율]]*0.5553*표1[[#This Row],[의사고시 합격자수]]</f>
        <v>371.00217911705442</v>
      </c>
      <c r="AD25" s="5">
        <v>307.43426571785614</v>
      </c>
      <c r="AE25" s="16">
        <f>표1[[#This Row],[군입대]]/표1[[#This Row],[의대졸합격/남]]</f>
        <v>0.62362877707058206</v>
      </c>
      <c r="AF25" s="39">
        <v>0</v>
      </c>
      <c r="AG25" s="39">
        <v>0</v>
      </c>
      <c r="AH25" s="39">
        <v>0</v>
      </c>
      <c r="AI25" s="39">
        <v>0</v>
      </c>
      <c r="AJ25" s="39">
        <f t="shared" si="1"/>
        <v>0</v>
      </c>
      <c r="AK25" s="39">
        <f t="shared" si="0"/>
        <v>0</v>
      </c>
    </row>
    <row r="26" spans="1:37" x14ac:dyDescent="0.25">
      <c r="A26" s="1">
        <v>1974</v>
      </c>
      <c r="B26" s="9">
        <v>34692266</v>
      </c>
      <c r="C26" s="7">
        <v>15188</v>
      </c>
      <c r="D26" s="7">
        <v>13172</v>
      </c>
      <c r="E26" s="7">
        <v>2016</v>
      </c>
      <c r="F26" s="14">
        <f>표1[[#This Row],[의사수/남]]/표1[[#This Row],[의사수/계]]</f>
        <v>0.86726362918093236</v>
      </c>
      <c r="G26" s="4">
        <v>0</v>
      </c>
      <c r="H26" s="28">
        <v>878</v>
      </c>
      <c r="I26" s="28">
        <v>878</v>
      </c>
      <c r="J26" s="1">
        <v>760</v>
      </c>
      <c r="K26" s="1">
        <v>118</v>
      </c>
      <c r="L26" s="35">
        <v>118</v>
      </c>
      <c r="M26" s="1">
        <f t="shared" si="4"/>
        <v>13354</v>
      </c>
      <c r="N26" s="1">
        <f>(-5*(표1[[#This Row],[년도]]-1950)^2/100000)+(16*(표1[[#This Row],[년도]]-1950)/10000)+0.8551</f>
        <v>0.86470000000000002</v>
      </c>
      <c r="O26" s="19">
        <f>(표1[[#This Row],[의대졸비율/남]]+표1[[#This Row],[의전졸비율/남]]+표1[[#This Row],[불합비율/남]])-표1[[#This Row],[의사고시성비추세]]</f>
        <v>-3.3337746170678417E-2</v>
      </c>
      <c r="P26" s="5">
        <f>(표1[[#This Row],[의사고시 응시자수]])/(표1[[#This Row],[의사고시 응시자수]]+L25)*N25*표1[[#This Row],[의사고시 합격자수]]</f>
        <v>631.83531291028442</v>
      </c>
      <c r="Q26" s="5">
        <f>(표1[[#This Row],[의사고시 응시자수]])/(표1[[#This Row],[의사고시 응시자수]]+L25)*(1-N25)*표1[[#This Row],[의사고시 합격자수]]</f>
        <v>98.230332603938777</v>
      </c>
      <c r="R26" s="5">
        <v>0</v>
      </c>
      <c r="S26" s="5">
        <v>0</v>
      </c>
      <c r="T26" s="5">
        <f>(L25)/(표1[[#This Row],[의사고시 응시자수]]+L25)*N25*표1[[#This Row],[의사고시 합격자수]]</f>
        <v>25.906687089715533</v>
      </c>
      <c r="U26" s="5">
        <f>(K25)/(표1[[#This Row],[의사고시 응시자수]]+L25)*(1-N25)*표1[[#This Row],[의사고시 합격자수]]</f>
        <v>4.027667396061271</v>
      </c>
      <c r="V26" s="40">
        <f>표1[[#This Row],[의대졸비율/남]]+표1[[#This Row],[의전졸비율/남]]+표1[[#This Row],[불합비율/남]]</f>
        <v>0.83136225382932161</v>
      </c>
      <c r="W26" s="6">
        <f t="shared" si="2"/>
        <v>0.83136225382932161</v>
      </c>
      <c r="X26" s="6">
        <f t="shared" si="3"/>
        <v>0.12925043763676156</v>
      </c>
      <c r="Y26" s="6">
        <v>0</v>
      </c>
      <c r="Z26" s="6">
        <v>0</v>
      </c>
      <c r="AA26" s="6">
        <v>0</v>
      </c>
      <c r="AB26" s="6">
        <v>0</v>
      </c>
      <c r="AC26" s="5">
        <f>표1[[#This Row],[의사수비율]]*0.5553*표1[[#This Row],[의사고시 합격자수]]</f>
        <v>366.00953489597055</v>
      </c>
      <c r="AD26" s="5">
        <v>321.27558482263134</v>
      </c>
      <c r="AE26" s="16">
        <f>표1[[#This Row],[군입대]]/표1[[#This Row],[의대졸합격/남]]</f>
        <v>0.57927996016889449</v>
      </c>
      <c r="AF26" s="39">
        <v>0</v>
      </c>
      <c r="AG26" s="39">
        <v>0</v>
      </c>
      <c r="AH26" s="39">
        <v>0</v>
      </c>
      <c r="AI26" s="39">
        <v>0</v>
      </c>
      <c r="AJ26" s="39">
        <f t="shared" si="1"/>
        <v>0</v>
      </c>
      <c r="AK26" s="39">
        <f t="shared" si="0"/>
        <v>0</v>
      </c>
    </row>
    <row r="27" spans="1:37" x14ac:dyDescent="0.25">
      <c r="A27" s="1">
        <v>1975</v>
      </c>
      <c r="B27" s="9">
        <v>35280725</v>
      </c>
      <c r="C27" s="7">
        <v>16260</v>
      </c>
      <c r="D27" s="7">
        <v>14044</v>
      </c>
      <c r="E27" s="7">
        <v>2216</v>
      </c>
      <c r="F27" s="14">
        <f>표1[[#This Row],[의사수/남]]/표1[[#This Row],[의사수/계]]</f>
        <v>0.86371463714637142</v>
      </c>
      <c r="G27" s="4">
        <v>0</v>
      </c>
      <c r="H27" s="29">
        <v>1009</v>
      </c>
      <c r="I27" s="29">
        <v>1009</v>
      </c>
      <c r="J27" s="1">
        <v>869</v>
      </c>
      <c r="K27" s="1">
        <v>140</v>
      </c>
      <c r="L27" s="35">
        <v>140</v>
      </c>
      <c r="M27" s="1">
        <f t="shared" si="4"/>
        <v>14223</v>
      </c>
      <c r="N27" s="1">
        <f>(-5*(표1[[#This Row],[년도]]-1950)^2/100000)+(16*(표1[[#This Row],[년도]]-1950)/10000)+0.8551</f>
        <v>0.86385000000000001</v>
      </c>
      <c r="O27" s="19">
        <f>(표1[[#This Row],[의대졸비율/남]]+표1[[#This Row],[의전졸비율/남]]+표1[[#This Row],[불합비율/남]])-표1[[#This Row],[의사고시성비추세]]</f>
        <v>-8.9686468500443706E-2</v>
      </c>
      <c r="P27" s="5">
        <f>(표1[[#This Row],[의사고시 응시자수]])/(표1[[#This Row],[의사고시 응시자수]]+L26)*N26*표1[[#This Row],[의사고시 합격자수]]</f>
        <v>672.74810887311446</v>
      </c>
      <c r="Q27" s="5">
        <f>(표1[[#This Row],[의사고시 응시자수]])/(표1[[#This Row],[의사고시 응시자수]]+L26)*(1-N26)*표1[[#This Row],[의사고시 합격자수]]</f>
        <v>105.26520079858028</v>
      </c>
      <c r="R27" s="5">
        <v>0</v>
      </c>
      <c r="S27" s="5">
        <v>0</v>
      </c>
      <c r="T27" s="5">
        <f>(L26)/(표1[[#This Row],[의사고시 응시자수]]+L26)*N26*표1[[#This Row],[의사고시 합격자수]]</f>
        <v>78.676191126885541</v>
      </c>
      <c r="U27" s="5">
        <f>(K26)/(표1[[#This Row],[의사고시 응시자수]]+L26)*(1-N26)*표1[[#This Row],[의사고시 합격자수]]</f>
        <v>12.310499201419697</v>
      </c>
      <c r="V27" s="40">
        <f>표1[[#This Row],[의대졸비율/남]]+표1[[#This Row],[의전졸비율/남]]+표1[[#This Row],[불합비율/남]]</f>
        <v>0.7741635314995563</v>
      </c>
      <c r="W27" s="6">
        <f t="shared" si="2"/>
        <v>0.7741635314995563</v>
      </c>
      <c r="X27" s="6">
        <f t="shared" si="3"/>
        <v>0.12113371783496005</v>
      </c>
      <c r="Y27" s="6">
        <v>0</v>
      </c>
      <c r="Z27" s="6">
        <v>0</v>
      </c>
      <c r="AA27" s="6">
        <v>0</v>
      </c>
      <c r="AB27" s="6">
        <v>0</v>
      </c>
      <c r="AC27" s="5">
        <f>표1[[#This Row],[의사수비율]]*0.5553*표1[[#This Row],[의사고시 합격자수]]</f>
        <v>416.79042132841329</v>
      </c>
      <c r="AD27" s="5">
        <v>321.15147508403106</v>
      </c>
      <c r="AE27" s="16">
        <f>표1[[#This Row],[군입대]]/표1[[#This Row],[의대졸합격/남]]</f>
        <v>0.61953414038808274</v>
      </c>
      <c r="AF27" s="39">
        <v>0</v>
      </c>
      <c r="AG27" s="39">
        <v>0</v>
      </c>
      <c r="AH27" s="39">
        <v>0</v>
      </c>
      <c r="AI27" s="39">
        <v>0</v>
      </c>
      <c r="AJ27" s="39">
        <f t="shared" si="1"/>
        <v>0</v>
      </c>
      <c r="AK27" s="39">
        <f t="shared" si="0"/>
        <v>0</v>
      </c>
    </row>
    <row r="28" spans="1:37" x14ac:dyDescent="0.25">
      <c r="A28" s="1">
        <v>1976</v>
      </c>
      <c r="B28" s="9">
        <v>35848523</v>
      </c>
      <c r="C28" s="7">
        <v>17333</v>
      </c>
      <c r="D28" s="7">
        <v>14989</v>
      </c>
      <c r="E28" s="7">
        <v>2344</v>
      </c>
      <c r="F28" s="14">
        <f>표1[[#This Row],[의사수/남]]/표1[[#This Row],[의사수/계]]</f>
        <v>0.86476663012750243</v>
      </c>
      <c r="G28" s="4">
        <v>0</v>
      </c>
      <c r="H28" s="28">
        <f>1089</f>
        <v>1089</v>
      </c>
      <c r="I28" s="28">
        <v>143</v>
      </c>
      <c r="J28" s="1">
        <v>1035</v>
      </c>
      <c r="K28" s="1">
        <v>197</v>
      </c>
      <c r="L28" s="35">
        <v>28</v>
      </c>
      <c r="M28" s="1">
        <f t="shared" si="4"/>
        <v>15258</v>
      </c>
      <c r="N28" s="1">
        <f>(-5*(표1[[#This Row],[년도]]-1950)^2/100000)+(16*(표1[[#This Row],[년도]]-1950)/10000)+0.8551</f>
        <v>0.8629</v>
      </c>
      <c r="O28" s="19">
        <f>(표1[[#This Row],[의대졸비율/남]]+표1[[#This Row],[의전졸비율/남]]+표1[[#This Row],[불합비율/남]])-표1[[#This Row],[의사고시성비추세]]</f>
        <v>-9.7454393816110652E-2</v>
      </c>
      <c r="P28" s="5">
        <f>(표1[[#This Row],[의사고시 응시자수]])/(표1[[#This Row],[의사고시 응시자수]]+L27)*N27*표1[[#This Row],[의사고시 합격자수]]</f>
        <v>792.23620240032551</v>
      </c>
      <c r="Q28" s="5">
        <f>(표1[[#This Row],[의사고시 응시자수]])/(표1[[#This Row],[의사고시 응시자수]]+L27)*(1-N27)*표1[[#This Row],[의사고시 합격자수]]</f>
        <v>124.86306529698942</v>
      </c>
      <c r="R28" s="5">
        <v>0</v>
      </c>
      <c r="S28" s="5">
        <v>0</v>
      </c>
      <c r="T28" s="5">
        <f>(L27)/(표1[[#This Row],[의사고시 응시자수]]+L27)*N27*표1[[#This Row],[의사고시 합격자수]]</f>
        <v>101.84854759967453</v>
      </c>
      <c r="U28" s="5">
        <f>(K27)/(표1[[#This Row],[의사고시 응시자수]]+L27)*(1-N27)*표1[[#This Row],[의사고시 합격자수]]</f>
        <v>16.052184703010575</v>
      </c>
      <c r="V28" s="40">
        <f>표1[[#This Row],[의대졸비율/남]]+표1[[#This Row],[의전졸비율/남]]+표1[[#This Row],[불합비율/남]]</f>
        <v>0.76544560618388935</v>
      </c>
      <c r="W28" s="6">
        <f t="shared" si="2"/>
        <v>0.76544560618388935</v>
      </c>
      <c r="X28" s="6">
        <f t="shared" si="3"/>
        <v>0.12064064279902359</v>
      </c>
      <c r="Y28" s="6">
        <v>0</v>
      </c>
      <c r="Z28" s="6">
        <v>0</v>
      </c>
      <c r="AA28" s="6">
        <v>0</v>
      </c>
      <c r="AB28" s="6">
        <v>0</v>
      </c>
      <c r="AC28" s="5">
        <f>표1[[#This Row],[의사수비율]]*0.5553*표1[[#This Row],[의사고시 합격자수]]</f>
        <v>497.01208154964519</v>
      </c>
      <c r="AD28" s="5">
        <v>371.00217911705442</v>
      </c>
      <c r="AE28" s="16">
        <f>표1[[#This Row],[군입대]]/표1[[#This Row],[의대졸합격/남]]</f>
        <v>0.62735340804143103</v>
      </c>
      <c r="AF28" s="39">
        <v>0</v>
      </c>
      <c r="AG28" s="39">
        <v>0</v>
      </c>
      <c r="AH28" s="39">
        <v>0</v>
      </c>
      <c r="AI28" s="39">
        <v>0</v>
      </c>
      <c r="AJ28" s="39">
        <f t="shared" si="1"/>
        <v>0</v>
      </c>
      <c r="AK28" s="39">
        <f t="shared" si="0"/>
        <v>0</v>
      </c>
    </row>
    <row r="29" spans="1:37" x14ac:dyDescent="0.25">
      <c r="A29" s="1">
        <v>1977</v>
      </c>
      <c r="B29" s="9">
        <v>36411795</v>
      </c>
      <c r="C29" s="7">
        <v>18405</v>
      </c>
      <c r="D29" s="7">
        <v>15904</v>
      </c>
      <c r="E29" s="7">
        <v>2501</v>
      </c>
      <c r="F29" s="14">
        <f>표1[[#This Row],[의사수/남]]/표1[[#This Row],[의사수/계]]</f>
        <v>0.86411301276826946</v>
      </c>
      <c r="G29" s="4">
        <v>0</v>
      </c>
      <c r="H29" s="29">
        <f>1220</f>
        <v>1220</v>
      </c>
      <c r="I29" s="29">
        <v>80</v>
      </c>
      <c r="J29" s="1">
        <v>1197</v>
      </c>
      <c r="K29" s="1">
        <v>103</v>
      </c>
      <c r="L29" s="35">
        <v>21</v>
      </c>
      <c r="M29" s="1">
        <f t="shared" si="4"/>
        <v>16455</v>
      </c>
      <c r="N29" s="1">
        <f>(-5*(표1[[#This Row],[년도]]-1950)^2/100000)+(16*(표1[[#This Row],[년도]]-1950)/10000)+0.8551</f>
        <v>0.86185</v>
      </c>
      <c r="O29" s="19">
        <f>(표1[[#This Row],[의대졸비율/남]]+표1[[#This Row],[의전졸비율/남]]+표1[[#This Row],[불합비율/남]])-표1[[#This Row],[의사고시성비추세]]</f>
        <v>-6.7658065705977766E-3</v>
      </c>
      <c r="P29" s="5">
        <f>(표1[[#This Row],[의대졸업/남]])/(표1[[#This Row],[졸업합계/남]]+표1[[#This Row],[졸업합계/여]]+L28)*표1[[#This Row],[의사고시 합격자수]]</f>
        <v>998.84408084696827</v>
      </c>
      <c r="Q29" s="5">
        <f>(표1[[#This Row],[의대졸업/여]])/(표1[[#This Row],[졸업합계/남]]+표1[[#This Row],[졸업합계/여]]+L28)*표1[[#This Row],[의사고시 합격자수]]</f>
        <v>165.89797882579401</v>
      </c>
      <c r="R29" s="5">
        <f>(표1[[#This Row],[의전원졸업/남]])/(표1[[#This Row],[졸업합계/남]]+표1[[#This Row],[졸업합계/여]]+L28)*표1[[#This Row],[의사고시 합격자수]]</f>
        <v>0</v>
      </c>
      <c r="S29" s="5">
        <f>(표1[[#This Row],[의전원졸업/여]])/(표1[[#This Row],[졸업합계/남]]+표1[[#This Row],[졸업합계/여]]+L28)*표1[[#This Row],[의사고시 합격자수]]</f>
        <v>0</v>
      </c>
      <c r="T29" s="5">
        <f>(L28*V28)/(표1[[#This Row],[졸업합계/남]]+표1[[#This Row],[졸업합계/여]]+L28)*표1[[#This Row],[의사고시 합격자수]]</f>
        <v>24.691698688026214</v>
      </c>
      <c r="U29" s="5">
        <f>(L28*(1-V28))/(표1[[#This Row],[졸업합계/남]]+표1[[#This Row],[졸업합계/여]]+L28)*표1[[#This Row],[의사고시 합격자수]]</f>
        <v>7.5662416392115155</v>
      </c>
      <c r="V29" s="40">
        <f>표1[[#This Row],[의대졸비율/남]]+표1[[#This Row],[의전졸비율/남]]+표1[[#This Row],[불합비율/남]]</f>
        <v>0.85508419342940223</v>
      </c>
      <c r="W29" s="6">
        <f t="shared" si="2"/>
        <v>0.83445620789220409</v>
      </c>
      <c r="X29" s="6">
        <f t="shared" si="3"/>
        <v>0.13859480269489893</v>
      </c>
      <c r="Y29" s="6">
        <f t="shared" ref="Y29:Y60" si="5">R29/J29</f>
        <v>0</v>
      </c>
      <c r="Z29" s="6">
        <f t="shared" ref="Z29:Z60" si="6">S29/J29</f>
        <v>0</v>
      </c>
      <c r="AA29" s="6">
        <f t="shared" ref="AA29:AA60" si="7">T29/J29</f>
        <v>2.0627985537198173E-2</v>
      </c>
      <c r="AB29" s="6">
        <f t="shared" ref="AB29:AB60" si="8">U29/J29</f>
        <v>6.3210038756988437E-3</v>
      </c>
      <c r="AC29" s="5">
        <f>표1[[#This Row],[의사수비율]]*0.5553*표1[[#This Row],[의사고시 합격자수]]</f>
        <v>574.37082132029343</v>
      </c>
      <c r="AD29" s="5">
        <v>366.00953489597055</v>
      </c>
      <c r="AE29" s="16">
        <f>표1[[#This Row],[군입대]]/표1[[#This Row],[의대졸합격/남]]</f>
        <v>0.57503551588678048</v>
      </c>
      <c r="AF29" s="39">
        <v>867</v>
      </c>
      <c r="AG29" s="39">
        <v>144</v>
      </c>
      <c r="AH29" s="39">
        <v>0</v>
      </c>
      <c r="AI29" s="39">
        <v>0</v>
      </c>
      <c r="AJ29" s="39">
        <f t="shared" si="1"/>
        <v>867</v>
      </c>
      <c r="AK29" s="39">
        <f t="shared" si="0"/>
        <v>144</v>
      </c>
    </row>
    <row r="30" spans="1:37" x14ac:dyDescent="0.25">
      <c r="A30" s="1">
        <v>1978</v>
      </c>
      <c r="B30" s="9">
        <v>36969185</v>
      </c>
      <c r="C30" s="7">
        <v>19577</v>
      </c>
      <c r="D30" s="7">
        <v>16899</v>
      </c>
      <c r="E30" s="7">
        <v>2678</v>
      </c>
      <c r="F30" s="14">
        <f>표1[[#This Row],[의사수/남]]/표1[[#This Row],[의사수/계]]</f>
        <v>0.86320682433467844</v>
      </c>
      <c r="G30" s="4">
        <v>0</v>
      </c>
      <c r="H30" s="28">
        <f>1230</f>
        <v>1230</v>
      </c>
      <c r="I30" s="28">
        <v>54</v>
      </c>
      <c r="J30" s="1">
        <v>1199</v>
      </c>
      <c r="K30" s="1">
        <v>85</v>
      </c>
      <c r="L30" s="35">
        <v>17</v>
      </c>
      <c r="M30" s="1">
        <f t="shared" si="4"/>
        <v>17654</v>
      </c>
      <c r="N30" s="1">
        <f>(-5*(표1[[#This Row],[년도]]-1950)^2/100000)+(16*(표1[[#This Row],[년도]]-1950)/10000)+0.8551</f>
        <v>0.86070000000000002</v>
      </c>
      <c r="O30" s="19">
        <f>(표1[[#This Row],[의대졸비율/남]]+표1[[#This Row],[의전졸비율/남]]+표1[[#This Row],[불합비율/남]])-표1[[#This Row],[의사고시성비추세]]</f>
        <v>1.4781640422801834E-3</v>
      </c>
      <c r="P30" s="5">
        <f>(표1[[#This Row],[의대졸업/남]])/(표1[[#This Row],[졸업합계/남]]+표1[[#This Row],[졸업합계/여]]+L29)*표1[[#This Row],[의사고시 합격자수]]</f>
        <v>1015.5519864750634</v>
      </c>
      <c r="Q30" s="5">
        <f>(표1[[#This Row],[의대졸업/여]])/(표1[[#This Row],[졸업합계/남]]+표1[[#This Row],[졸업합계/여]]+L29)*표1[[#This Row],[의사고시 합격자수]]</f>
        <v>162.16398985629758</v>
      </c>
      <c r="R30" s="5">
        <f>(표1[[#This Row],[의전원졸업/남]])/(표1[[#This Row],[졸업합계/남]]+표1[[#This Row],[졸업합계/여]]+L29)*표1[[#This Row],[의사고시 합격자수]]</f>
        <v>0</v>
      </c>
      <c r="S30" s="5">
        <f>(표1[[#This Row],[의전원졸업/여]])/(표1[[#This Row],[졸업합계/남]]+표1[[#This Row],[졸업합계/여]]+L29)*표1[[#This Row],[의사고시 합격자수]]</f>
        <v>0</v>
      </c>
      <c r="T30" s="5">
        <f>(L29*V29)/(표1[[#This Row],[졸업합계/남]]+표1[[#This Row],[졸업합계/여]]+L29)*표1[[#This Row],[의사고시 합격자수]]</f>
        <v>18.199632211630529</v>
      </c>
      <c r="U30" s="5">
        <f>(L29*(1-V29))/(표1[[#This Row],[졸업합계/남]]+표1[[#This Row],[졸업합계/여]]+L29)*표1[[#This Row],[의사고시 합격자수]]</f>
        <v>3.0843914570085222</v>
      </c>
      <c r="V30" s="40">
        <f>표1[[#This Row],[의대졸비율/남]]+표1[[#This Row],[의전졸비율/남]]+표1[[#This Row],[불합비율/남]]</f>
        <v>0.8621781640422802</v>
      </c>
      <c r="W30" s="6">
        <f t="shared" si="2"/>
        <v>0.84699915469146236</v>
      </c>
      <c r="X30" s="6">
        <f t="shared" si="3"/>
        <v>0.1352493660185968</v>
      </c>
      <c r="Y30" s="6">
        <f t="shared" si="5"/>
        <v>0</v>
      </c>
      <c r="Z30" s="6">
        <f t="shared" si="6"/>
        <v>0</v>
      </c>
      <c r="AA30" s="6">
        <f t="shared" si="7"/>
        <v>1.517900935081779E-2</v>
      </c>
      <c r="AB30" s="6">
        <f t="shared" si="8"/>
        <v>2.5724699391230376E-3</v>
      </c>
      <c r="AC30" s="5">
        <f>표1[[#This Row],[의사수비율]]*0.5553*표1[[#This Row],[의사고시 합격자수]]</f>
        <v>574.72716071410332</v>
      </c>
      <c r="AD30" s="5">
        <v>416.79042132841329</v>
      </c>
      <c r="AE30" s="16">
        <f>표1[[#This Row],[군입대]]/표1[[#This Row],[의대졸합격/남]]</f>
        <v>0.56592588894336782</v>
      </c>
      <c r="AF30" s="39">
        <v>1002</v>
      </c>
      <c r="AG30" s="39">
        <v>160</v>
      </c>
      <c r="AH30" s="39">
        <v>0</v>
      </c>
      <c r="AI30" s="39">
        <v>0</v>
      </c>
      <c r="AJ30" s="39">
        <f t="shared" si="1"/>
        <v>1002</v>
      </c>
      <c r="AK30" s="39">
        <f t="shared" si="0"/>
        <v>160</v>
      </c>
    </row>
    <row r="31" spans="1:37" x14ac:dyDescent="0.25">
      <c r="A31" s="1">
        <v>1979</v>
      </c>
      <c r="B31" s="9">
        <v>37534236</v>
      </c>
      <c r="C31" s="7">
        <v>20779</v>
      </c>
      <c r="D31" s="7">
        <v>17922</v>
      </c>
      <c r="E31" s="7">
        <v>2857</v>
      </c>
      <c r="F31" s="14">
        <f>표1[[#This Row],[의사수/남]]/표1[[#This Row],[의사수/계]]</f>
        <v>0.86250541412002502</v>
      </c>
      <c r="G31" s="4">
        <v>0</v>
      </c>
      <c r="H31" s="29">
        <f>1277</f>
        <v>1277</v>
      </c>
      <c r="I31" s="29">
        <v>63</v>
      </c>
      <c r="J31" s="1">
        <v>1219</v>
      </c>
      <c r="K31" s="1">
        <v>122</v>
      </c>
      <c r="L31" s="35">
        <v>6</v>
      </c>
      <c r="M31" s="1">
        <f t="shared" si="4"/>
        <v>18873</v>
      </c>
      <c r="N31" s="1">
        <f>(-5*(표1[[#This Row],[년도]]-1950)^2/100000)+(16*(표1[[#This Row],[년도]]-1950)/10000)+0.8551</f>
        <v>0.85944999999999994</v>
      </c>
      <c r="O31" s="19">
        <f>(표1[[#This Row],[의대졸비율/남]]+표1[[#This Row],[의전졸비율/남]]+표1[[#This Row],[불합비율/남]])-표1[[#This Row],[의사고시성비추세]]</f>
        <v>-1.7469599621278142E-4</v>
      </c>
      <c r="P31" s="5">
        <f>(표1[[#This Row],[의대졸업/남]])/(표1[[#This Row],[졸업합계/남]]+표1[[#This Row],[졸업합계/여]]+L30)*표1[[#This Row],[의사고시 합격자수]]</f>
        <v>1033.1171749598716</v>
      </c>
      <c r="Q31" s="5">
        <f>(표1[[#This Row],[의대졸업/여]])/(표1[[#This Row],[졸업합계/남]]+표1[[#This Row],[졸업합계/여]]+L30)*표1[[#This Row],[의사고시 합격자수]]</f>
        <v>169.25120385232745</v>
      </c>
      <c r="R31" s="5">
        <f>(표1[[#This Row],[의전원졸업/남]])/(표1[[#This Row],[졸업합계/남]]+표1[[#This Row],[졸업합계/여]]+L30)*표1[[#This Row],[의사고시 합격자수]]</f>
        <v>0</v>
      </c>
      <c r="S31" s="5">
        <f>(표1[[#This Row],[의전원졸업/여]])/(표1[[#This Row],[졸업합계/남]]+표1[[#This Row],[졸업합계/여]]+L30)*표1[[#This Row],[의사고시 합격자수]]</f>
        <v>0</v>
      </c>
      <c r="T31" s="5">
        <f>(L30*V30)/(표1[[#This Row],[졸업합계/남]]+표1[[#This Row],[졸업합계/여]]+L30)*표1[[#This Row],[의사고시 합격자수]]</f>
        <v>14.339420620744921</v>
      </c>
      <c r="U31" s="5">
        <f>(L30*(1-V30))/(표1[[#This Row],[졸업합계/남]]+표1[[#This Row],[졸업합계/여]]+L30)*표1[[#This Row],[의사고시 합격자수]]</f>
        <v>2.292200567056041</v>
      </c>
      <c r="V31" s="40">
        <f>표1[[#This Row],[의대졸비율/남]]+표1[[#This Row],[의전졸비율/남]]+표1[[#This Row],[불합비율/남]]</f>
        <v>0.85927530400378715</v>
      </c>
      <c r="W31" s="6">
        <f t="shared" si="2"/>
        <v>0.8475120385232745</v>
      </c>
      <c r="X31" s="6">
        <f t="shared" si="3"/>
        <v>0.13884430176565007</v>
      </c>
      <c r="Y31" s="6">
        <f t="shared" si="5"/>
        <v>0</v>
      </c>
      <c r="Z31" s="6">
        <f t="shared" si="6"/>
        <v>0</v>
      </c>
      <c r="AA31" s="6">
        <f t="shared" si="7"/>
        <v>1.1763265480512651E-2</v>
      </c>
      <c r="AB31" s="6">
        <f t="shared" si="8"/>
        <v>1.8803942305627901E-3</v>
      </c>
      <c r="AC31" s="5">
        <f>표1[[#This Row],[의사수비율]]*0.5553*표1[[#This Row],[의사고시 합격자수]]</f>
        <v>583.83914362577605</v>
      </c>
      <c r="AD31" s="5">
        <v>497.01208154964519</v>
      </c>
      <c r="AE31" s="16">
        <f>표1[[#This Row],[군입대]]/표1[[#This Row],[의대졸합격/남]]</f>
        <v>0.56512383858922255</v>
      </c>
      <c r="AF31" s="39">
        <v>1056</v>
      </c>
      <c r="AG31" s="39">
        <v>173</v>
      </c>
      <c r="AH31" s="39">
        <v>0</v>
      </c>
      <c r="AI31" s="39">
        <v>0</v>
      </c>
      <c r="AJ31" s="39">
        <f t="shared" si="1"/>
        <v>1056</v>
      </c>
      <c r="AK31" s="39">
        <f t="shared" si="0"/>
        <v>173</v>
      </c>
    </row>
    <row r="32" spans="1:37" x14ac:dyDescent="0.25">
      <c r="A32" s="1">
        <v>1980</v>
      </c>
      <c r="B32" s="9">
        <v>38123775</v>
      </c>
      <c r="C32" s="7">
        <v>22074</v>
      </c>
      <c r="D32" s="7">
        <v>19028</v>
      </c>
      <c r="E32" s="7">
        <v>3046</v>
      </c>
      <c r="F32" s="14">
        <f>표1[[#This Row],[의사수/남]]/표1[[#This Row],[의사수/계]]</f>
        <v>0.86200960405907401</v>
      </c>
      <c r="G32" s="4">
        <v>0</v>
      </c>
      <c r="H32" s="28">
        <f>1385</f>
        <v>1385</v>
      </c>
      <c r="I32" s="28">
        <v>59</v>
      </c>
      <c r="J32" s="1">
        <v>1322</v>
      </c>
      <c r="K32" s="1">
        <v>124</v>
      </c>
      <c r="L32" s="35">
        <v>6</v>
      </c>
      <c r="M32" s="1">
        <f t="shared" si="4"/>
        <v>20195</v>
      </c>
      <c r="N32" s="1">
        <f>(-5*(표1[[#This Row],[년도]]-1950)^2/100000)+(16*(표1[[#This Row],[년도]]-1950)/10000)+0.8551</f>
        <v>0.85809999999999997</v>
      </c>
      <c r="O32" s="19">
        <f>(표1[[#This Row],[의대졸비율/남]]+표1[[#This Row],[의전졸비율/남]]+표1[[#This Row],[불합비율/남]])-표1[[#This Row],[의사고시성비추세]]</f>
        <v>-5.5976140620569437E-3</v>
      </c>
      <c r="P32" s="5">
        <f>(표1[[#This Row],[의대졸업/남]])/(표1[[#This Row],[졸업합계/남]]+표1[[#This Row],[졸업합계/여]]+L31)*표1[[#This Row],[의사고시 합격자수]]</f>
        <v>1121.8485995457986</v>
      </c>
      <c r="Q32" s="5">
        <f>(표1[[#This Row],[의대졸업/여]])/(표1[[#This Row],[졸업합계/남]]+표1[[#This Row],[졸업합계/여]]+L31)*표1[[#This Row],[의사고시 합격자수]]</f>
        <v>194.1468584405753</v>
      </c>
      <c r="R32" s="5">
        <f>(표1[[#This Row],[의전원졸업/남]])/(표1[[#This Row],[졸업합계/남]]+표1[[#This Row],[졸업합계/여]]+L31)*표1[[#This Row],[의사고시 합격자수]]</f>
        <v>0</v>
      </c>
      <c r="S32" s="5">
        <f>(표1[[#This Row],[의전원졸업/여]])/(표1[[#This Row],[졸업합계/남]]+표1[[#This Row],[졸업합계/여]]+L31)*표1[[#This Row],[의사고시 합격자수]]</f>
        <v>0</v>
      </c>
      <c r="T32" s="5">
        <f>(L31*V31)/(표1[[#This Row],[졸업합계/남]]+표1[[#This Row],[졸업합계/여]]+L31)*표1[[#This Row],[의사고시 합격자수]]</f>
        <v>5.1595546641620285</v>
      </c>
      <c r="U32" s="5">
        <f>(L31*(1-V31))/(표1[[#This Row],[졸업합계/남]]+표1[[#This Row],[졸업합계/여]]+L31)*표1[[#This Row],[의사고시 합격자수]]</f>
        <v>0.84498734946401233</v>
      </c>
      <c r="V32" s="40">
        <f>표1[[#This Row],[의대졸비율/남]]+표1[[#This Row],[의전졸비율/남]]+표1[[#This Row],[불합비율/남]]</f>
        <v>0.85250238593794303</v>
      </c>
      <c r="W32" s="6">
        <f t="shared" si="2"/>
        <v>0.84859954579863739</v>
      </c>
      <c r="X32" s="6">
        <f t="shared" si="3"/>
        <v>0.14685844057532171</v>
      </c>
      <c r="Y32" s="6">
        <f t="shared" si="5"/>
        <v>0</v>
      </c>
      <c r="Z32" s="6">
        <f t="shared" si="6"/>
        <v>0</v>
      </c>
      <c r="AA32" s="6">
        <f t="shared" si="7"/>
        <v>3.902840139305619E-3</v>
      </c>
      <c r="AB32" s="6">
        <f t="shared" si="8"/>
        <v>6.3917348673525891E-4</v>
      </c>
      <c r="AC32" s="5">
        <f>표1[[#This Row],[의사수비율]]*0.5553*표1[[#This Row],[의사고시 합격자수]]</f>
        <v>632.80693960315307</v>
      </c>
      <c r="AD32" s="5">
        <v>574.37082132029343</v>
      </c>
      <c r="AE32" s="16">
        <f>표1[[#This Row],[군입대]]/표1[[#This Row],[의대졸합격/남]]</f>
        <v>0.56407517008922314</v>
      </c>
      <c r="AF32" s="39">
        <v>1121</v>
      </c>
      <c r="AG32" s="39">
        <v>194</v>
      </c>
      <c r="AH32" s="39">
        <v>0</v>
      </c>
      <c r="AI32" s="39">
        <v>0</v>
      </c>
      <c r="AJ32" s="39">
        <f t="shared" si="1"/>
        <v>1121</v>
      </c>
      <c r="AK32" s="39">
        <f t="shared" si="0"/>
        <v>194</v>
      </c>
    </row>
    <row r="33" spans="1:37" x14ac:dyDescent="0.25">
      <c r="A33" s="1">
        <v>1981</v>
      </c>
      <c r="B33" s="9">
        <v>38723248</v>
      </c>
      <c r="C33" s="7">
        <v>23270</v>
      </c>
      <c r="D33" s="7">
        <v>20031</v>
      </c>
      <c r="E33" s="7">
        <v>3239</v>
      </c>
      <c r="F33" s="14">
        <f>표1[[#This Row],[의사수/남]]/표1[[#This Row],[의사수/계]]</f>
        <v>0.86080790717662226</v>
      </c>
      <c r="G33" s="4">
        <v>0</v>
      </c>
      <c r="H33" s="29">
        <f>1419</f>
        <v>1419</v>
      </c>
      <c r="I33" s="29">
        <v>113</v>
      </c>
      <c r="J33" s="1">
        <v>1333</v>
      </c>
      <c r="K33" s="1">
        <v>202</v>
      </c>
      <c r="L33" s="35">
        <v>19</v>
      </c>
      <c r="M33" s="1">
        <f t="shared" si="4"/>
        <v>21528</v>
      </c>
      <c r="N33" s="1">
        <f>(-5*(표1[[#This Row],[년도]]-1950)^2/100000)+(16*(표1[[#This Row],[년도]]-1950)/10000)+0.8551</f>
        <v>0.85664999999999991</v>
      </c>
      <c r="O33" s="19">
        <f>(표1[[#This Row],[의대졸비율/남]]+표1[[#This Row],[의전졸비율/남]]+표1[[#This Row],[불합비율/남]])-표1[[#This Row],[의사고시성비추세]]</f>
        <v>2.8937371238384912E-2</v>
      </c>
      <c r="P33" s="5">
        <f>(표1[[#This Row],[의대졸업/남]])/(표1[[#This Row],[졸업합계/남]]+표1[[#This Row],[졸업합계/여]]+L32)*표1[[#This Row],[의사고시 합격자수]]</f>
        <v>1175.4185873605948</v>
      </c>
      <c r="Q33" s="5">
        <f>(표1[[#This Row],[의대졸업/여]])/(표1[[#This Row],[졸업합계/남]]+표1[[#This Row],[졸업합계/여]]+L32)*표1[[#This Row],[의사고시 합격자수]]</f>
        <v>151.63494423791821</v>
      </c>
      <c r="R33" s="5">
        <f>(표1[[#This Row],[의전원졸업/남]])/(표1[[#This Row],[졸업합계/남]]+표1[[#This Row],[졸업합계/여]]+L32)*표1[[#This Row],[의사고시 합격자수]]</f>
        <v>0</v>
      </c>
      <c r="S33" s="5">
        <f>(표1[[#This Row],[의전원졸업/여]])/(표1[[#This Row],[졸업합계/남]]+표1[[#This Row],[졸업합계/여]]+L32)*표1[[#This Row],[의사고시 합격자수]]</f>
        <v>0</v>
      </c>
      <c r="T33" s="5">
        <f>(L32*V32)/(표1[[#This Row],[졸업합계/남]]+표1[[#This Row],[졸업합계/여]]+L32)*표1[[#This Row],[의사고시 합격자수]]</f>
        <v>5.0693785001722436</v>
      </c>
      <c r="U33" s="5">
        <f>(L32*(1-V32))/(표1[[#This Row],[졸업합계/남]]+표1[[#This Row],[졸업합계/여]]+L32)*표1[[#This Row],[의사고시 합격자수]]</f>
        <v>0.87708990131474474</v>
      </c>
      <c r="V33" s="40">
        <f>표1[[#This Row],[의대졸비율/남]]+표1[[#This Row],[의전졸비율/남]]+표1[[#This Row],[불합비율/남]]</f>
        <v>0.88558737123838482</v>
      </c>
      <c r="W33" s="6">
        <f t="shared" si="2"/>
        <v>0.88178438661710035</v>
      </c>
      <c r="X33" s="6">
        <f t="shared" si="3"/>
        <v>0.11375464684014869</v>
      </c>
      <c r="Y33" s="6">
        <f t="shared" si="5"/>
        <v>0</v>
      </c>
      <c r="Z33" s="6">
        <f t="shared" si="6"/>
        <v>0</v>
      </c>
      <c r="AA33" s="6">
        <f t="shared" si="7"/>
        <v>3.8029846212845036E-3</v>
      </c>
      <c r="AB33" s="6">
        <f t="shared" si="8"/>
        <v>6.5798192146642516E-4</v>
      </c>
      <c r="AC33" s="5">
        <f>표1[[#This Row],[의사수비율]]*0.5553*표1[[#This Row],[의사고시 합격자수]]</f>
        <v>637.18283892995271</v>
      </c>
      <c r="AD33" s="5">
        <v>574.72716071410332</v>
      </c>
      <c r="AE33" s="16">
        <f>표1[[#This Row],[군입대]]/표1[[#This Row],[의대졸합격/남]]</f>
        <v>0.54209015050608333</v>
      </c>
      <c r="AF33" s="39">
        <v>1186</v>
      </c>
      <c r="AG33" s="39">
        <v>153</v>
      </c>
      <c r="AH33" s="39">
        <v>0</v>
      </c>
      <c r="AI33" s="39">
        <v>0</v>
      </c>
      <c r="AJ33" s="39">
        <f t="shared" si="1"/>
        <v>1186</v>
      </c>
      <c r="AK33" s="39">
        <f t="shared" si="0"/>
        <v>153</v>
      </c>
    </row>
    <row r="34" spans="1:37" x14ac:dyDescent="0.25">
      <c r="A34" s="1">
        <v>1982</v>
      </c>
      <c r="B34" s="9">
        <v>39326352</v>
      </c>
      <c r="C34" s="7">
        <v>24634</v>
      </c>
      <c r="D34" s="7">
        <v>21213</v>
      </c>
      <c r="E34" s="7">
        <v>3421</v>
      </c>
      <c r="F34" s="14">
        <f>표1[[#This Row],[의사수/남]]/표1[[#This Row],[의사수/계]]</f>
        <v>0.86112689778355123</v>
      </c>
      <c r="G34" s="4">
        <v>0</v>
      </c>
      <c r="H34" s="28">
        <f>1451</f>
        <v>1451</v>
      </c>
      <c r="I34" s="28">
        <v>113</v>
      </c>
      <c r="J34" s="1">
        <v>1398</v>
      </c>
      <c r="K34" s="1">
        <v>87</v>
      </c>
      <c r="L34" s="35">
        <v>19</v>
      </c>
      <c r="M34" s="1">
        <f t="shared" si="4"/>
        <v>22926</v>
      </c>
      <c r="N34" s="1">
        <f>(-5*(표1[[#This Row],[년도]]-1950)^2/100000)+(16*(표1[[#This Row],[년도]]-1950)/10000)+0.8551</f>
        <v>0.85509999999999997</v>
      </c>
      <c r="O34" s="19">
        <f>(표1[[#This Row],[의대졸비율/남]]+표1[[#This Row],[의전졸비율/남]]+표1[[#This Row],[불합비율/남]])-표1[[#This Row],[의사고시성비추세]]</f>
        <v>6.099245156985722E-2</v>
      </c>
      <c r="P34" s="5">
        <f>(표1[[#This Row],[의대졸업/남]])/(표1[[#This Row],[졸업합계/남]]+표1[[#This Row],[졸업합계/여]]+L33)*표1[[#This Row],[의사고시 합격자수]]</f>
        <v>1267.2862029646524</v>
      </c>
      <c r="Q34" s="5">
        <f>(표1[[#This Row],[의대졸업/여]])/(표1[[#This Row],[졸업합계/남]]+표1[[#This Row],[졸업합계/여]]+L33)*표1[[#This Row],[의사고시 합격자수]]</f>
        <v>115.57012542759406</v>
      </c>
      <c r="R34" s="5">
        <f>(표1[[#This Row],[의전원졸업/남]])/(표1[[#This Row],[졸업합계/남]]+표1[[#This Row],[졸업합계/여]]+L33)*표1[[#This Row],[의사고시 합격자수]]</f>
        <v>0</v>
      </c>
      <c r="S34" s="5">
        <f>(표1[[#This Row],[의전원졸업/여]])/(표1[[#This Row],[졸업합계/남]]+표1[[#This Row],[졸업합계/여]]+L33)*표1[[#This Row],[의사고시 합격자수]]</f>
        <v>0</v>
      </c>
      <c r="T34" s="5">
        <f>(L33*V33)/(표1[[#This Row],[졸업합계/남]]+표1[[#This Row],[졸업합계/여]]+L33)*표1[[#This Row],[의사고시 합격자수]]</f>
        <v>13.41104433000797</v>
      </c>
      <c r="U34" s="5">
        <f>(L33*(1-V33))/(표1[[#This Row],[졸업합계/남]]+표1[[#This Row],[졸업합계/여]]+L33)*표1[[#This Row],[의사고시 합격자수]]</f>
        <v>1.732627277745737</v>
      </c>
      <c r="V34" s="40">
        <f>표1[[#This Row],[의대졸비율/남]]+표1[[#This Row],[의전졸비율/남]]+표1[[#This Row],[불합비율/남]]</f>
        <v>0.91609245156985719</v>
      </c>
      <c r="W34" s="6">
        <f t="shared" si="2"/>
        <v>0.90649942987457255</v>
      </c>
      <c r="X34" s="6">
        <f t="shared" si="3"/>
        <v>8.2668187001140245E-2</v>
      </c>
      <c r="Y34" s="6">
        <f t="shared" si="5"/>
        <v>0</v>
      </c>
      <c r="Z34" s="6">
        <f t="shared" si="6"/>
        <v>0</v>
      </c>
      <c r="AA34" s="6">
        <f t="shared" si="7"/>
        <v>9.5930216952846703E-3</v>
      </c>
      <c r="AB34" s="6">
        <f t="shared" si="8"/>
        <v>1.239361429002673E-3</v>
      </c>
      <c r="AC34" s="5">
        <f>표1[[#This Row],[의사수비율]]*0.5553*표1[[#This Row],[의사고시 합격자수]]</f>
        <v>668.50090534220999</v>
      </c>
      <c r="AD34" s="5">
        <v>583.83914362577605</v>
      </c>
      <c r="AE34" s="16">
        <f>표1[[#This Row],[군입대]]/표1[[#This Row],[의대졸합격/남]]</f>
        <v>0.52750586550878442</v>
      </c>
      <c r="AF34" s="39">
        <v>1590</v>
      </c>
      <c r="AG34" s="39">
        <v>145</v>
      </c>
      <c r="AH34" s="39">
        <v>0</v>
      </c>
      <c r="AI34" s="39">
        <v>0</v>
      </c>
      <c r="AJ34" s="39">
        <f t="shared" ref="AJ34:AJ65" si="9">AF34+AH34</f>
        <v>1590</v>
      </c>
      <c r="AK34" s="39">
        <f t="shared" ref="AK34:AK65" si="10">AG34+AI34</f>
        <v>145</v>
      </c>
    </row>
    <row r="35" spans="1:37" x14ac:dyDescent="0.25">
      <c r="A35" s="1">
        <v>1983</v>
      </c>
      <c r="B35" s="9">
        <v>39910403</v>
      </c>
      <c r="C35" s="7">
        <v>26017</v>
      </c>
      <c r="D35" s="7">
        <v>22423</v>
      </c>
      <c r="E35" s="7">
        <v>3594</v>
      </c>
      <c r="F35" s="14">
        <f>표1[[#This Row],[의사수/남]]/표1[[#This Row],[의사수/계]]</f>
        <v>0.86185955336895104</v>
      </c>
      <c r="G35" s="4">
        <v>0</v>
      </c>
      <c r="H35" s="29">
        <v>1473</v>
      </c>
      <c r="I35" s="29">
        <v>1449</v>
      </c>
      <c r="J35" s="1">
        <v>1403</v>
      </c>
      <c r="K35" s="1">
        <v>70</v>
      </c>
      <c r="L35" s="35">
        <v>46</v>
      </c>
      <c r="M35" s="1">
        <f t="shared" si="4"/>
        <v>24329</v>
      </c>
      <c r="N35" s="1">
        <f>(-5*(표1[[#This Row],[년도]]-1950)^2/100000)+(16*(표1[[#This Row],[년도]]-1950)/10000)+0.8551</f>
        <v>0.85344999999999993</v>
      </c>
      <c r="O35" s="19">
        <f>(표1[[#This Row],[의대졸비율/남]]+표1[[#This Row],[의전졸비율/남]]+표1[[#This Row],[불합비율/남]])-표1[[#This Row],[의사고시성비추세]]</f>
        <v>3.4715568648904904E-2</v>
      </c>
      <c r="P35" s="5">
        <f>(표1[[#This Row],[의대졸업/남]])/(표1[[#This Row],[졸업합계/남]]+표1[[#This Row],[졸업합계/여]]+L34)*표1[[#This Row],[의사고시 합격자수]]</f>
        <v>1229.0905292479108</v>
      </c>
      <c r="Q35" s="5">
        <f>(표1[[#This Row],[의대졸업/여]])/(표1[[#This Row],[졸업합계/남]]+표1[[#This Row],[졸업합계/여]]+L34)*표1[[#This Row],[의사고시 합격자수]]</f>
        <v>155.34610027855152</v>
      </c>
      <c r="R35" s="5">
        <f>(표1[[#This Row],[의전원졸업/남]])/(표1[[#This Row],[졸업합계/남]]+표1[[#This Row],[졸업합계/여]]+L34)*표1[[#This Row],[의사고시 합격자수]]</f>
        <v>0</v>
      </c>
      <c r="S35" s="5">
        <f>(표1[[#This Row],[의전원졸업/여]])/(표1[[#This Row],[졸업합계/남]]+표1[[#This Row],[졸업합계/여]]+L34)*표1[[#This Row],[의사고시 합격자수]]</f>
        <v>0</v>
      </c>
      <c r="T35" s="5">
        <f>(L34*V34)/(표1[[#This Row],[졸업합계/남]]+표1[[#This Row],[졸업합계/여]]+L34)*표1[[#This Row],[의사고시 합격자수]]</f>
        <v>17.005763566502566</v>
      </c>
      <c r="U35" s="5">
        <f>(L34*(1-V34))/(표1[[#This Row],[졸업합계/남]]+표1[[#This Row],[졸업합계/여]]+L34)*표1[[#This Row],[의사고시 합격자수]]</f>
        <v>1.5576069070350396</v>
      </c>
      <c r="V35" s="40">
        <f>표1[[#This Row],[의대졸비율/남]]+표1[[#This Row],[의전졸비율/남]]+표1[[#This Row],[불합비율/남]]</f>
        <v>0.88816556864890484</v>
      </c>
      <c r="W35" s="6">
        <f t="shared" si="2"/>
        <v>0.87604456824512533</v>
      </c>
      <c r="X35" s="6">
        <f t="shared" si="3"/>
        <v>0.1107242339832869</v>
      </c>
      <c r="Y35" s="6">
        <f t="shared" si="5"/>
        <v>0</v>
      </c>
      <c r="Z35" s="6">
        <f t="shared" si="6"/>
        <v>0</v>
      </c>
      <c r="AA35" s="6">
        <f t="shared" si="7"/>
        <v>1.2121000403779449E-2</v>
      </c>
      <c r="AB35" s="6">
        <f t="shared" si="8"/>
        <v>1.1101973678082962E-3</v>
      </c>
      <c r="AC35" s="5">
        <f>표1[[#This Row],[의사수비율]]*0.5553*표1[[#This Row],[의사고시 합격자수]]</f>
        <v>671.46262581004726</v>
      </c>
      <c r="AD35" s="5">
        <v>632.80693960315307</v>
      </c>
      <c r="AE35" s="16">
        <f>표1[[#This Row],[군입대]]/표1[[#This Row],[의대졸합격/남]]</f>
        <v>0.54630851823495863</v>
      </c>
      <c r="AF35" s="39">
        <v>1258</v>
      </c>
      <c r="AG35" s="39">
        <v>159</v>
      </c>
      <c r="AH35" s="39">
        <v>0</v>
      </c>
      <c r="AI35" s="39">
        <v>0</v>
      </c>
      <c r="AJ35" s="39">
        <f t="shared" si="9"/>
        <v>1258</v>
      </c>
      <c r="AK35" s="39">
        <f t="shared" si="10"/>
        <v>159</v>
      </c>
    </row>
    <row r="36" spans="1:37" x14ac:dyDescent="0.25">
      <c r="A36" s="1">
        <v>1984</v>
      </c>
      <c r="B36" s="9">
        <v>40405956</v>
      </c>
      <c r="C36" s="7">
        <v>27567</v>
      </c>
      <c r="D36" s="7">
        <v>23735</v>
      </c>
      <c r="E36" s="7">
        <v>3832</v>
      </c>
      <c r="F36" s="14">
        <f>표1[[#This Row],[의사수/남]]/표1[[#This Row],[의사수/계]]</f>
        <v>0.86099321652700689</v>
      </c>
      <c r="G36" s="4">
        <v>0</v>
      </c>
      <c r="H36" s="28">
        <f>1641</f>
        <v>1641</v>
      </c>
      <c r="I36" s="28">
        <v>353</v>
      </c>
      <c r="J36" s="1">
        <v>1551</v>
      </c>
      <c r="K36" s="1">
        <v>443</v>
      </c>
      <c r="L36" s="35">
        <v>63</v>
      </c>
      <c r="M36" s="1">
        <f t="shared" si="4"/>
        <v>25880</v>
      </c>
      <c r="N36" s="1">
        <f>(-5*(표1[[#This Row],[년도]]-1950)^2/100000)+(16*(표1[[#This Row],[년도]]-1950)/10000)+0.8551</f>
        <v>0.85170000000000001</v>
      </c>
      <c r="O36" s="19">
        <f>(표1[[#This Row],[의대졸비율/남]]+표1[[#This Row],[의전졸비율/남]]+표1[[#This Row],[불합비율/남]])-표1[[#This Row],[의사고시성비추세]]</f>
        <v>-4.5307779487770983E-3</v>
      </c>
      <c r="P36" s="5">
        <f>(표1[[#This Row],[의대졸업/남]])/(표1[[#This Row],[졸업합계/남]]+표1[[#This Row],[졸업합계/여]]+L35)*표1[[#This Row],[의사고시 합격자수]]</f>
        <v>1276.150954653938</v>
      </c>
      <c r="Q36" s="5">
        <f>(표1[[#This Row],[의대졸업/여]])/(표1[[#This Row],[졸업합계/남]]+표1[[#This Row],[졸업합계/여]]+L35)*표1[[#This Row],[의사고시 합격자수]]</f>
        <v>232.27983293556085</v>
      </c>
      <c r="R36" s="5">
        <f>(표1[[#This Row],[의전원졸업/남]])/(표1[[#This Row],[졸업합계/남]]+표1[[#This Row],[졸업합계/여]]+L35)*표1[[#This Row],[의사고시 합격자수]]</f>
        <v>0</v>
      </c>
      <c r="S36" s="5">
        <f>(표1[[#This Row],[의전원졸업/여]])/(표1[[#This Row],[졸업합계/남]]+표1[[#This Row],[졸업합계/여]]+L35)*표1[[#This Row],[의사고시 합격자수]]</f>
        <v>0</v>
      </c>
      <c r="T36" s="5">
        <f>(L35*V35)/(표1[[#This Row],[졸업합계/남]]+표1[[#This Row],[졸업합계/여]]+L35)*표1[[#This Row],[의사고시 합격자수]]</f>
        <v>37.80850874750881</v>
      </c>
      <c r="U36" s="5">
        <f>(L35*(1-V35))/(표1[[#This Row],[졸업합계/남]]+표1[[#This Row],[졸업합계/여]]+L35)*표1[[#This Row],[의사고시 합격자수]]</f>
        <v>4.760703662992384</v>
      </c>
      <c r="V36" s="40">
        <f>표1[[#This Row],[의대졸비율/남]]+표1[[#This Row],[의전졸비율/남]]+표1[[#This Row],[불합비율/남]]</f>
        <v>0.84716922205122291</v>
      </c>
      <c r="W36" s="6">
        <f t="shared" ref="W36:W67" si="11">P36/J36</f>
        <v>0.82279236276849643</v>
      </c>
      <c r="X36" s="6">
        <f t="shared" ref="X36:X67" si="12">Q36/J36</f>
        <v>0.14976133651551313</v>
      </c>
      <c r="Y36" s="6">
        <f t="shared" si="5"/>
        <v>0</v>
      </c>
      <c r="Z36" s="6">
        <f t="shared" si="6"/>
        <v>0</v>
      </c>
      <c r="AA36" s="6">
        <f t="shared" si="7"/>
        <v>2.4376859282726506E-2</v>
      </c>
      <c r="AB36" s="6">
        <f t="shared" si="8"/>
        <v>3.0694414332639486E-3</v>
      </c>
      <c r="AC36" s="5">
        <f>표1[[#This Row],[의사수비율]]*0.5553*표1[[#This Row],[의사고시 합격자수]]</f>
        <v>741.54788589618022</v>
      </c>
      <c r="AD36" s="5">
        <v>637.18283892995271</v>
      </c>
      <c r="AE36" s="16">
        <f>표1[[#This Row],[군입대]]/표1[[#This Row],[의대졸합격/남]]</f>
        <v>0.58108163708365557</v>
      </c>
      <c r="AF36" s="39">
        <v>1379</v>
      </c>
      <c r="AG36" s="39">
        <v>251</v>
      </c>
      <c r="AH36" s="39">
        <v>0</v>
      </c>
      <c r="AI36" s="39">
        <v>0</v>
      </c>
      <c r="AJ36" s="39">
        <f t="shared" si="9"/>
        <v>1379</v>
      </c>
      <c r="AK36" s="39">
        <f t="shared" si="10"/>
        <v>251</v>
      </c>
    </row>
    <row r="37" spans="1:37" x14ac:dyDescent="0.25">
      <c r="A37" s="1">
        <v>1985</v>
      </c>
      <c r="B37" s="9">
        <v>40805744</v>
      </c>
      <c r="C37" s="10">
        <v>29151</v>
      </c>
      <c r="D37" s="7">
        <v>25122</v>
      </c>
      <c r="E37" s="7">
        <v>4029</v>
      </c>
      <c r="F37" s="14">
        <f>표1[[#This Row],[의사수/남]]/표1[[#This Row],[의사수/계]]</f>
        <v>0.86178861788617889</v>
      </c>
      <c r="G37" s="4">
        <v>0</v>
      </c>
      <c r="H37" s="29">
        <v>1785</v>
      </c>
      <c r="I37" s="29">
        <v>1767</v>
      </c>
      <c r="J37" s="1">
        <v>1587</v>
      </c>
      <c r="K37" s="1">
        <v>198</v>
      </c>
      <c r="L37" s="35">
        <v>180</v>
      </c>
      <c r="M37" s="1">
        <f t="shared" si="4"/>
        <v>27467</v>
      </c>
      <c r="N37" s="1">
        <f>(-5*(표1[[#This Row],[년도]]-1950)^2/100000)+(16*(표1[[#This Row],[년도]]-1950)/10000)+0.8551</f>
        <v>0.84984999999999999</v>
      </c>
      <c r="O37" s="19">
        <f>(표1[[#This Row],[의대졸비율/남]]+표1[[#This Row],[의전졸비율/남]]+표1[[#This Row],[불합비율/남]])-표1[[#This Row],[의사고시성비추세]]</f>
        <v>2.2125062423637099E-2</v>
      </c>
      <c r="P37" s="5">
        <f>(표1[[#This Row],[의대졸업/남]])/(표1[[#This Row],[졸업합계/남]]+표1[[#This Row],[졸업합계/여]]+L36)*표1[[#This Row],[의사고시 합격자수]]</f>
        <v>1336.1861642294712</v>
      </c>
      <c r="Q37" s="5">
        <f>(표1[[#This Row],[의대졸업/여]])/(표1[[#This Row],[졸업합계/남]]+표1[[#This Row],[졸업합계/여]]+L36)*표1[[#This Row],[의사고시 합격자수]]</f>
        <v>194.58155230596176</v>
      </c>
      <c r="R37" s="5">
        <f>(표1[[#This Row],[의전원졸업/남]])/(표1[[#This Row],[졸업합계/남]]+표1[[#This Row],[졸업합계/여]]+L36)*표1[[#This Row],[의사고시 합격자수]]</f>
        <v>0</v>
      </c>
      <c r="S37" s="5">
        <f>(표1[[#This Row],[의전원졸업/여]])/(표1[[#This Row],[졸업합계/남]]+표1[[#This Row],[졸업합계/여]]+L36)*표1[[#This Row],[의사고시 합격자수]]</f>
        <v>0</v>
      </c>
      <c r="T37" s="5">
        <f>(L36*V36)/(표1[[#This Row],[졸업합계/남]]+표1[[#This Row],[졸업합계/여]]+L36)*표1[[#This Row],[의사고시 합격자수]]</f>
        <v>47.638259836841009</v>
      </c>
      <c r="U37" s="5">
        <f>(L36*(1-V36))/(표1[[#This Row],[졸업합계/남]]+표1[[#This Row],[졸업합계/여]]+L36)*표1[[#This Row],[의사고시 합격자수]]</f>
        <v>8.5940236277259174</v>
      </c>
      <c r="V37" s="40">
        <f>표1[[#This Row],[의대졸비율/남]]+표1[[#This Row],[의전졸비율/남]]+표1[[#This Row],[불합비율/남]]</f>
        <v>0.87197506242363709</v>
      </c>
      <c r="W37" s="6">
        <f t="shared" si="11"/>
        <v>0.84195725534308197</v>
      </c>
      <c r="X37" s="6">
        <f t="shared" si="12"/>
        <v>0.12260967379077616</v>
      </c>
      <c r="Y37" s="6">
        <f t="shared" si="5"/>
        <v>0</v>
      </c>
      <c r="Z37" s="6">
        <f t="shared" si="6"/>
        <v>0</v>
      </c>
      <c r="AA37" s="6">
        <f t="shared" si="7"/>
        <v>3.0017807080555139E-2</v>
      </c>
      <c r="AB37" s="6">
        <f t="shared" si="8"/>
        <v>5.4152637855865897E-3</v>
      </c>
      <c r="AC37" s="5">
        <f>표1[[#This Row],[의사수비율]]*0.5553*표1[[#This Row],[의사고시 합격자수]]</f>
        <v>759.46078536585367</v>
      </c>
      <c r="AD37" s="5">
        <v>668.50090534220999</v>
      </c>
      <c r="AE37" s="16">
        <f>표1[[#This Row],[군입대]]/표1[[#This Row],[의대졸합격/남]]</f>
        <v>0.56837947113739684</v>
      </c>
      <c r="AF37" s="39">
        <v>1497</v>
      </c>
      <c r="AG37" s="39">
        <v>218</v>
      </c>
      <c r="AH37" s="39">
        <v>0</v>
      </c>
      <c r="AI37" s="39">
        <v>0</v>
      </c>
      <c r="AJ37" s="39">
        <f t="shared" si="9"/>
        <v>1497</v>
      </c>
      <c r="AK37" s="39">
        <f t="shared" si="10"/>
        <v>218</v>
      </c>
    </row>
    <row r="38" spans="1:37" x14ac:dyDescent="0.25">
      <c r="A38" s="1">
        <v>1986</v>
      </c>
      <c r="B38" s="9">
        <v>41213674</v>
      </c>
      <c r="C38" s="10">
        <v>31514</v>
      </c>
      <c r="D38" s="7">
        <v>27151</v>
      </c>
      <c r="E38" s="7">
        <v>4363</v>
      </c>
      <c r="F38" s="14">
        <f>표1[[#This Row],[의사수/남]]/표1[[#This Row],[의사수/계]]</f>
        <v>0.86155359522751795</v>
      </c>
      <c r="G38" s="4">
        <v>0</v>
      </c>
      <c r="H38" s="28">
        <v>2167</v>
      </c>
      <c r="I38" s="28">
        <v>2138</v>
      </c>
      <c r="J38" s="1">
        <v>2065</v>
      </c>
      <c r="K38" s="1">
        <v>102</v>
      </c>
      <c r="L38" s="35">
        <v>73</v>
      </c>
      <c r="M38" s="1">
        <f t="shared" si="4"/>
        <v>29532</v>
      </c>
      <c r="N38" s="1">
        <f>(-5*(표1[[#This Row],[년도]]-1950)^2/100000)+(16*(표1[[#This Row],[년도]]-1950)/10000)+0.8551</f>
        <v>0.84789999999999999</v>
      </c>
      <c r="O38" s="19">
        <f>(표1[[#This Row],[의대졸비율/남]]+표1[[#This Row],[의전졸비율/남]]+표1[[#This Row],[불합비율/남]])-표1[[#This Row],[의사고시성비추세]]</f>
        <v>1.1740746875232855E-4</v>
      </c>
      <c r="P38" s="5">
        <f>(표1[[#This Row],[의대졸업/남]])/(표1[[#This Row],[졸업합계/남]]+표1[[#This Row],[졸업합계/여]]+L37)*표1[[#This Row],[의사고시 합격자수]]</f>
        <v>1592.2769607843138</v>
      </c>
      <c r="Q38" s="5">
        <f>(표1[[#This Row],[의대졸업/여]])/(표1[[#This Row],[졸업합계/남]]+표1[[#This Row],[졸업합계/여]]+L37)*표1[[#This Row],[의사고시 합격자수]]</f>
        <v>290.51715686274508</v>
      </c>
      <c r="R38" s="5">
        <f>(표1[[#This Row],[의전원졸업/남]])/(표1[[#This Row],[졸업합계/남]]+표1[[#This Row],[졸업합계/여]]+L37)*표1[[#This Row],[의사고시 합격자수]]</f>
        <v>0</v>
      </c>
      <c r="S38" s="5">
        <f>(표1[[#This Row],[의전원졸업/여]])/(표1[[#This Row],[졸업합계/남]]+표1[[#This Row],[졸업합계/여]]+L37)*표1[[#This Row],[의사고시 합격자수]]</f>
        <v>0</v>
      </c>
      <c r="T38" s="5">
        <f>(L37*V37)/(표1[[#This Row],[졸업합계/남]]+표1[[#This Row],[졸업합계/여]]+L37)*표1[[#This Row],[의사고시 합격자수]]</f>
        <v>158.87898563865977</v>
      </c>
      <c r="U38" s="5">
        <f>(L37*(1-V37))/(표1[[#This Row],[졸업합계/남]]+표1[[#This Row],[졸업합계/여]]+L37)*표1[[#This Row],[의사고시 합격자수]]</f>
        <v>23.326896714281418</v>
      </c>
      <c r="V38" s="40">
        <f>표1[[#This Row],[의대졸비율/남]]+표1[[#This Row],[의전졸비율/남]]+표1[[#This Row],[불합비율/남]]</f>
        <v>0.84801740746875232</v>
      </c>
      <c r="W38" s="6">
        <f t="shared" si="11"/>
        <v>0.77107843137254906</v>
      </c>
      <c r="X38" s="6">
        <f t="shared" si="12"/>
        <v>0.14068627450980392</v>
      </c>
      <c r="Y38" s="6">
        <f t="shared" si="5"/>
        <v>0</v>
      </c>
      <c r="Z38" s="6">
        <f t="shared" si="6"/>
        <v>0</v>
      </c>
      <c r="AA38" s="6">
        <f t="shared" si="7"/>
        <v>7.6938976096203274E-2</v>
      </c>
      <c r="AB38" s="6">
        <f t="shared" si="8"/>
        <v>1.1296318021443786E-2</v>
      </c>
      <c r="AC38" s="5">
        <f>표1[[#This Row],[의사수비율]]*0.5553*표1[[#This Row],[의사고시 합격자수]]</f>
        <v>987.93876910262111</v>
      </c>
      <c r="AD38" s="5">
        <v>671.46262581004726</v>
      </c>
      <c r="AE38" s="16">
        <f>표1[[#This Row],[군입대]]/표1[[#This Row],[의대졸합격/남]]</f>
        <v>0.62045661240742211</v>
      </c>
      <c r="AF38" s="39">
        <v>1573</v>
      </c>
      <c r="AG38" s="39">
        <v>287</v>
      </c>
      <c r="AH38" s="39">
        <v>0</v>
      </c>
      <c r="AI38" s="39">
        <v>0</v>
      </c>
      <c r="AJ38" s="39">
        <f t="shared" si="9"/>
        <v>1573</v>
      </c>
      <c r="AK38" s="39">
        <f t="shared" si="10"/>
        <v>287</v>
      </c>
    </row>
    <row r="39" spans="1:37" x14ac:dyDescent="0.25">
      <c r="A39" s="1">
        <v>1987</v>
      </c>
      <c r="B39" s="9">
        <v>41621690</v>
      </c>
      <c r="C39" s="10">
        <v>34087</v>
      </c>
      <c r="D39" s="7">
        <v>29413</v>
      </c>
      <c r="E39" s="7">
        <v>4674</v>
      </c>
      <c r="F39" s="14">
        <f>표1[[#This Row],[의사수/남]]/표1[[#This Row],[의사수/계]]</f>
        <v>0.86288027693842229</v>
      </c>
      <c r="G39" s="4">
        <v>0</v>
      </c>
      <c r="H39" s="29">
        <v>2654</v>
      </c>
      <c r="I39" s="29">
        <v>2635</v>
      </c>
      <c r="J39" s="1">
        <v>2599</v>
      </c>
      <c r="K39" s="1">
        <v>55</v>
      </c>
      <c r="L39" s="35">
        <v>36</v>
      </c>
      <c r="M39" s="1">
        <f t="shared" si="4"/>
        <v>32131</v>
      </c>
      <c r="N39" s="1">
        <f>(-5*(표1[[#This Row],[년도]]-1950)^2/100000)+(16*(표1[[#This Row],[년도]]-1950)/10000)+0.8551</f>
        <v>0.84584999999999999</v>
      </c>
      <c r="O39" s="19">
        <f>(표1[[#This Row],[의대졸비율/남]]+표1[[#This Row],[의전졸비율/남]]+표1[[#This Row],[불합비율/남]])-표1[[#This Row],[의사고시성비추세]]</f>
        <v>3.3916173733441912E-2</v>
      </c>
      <c r="P39" s="5">
        <f>(표1[[#This Row],[의대졸업/남]])/(표1[[#This Row],[졸업합계/남]]+표1[[#This Row],[졸업합계/여]]+L38)*표1[[#This Row],[의사고시 합격자수]]</f>
        <v>2225.3134271586155</v>
      </c>
      <c r="Q39" s="5">
        <f>(표1[[#This Row],[의대졸업/여]])/(표1[[#This Row],[졸업합계/남]]+표1[[#This Row],[졸업합계/여]]+L38)*표1[[#This Row],[의사고시 합격자수]]</f>
        <v>301.51958919741344</v>
      </c>
      <c r="R39" s="5">
        <f>(표1[[#This Row],[의전원졸업/남]])/(표1[[#This Row],[졸업합계/남]]+표1[[#This Row],[졸업합계/여]]+L38)*표1[[#This Row],[의사고시 합격자수]]</f>
        <v>0</v>
      </c>
      <c r="S39" s="5">
        <f>(표1[[#This Row],[의전원졸업/여]])/(표1[[#This Row],[졸업합계/남]]+표1[[#This Row],[졸업합계/여]]+L38)*표1[[#This Row],[의사고시 합격자수]]</f>
        <v>0</v>
      </c>
      <c r="T39" s="5">
        <f>(L38*V38)/(표1[[#This Row],[졸업합계/남]]+표1[[#This Row],[졸업합계/여]]+L38)*표1[[#This Row],[의사고시 합격자수]]</f>
        <v>61.198858374600221</v>
      </c>
      <c r="U39" s="5">
        <f>(L38*(1-V38))/(표1[[#This Row],[졸업합계/남]]+표1[[#This Row],[졸업합계/여]]+L38)*표1[[#This Row],[의사고시 합격자수]]</f>
        <v>10.968125269370875</v>
      </c>
      <c r="V39" s="40">
        <f>표1[[#This Row],[의대졸비율/남]]+표1[[#This Row],[의전졸비율/남]]+표1[[#This Row],[불합비율/남]]</f>
        <v>0.8797661737334419</v>
      </c>
      <c r="W39" s="6">
        <f t="shared" si="11"/>
        <v>0.85621909471281854</v>
      </c>
      <c r="X39" s="6">
        <f t="shared" si="12"/>
        <v>0.11601369341955114</v>
      </c>
      <c r="Y39" s="6">
        <f t="shared" si="5"/>
        <v>0</v>
      </c>
      <c r="Z39" s="6">
        <f t="shared" si="6"/>
        <v>0</v>
      </c>
      <c r="AA39" s="6">
        <f t="shared" si="7"/>
        <v>2.3547079020623401E-2</v>
      </c>
      <c r="AB39" s="6">
        <f t="shared" si="8"/>
        <v>4.2201328470068775E-3</v>
      </c>
      <c r="AC39" s="5">
        <f>표1[[#This Row],[의사수비율]]*0.5553*표1[[#This Row],[의사고시 합격자수]]</f>
        <v>1245.3301288203716</v>
      </c>
      <c r="AD39" s="5">
        <v>741.54788589618022</v>
      </c>
      <c r="AE39" s="16">
        <f>표1[[#This Row],[군입대]]/표1[[#This Row],[의대졸합격/남]]</f>
        <v>0.55962010277827134</v>
      </c>
      <c r="AF39" s="39">
        <v>2251</v>
      </c>
      <c r="AG39" s="39">
        <v>305</v>
      </c>
      <c r="AH39" s="39">
        <v>0</v>
      </c>
      <c r="AI39" s="39">
        <v>0</v>
      </c>
      <c r="AJ39" s="39">
        <f t="shared" si="9"/>
        <v>2251</v>
      </c>
      <c r="AK39" s="39">
        <f t="shared" si="10"/>
        <v>305</v>
      </c>
    </row>
    <row r="40" spans="1:37" x14ac:dyDescent="0.25">
      <c r="A40" s="1">
        <v>1988</v>
      </c>
      <c r="B40" s="9">
        <v>42031247</v>
      </c>
      <c r="C40" s="10">
        <v>36747</v>
      </c>
      <c r="D40" s="7">
        <v>31649</v>
      </c>
      <c r="E40" s="7">
        <v>5098</v>
      </c>
      <c r="F40" s="14">
        <f>표1[[#This Row],[의사수/남]]/표1[[#This Row],[의사수/계]]</f>
        <v>0.86126758646964374</v>
      </c>
      <c r="G40" s="4">
        <v>0</v>
      </c>
      <c r="H40" s="28">
        <v>2844</v>
      </c>
      <c r="I40" s="28">
        <v>2825</v>
      </c>
      <c r="J40" s="1">
        <v>2698</v>
      </c>
      <c r="K40" s="1">
        <v>146</v>
      </c>
      <c r="L40" s="35">
        <v>127</v>
      </c>
      <c r="M40" s="1">
        <f t="shared" si="4"/>
        <v>34829</v>
      </c>
      <c r="N40" s="1">
        <f>(-5*(표1[[#This Row],[년도]]-1950)^2/100000)+(16*(표1[[#This Row],[년도]]-1950)/10000)+0.8551</f>
        <v>0.84370000000000001</v>
      </c>
      <c r="O40" s="19">
        <f>(표1[[#This Row],[의대졸비율/남]]+표1[[#This Row],[의전졸비율/남]]+표1[[#This Row],[불합비율/남]])-표1[[#This Row],[의사고시성비추세]]</f>
        <v>3.4297809893659714E-3</v>
      </c>
      <c r="P40" s="5">
        <f>(표1[[#This Row],[의대졸업/남]])/(표1[[#This Row],[졸업합계/남]]+표1[[#This Row],[졸업합계/여]]+L39)*표1[[#This Row],[의사고시 합격자수]]</f>
        <v>2251.3898440623752</v>
      </c>
      <c r="Q40" s="5">
        <f>(표1[[#This Row],[의대졸업/여]])/(표1[[#This Row],[졸업합계/남]]+표1[[#This Row],[졸업합계/여]]+L39)*표1[[#This Row],[의사고시 합격자수]]</f>
        <v>407.77449020391839</v>
      </c>
      <c r="R40" s="5">
        <f>(표1[[#This Row],[의전원졸업/남]])/(표1[[#This Row],[졸업합계/남]]+표1[[#This Row],[졸업합계/여]]+L39)*표1[[#This Row],[의사고시 합격자수]]</f>
        <v>0</v>
      </c>
      <c r="S40" s="5">
        <f>(표1[[#This Row],[의전원졸업/여]])/(표1[[#This Row],[졸업합계/남]]+표1[[#This Row],[졸업합계/여]]+L39)*표1[[#This Row],[의사고시 합격자수]]</f>
        <v>0</v>
      </c>
      <c r="T40" s="5">
        <f>(L39*V39)/(표1[[#This Row],[졸업합계/남]]+표1[[#This Row],[졸업합계/여]]+L39)*표1[[#This Row],[의사고시 합격자수]]</f>
        <v>34.166305046933928</v>
      </c>
      <c r="U40" s="5">
        <f>(L39*(1-V39))/(표1[[#This Row],[졸업합계/남]]+표1[[#This Row],[졸업합계/여]]+L39)*표1[[#This Row],[의사고시 합격자수]]</f>
        <v>4.6693606867725928</v>
      </c>
      <c r="V40" s="40">
        <f>표1[[#This Row],[의대졸비율/남]]+표1[[#This Row],[의전졸비율/남]]+표1[[#This Row],[불합비율/남]]</f>
        <v>0.84712978098936598</v>
      </c>
      <c r="W40" s="6">
        <f t="shared" si="11"/>
        <v>0.83446621351459427</v>
      </c>
      <c r="X40" s="6">
        <f t="shared" si="12"/>
        <v>0.15113954418232706</v>
      </c>
      <c r="Y40" s="6">
        <f t="shared" si="5"/>
        <v>0</v>
      </c>
      <c r="Z40" s="6">
        <f t="shared" si="6"/>
        <v>0</v>
      </c>
      <c r="AA40" s="6">
        <f t="shared" si="7"/>
        <v>1.2663567474771657E-2</v>
      </c>
      <c r="AB40" s="6">
        <f t="shared" si="8"/>
        <v>1.7306748283071136E-3</v>
      </c>
      <c r="AC40" s="5">
        <f>표1[[#This Row],[의사수비율]]*0.5553*표1[[#This Row],[의사고시 합격자수]]</f>
        <v>1290.3505812882684</v>
      </c>
      <c r="AD40" s="5">
        <v>759.46078536585367</v>
      </c>
      <c r="AE40" s="16">
        <f>표1[[#This Row],[군입대]]/표1[[#This Row],[의대졸합격/남]]</f>
        <v>0.57313511682187324</v>
      </c>
      <c r="AF40" s="39">
        <v>2087</v>
      </c>
      <c r="AG40" s="39">
        <v>378</v>
      </c>
      <c r="AH40" s="39">
        <v>0</v>
      </c>
      <c r="AI40" s="39">
        <v>0</v>
      </c>
      <c r="AJ40" s="39">
        <f t="shared" si="9"/>
        <v>2087</v>
      </c>
      <c r="AK40" s="39">
        <f t="shared" si="10"/>
        <v>378</v>
      </c>
    </row>
    <row r="41" spans="1:37" x14ac:dyDescent="0.25">
      <c r="A41" s="1">
        <v>1989</v>
      </c>
      <c r="B41" s="9">
        <v>42449038</v>
      </c>
      <c r="C41" s="10">
        <v>39672</v>
      </c>
      <c r="D41" s="7">
        <v>33995</v>
      </c>
      <c r="E41" s="7">
        <v>5677</v>
      </c>
      <c r="F41" s="14">
        <f>표1[[#This Row],[의사수/남]]/표1[[#This Row],[의사수/계]]</f>
        <v>0.85690159306311753</v>
      </c>
      <c r="G41" s="4">
        <v>0</v>
      </c>
      <c r="H41" s="29">
        <v>3170</v>
      </c>
      <c r="I41" s="29">
        <v>3157</v>
      </c>
      <c r="J41" s="1">
        <v>2933</v>
      </c>
      <c r="K41" s="1">
        <v>237</v>
      </c>
      <c r="L41" s="35">
        <v>224</v>
      </c>
      <c r="M41" s="1">
        <f t="shared" si="4"/>
        <v>37762</v>
      </c>
      <c r="N41" s="1">
        <f>(-5*(표1[[#This Row],[년도]]-1950)^2/100000)+(16*(표1[[#This Row],[년도]]-1950)/10000)+0.8551</f>
        <v>0.84144999999999992</v>
      </c>
      <c r="O41" s="19">
        <f>(표1[[#This Row],[의대졸비율/남]]+표1[[#This Row],[의전졸비율/남]]+표1[[#This Row],[불합비율/남]])-표1[[#This Row],[의사고시성비추세]]</f>
        <v>-3.3292618732790324E-2</v>
      </c>
      <c r="P41" s="5">
        <f>(표1[[#This Row],[의대졸업/남]])/(표1[[#This Row],[졸업합계/남]]+표1[[#This Row],[졸업합계/여]]+L40)*표1[[#This Row],[의사고시 합격자수]]</f>
        <v>2270.5001581777919</v>
      </c>
      <c r="Q41" s="5">
        <f>(표1[[#This Row],[의대졸업/여]])/(표1[[#This Row],[졸업합계/남]]+표1[[#This Row],[졸업합계/여]]+L40)*표1[[#This Row],[의사고시 합격자수]]</f>
        <v>544.66023410313187</v>
      </c>
      <c r="R41" s="5">
        <f>(표1[[#This Row],[의전원졸업/남]])/(표1[[#This Row],[졸업합계/남]]+표1[[#This Row],[졸업합계/여]]+L40)*표1[[#This Row],[의사고시 합격자수]]</f>
        <v>0</v>
      </c>
      <c r="S41" s="5">
        <f>(표1[[#This Row],[의전원졸업/여]])/(표1[[#This Row],[졸업합계/남]]+표1[[#This Row],[졸업합계/여]]+L40)*표1[[#This Row],[의사고시 합격자수]]</f>
        <v>0</v>
      </c>
      <c r="T41" s="5">
        <f>(L40*V40)/(표1[[#This Row],[졸업합계/남]]+표1[[#This Row],[졸업합계/여]]+L40)*표1[[#This Row],[의사고시 합격자수]]</f>
        <v>99.825441078933864</v>
      </c>
      <c r="U41" s="5">
        <f>(L40*(1-V40))/(표1[[#This Row],[졸업합계/남]]+표1[[#This Row],[졸업합계/여]]+L40)*표1[[#This Row],[의사고시 합격자수]]</f>
        <v>18.014166640142385</v>
      </c>
      <c r="V41" s="40">
        <f>표1[[#This Row],[의대졸비율/남]]+표1[[#This Row],[의전졸비율/남]]+표1[[#This Row],[불합비율/남]]</f>
        <v>0.8081573812672096</v>
      </c>
      <c r="W41" s="6">
        <f t="shared" si="11"/>
        <v>0.774122113255299</v>
      </c>
      <c r="X41" s="6">
        <f t="shared" si="12"/>
        <v>0.18570072761784243</v>
      </c>
      <c r="Y41" s="6">
        <f t="shared" si="5"/>
        <v>0</v>
      </c>
      <c r="Z41" s="6">
        <f t="shared" si="6"/>
        <v>0</v>
      </c>
      <c r="AA41" s="6">
        <f t="shared" si="7"/>
        <v>3.4035268011910626E-2</v>
      </c>
      <c r="AB41" s="6">
        <f t="shared" si="8"/>
        <v>6.1418911149479661E-3</v>
      </c>
      <c r="AC41" s="5">
        <f>표1[[#This Row],[의사수비율]]*0.5553*표1[[#This Row],[의사고시 합격자수]]</f>
        <v>1395.6312544237749</v>
      </c>
      <c r="AD41" s="5">
        <v>987.93876910262111</v>
      </c>
      <c r="AE41" s="16">
        <f>표1[[#This Row],[군입대]]/표1[[#This Row],[의대졸합격/남]]</f>
        <v>0.61468009565956161</v>
      </c>
      <c r="AF41" s="39">
        <v>2447</v>
      </c>
      <c r="AG41" s="39">
        <v>587</v>
      </c>
      <c r="AH41" s="39">
        <v>0</v>
      </c>
      <c r="AI41" s="39">
        <v>0</v>
      </c>
      <c r="AJ41" s="39">
        <f t="shared" si="9"/>
        <v>2447</v>
      </c>
      <c r="AK41" s="39">
        <f t="shared" si="10"/>
        <v>587</v>
      </c>
    </row>
    <row r="42" spans="1:37" x14ac:dyDescent="0.25">
      <c r="A42" s="1">
        <v>1990</v>
      </c>
      <c r="B42" s="9">
        <v>42869283</v>
      </c>
      <c r="C42" s="7">
        <v>42458</v>
      </c>
      <c r="D42" s="7">
        <v>36238</v>
      </c>
      <c r="E42" s="7">
        <v>6220</v>
      </c>
      <c r="F42" s="14">
        <f>표1[[#This Row],[의사수/남]]/표1[[#This Row],[의사수/계]]</f>
        <v>0.85350228461067412</v>
      </c>
      <c r="G42" s="4">
        <v>0</v>
      </c>
      <c r="H42" s="28">
        <v>3135</v>
      </c>
      <c r="I42" s="28">
        <v>3108</v>
      </c>
      <c r="J42" s="1">
        <v>2798</v>
      </c>
      <c r="K42" s="1">
        <v>337</v>
      </c>
      <c r="L42" s="35">
        <v>310</v>
      </c>
      <c r="M42" s="1">
        <f t="shared" si="4"/>
        <v>40560</v>
      </c>
      <c r="N42" s="1">
        <f>(-5*(표1[[#This Row],[년도]]-1950)^2/100000)+(16*(표1[[#This Row],[년도]]-1950)/10000)+0.8551</f>
        <v>0.83909999999999996</v>
      </c>
      <c r="O42" s="19">
        <f>(표1[[#This Row],[의대졸비율/남]]+표1[[#This Row],[의전졸비율/남]]+표1[[#This Row],[불합비율/남]])-표1[[#This Row],[의사고시성비추세]]</f>
        <v>-3.7596174527266046E-2</v>
      </c>
      <c r="P42" s="5">
        <f>(표1[[#This Row],[의대졸업/남]])/(표1[[#This Row],[졸업합계/남]]+표1[[#This Row],[졸업합계/여]]+L41)*표1[[#This Row],[의사고시 합격자수]]</f>
        <v>2062.4176449662041</v>
      </c>
      <c r="Q42" s="5">
        <f>(표1[[#This Row],[의대졸업/여]])/(표1[[#This Row],[졸업합계/남]]+표1[[#This Row],[졸업합계/여]]+L41)*표1[[#This Row],[의사고시 합격자수]]</f>
        <v>512.6182853077197</v>
      </c>
      <c r="R42" s="5">
        <f>(표1[[#This Row],[의전원졸업/남]])/(표1[[#This Row],[졸업합계/남]]+표1[[#This Row],[졸업합계/여]]+L41)*표1[[#This Row],[의사고시 합격자수]]</f>
        <v>0</v>
      </c>
      <c r="S42" s="5">
        <f>(표1[[#This Row],[의전원졸업/여]])/(표1[[#This Row],[졸업합계/남]]+표1[[#This Row],[졸업합계/여]]+L41)*표1[[#This Row],[의사고시 합격자수]]</f>
        <v>0</v>
      </c>
      <c r="T42" s="5">
        <f>(L41*V41)/(표1[[#This Row],[졸업합계/남]]+표1[[#This Row],[졸업합계/여]]+L41)*표1[[#This Row],[의사고시 합격자수]]</f>
        <v>180.1900587065052</v>
      </c>
      <c r="U42" s="5">
        <f>(L41*(1-V41))/(표1[[#This Row],[졸업합계/남]]+표1[[#This Row],[졸업합계/여]]+L41)*표1[[#This Row],[의사고시 합격자수]]</f>
        <v>42.774011019570921</v>
      </c>
      <c r="V42" s="40">
        <f>표1[[#This Row],[의대졸비율/남]]+표1[[#This Row],[의전졸비율/남]]+표1[[#This Row],[불합비율/남]]</f>
        <v>0.80150382547273391</v>
      </c>
      <c r="W42" s="6">
        <f t="shared" si="11"/>
        <v>0.73710423336890785</v>
      </c>
      <c r="X42" s="6">
        <f t="shared" si="12"/>
        <v>0.18320882248310211</v>
      </c>
      <c r="Y42" s="6">
        <f t="shared" si="5"/>
        <v>0</v>
      </c>
      <c r="Z42" s="6">
        <f t="shared" si="6"/>
        <v>0</v>
      </c>
      <c r="AA42" s="6">
        <f t="shared" si="7"/>
        <v>6.4399592103826023E-2</v>
      </c>
      <c r="AB42" s="6">
        <f t="shared" si="8"/>
        <v>1.5287352044164017E-2</v>
      </c>
      <c r="AC42" s="5">
        <f>표1[[#This Row],[의사수비율]]*0.5553*표1[[#This Row],[의사고시 합격자수]]</f>
        <v>1326.1115925667721</v>
      </c>
      <c r="AD42" s="5">
        <v>1245.3301288203716</v>
      </c>
      <c r="AE42" s="16">
        <f>표1[[#This Row],[군입대]]/표1[[#This Row],[의대졸합격/남]]</f>
        <v>0.64298887075731093</v>
      </c>
      <c r="AF42" s="39">
        <v>2072</v>
      </c>
      <c r="AG42" s="39">
        <v>515</v>
      </c>
      <c r="AH42" s="39">
        <v>0</v>
      </c>
      <c r="AI42" s="39">
        <v>0</v>
      </c>
      <c r="AJ42" s="39">
        <f t="shared" si="9"/>
        <v>2072</v>
      </c>
      <c r="AK42" s="39">
        <f t="shared" si="10"/>
        <v>515</v>
      </c>
    </row>
    <row r="43" spans="1:37" x14ac:dyDescent="0.25">
      <c r="A43" s="1">
        <v>1991</v>
      </c>
      <c r="B43" s="9">
        <v>43295704</v>
      </c>
      <c r="C43" s="10">
        <v>45401</v>
      </c>
      <c r="D43" s="7">
        <v>38356</v>
      </c>
      <c r="E43" s="7">
        <v>7045</v>
      </c>
      <c r="F43" s="14">
        <f>표1[[#This Row],[의사수/남]]/표1[[#This Row],[의사수/계]]</f>
        <v>0.84482720644919718</v>
      </c>
      <c r="G43" s="4">
        <v>0</v>
      </c>
      <c r="H43" s="29">
        <v>3212</v>
      </c>
      <c r="I43" s="29">
        <v>3196</v>
      </c>
      <c r="J43" s="1">
        <v>2964</v>
      </c>
      <c r="K43" s="1">
        <v>248</v>
      </c>
      <c r="L43" s="35">
        <v>232</v>
      </c>
      <c r="M43" s="1">
        <f t="shared" si="4"/>
        <v>43524</v>
      </c>
      <c r="N43" s="1">
        <f>(-5*(표1[[#This Row],[년도]]-1950)^2/100000)+(16*(표1[[#This Row],[년도]]-1950)/10000)+0.8551</f>
        <v>0.83665</v>
      </c>
      <c r="O43" s="19">
        <f>(표1[[#This Row],[의대졸비율/남]]+표1[[#This Row],[의전졸비율/남]]+표1[[#This Row],[불합비율/남]])-표1[[#This Row],[의사고시성비추세]]</f>
        <v>-3.3011139770259601E-2</v>
      </c>
      <c r="P43" s="5">
        <f>(표1[[#This Row],[의대졸업/남]])/(표1[[#This Row],[졸업합계/남]]+표1[[#This Row],[졸업합계/여]]+L42)*표1[[#This Row],[의사고시 합격자수]]</f>
        <v>2152.2744853399877</v>
      </c>
      <c r="Q43" s="5">
        <f>(표1[[#This Row],[의대졸업/여]])/(표1[[#This Row],[졸업합계/남]]+표1[[#This Row],[졸업합계/여]]+L42)*표1[[#This Row],[의사고시 합격자수]]</f>
        <v>525.12538989394886</v>
      </c>
      <c r="R43" s="5">
        <f>(표1[[#This Row],[의전원졸업/남]])/(표1[[#This Row],[졸업합계/남]]+표1[[#This Row],[졸업합계/여]]+L42)*표1[[#This Row],[의사고시 합격자수]]</f>
        <v>0</v>
      </c>
      <c r="S43" s="5">
        <f>(표1[[#This Row],[의전원졸업/여]])/(표1[[#This Row],[졸업합계/남]]+표1[[#This Row],[졸업합계/여]]+L42)*표1[[#This Row],[의사고시 합격자수]]</f>
        <v>0</v>
      </c>
      <c r="T43" s="5">
        <f>(L42*V42)/(표1[[#This Row],[졸업합계/남]]+표1[[#This Row],[졸업합계/여]]+L42)*표1[[#This Row],[의사고시 합격자수]]</f>
        <v>229.7110963809628</v>
      </c>
      <c r="U43" s="5">
        <f>(L42*(1-V42))/(표1[[#This Row],[졸업합계/남]]+표1[[#This Row],[졸업합계/여]]+L42)*표1[[#This Row],[의사고시 합격자수]]</f>
        <v>56.889028385100794</v>
      </c>
      <c r="V43" s="40">
        <f>표1[[#This Row],[의대졸비율/남]]+표1[[#This Row],[의전졸비율/남]]+표1[[#This Row],[불합비율/남]]</f>
        <v>0.8036388602297404</v>
      </c>
      <c r="W43" s="6">
        <f t="shared" si="11"/>
        <v>0.72613849033063016</v>
      </c>
      <c r="X43" s="6">
        <f t="shared" si="12"/>
        <v>0.17716781035558329</v>
      </c>
      <c r="Y43" s="6">
        <f t="shared" si="5"/>
        <v>0</v>
      </c>
      <c r="Z43" s="6">
        <f t="shared" si="6"/>
        <v>0</v>
      </c>
      <c r="AA43" s="6">
        <f t="shared" si="7"/>
        <v>7.7500369899110258E-2</v>
      </c>
      <c r="AB43" s="6">
        <f t="shared" si="8"/>
        <v>1.9193329414676382E-2</v>
      </c>
      <c r="AC43" s="5">
        <f>표1[[#This Row],[의사수비율]]*0.5553*표1[[#This Row],[의사고시 합격자수]]</f>
        <v>1390.5088715050329</v>
      </c>
      <c r="AD43" s="5">
        <v>1290.3505812882684</v>
      </c>
      <c r="AE43" s="16">
        <f>표1[[#This Row],[군입대]]/표1[[#This Row],[의대졸합격/남]]</f>
        <v>0.64606484023127686</v>
      </c>
      <c r="AF43" s="39">
        <v>2328</v>
      </c>
      <c r="AG43" s="39">
        <v>568</v>
      </c>
      <c r="AH43" s="39">
        <v>0</v>
      </c>
      <c r="AI43" s="39">
        <v>0</v>
      </c>
      <c r="AJ43" s="39">
        <f t="shared" si="9"/>
        <v>2328</v>
      </c>
      <c r="AK43" s="39">
        <f t="shared" si="10"/>
        <v>568</v>
      </c>
    </row>
    <row r="44" spans="1:37" x14ac:dyDescent="0.25">
      <c r="A44" s="1">
        <v>1992</v>
      </c>
      <c r="B44" s="9">
        <v>43747962</v>
      </c>
      <c r="C44" s="10">
        <v>48295</v>
      </c>
      <c r="D44" s="7">
        <v>40671</v>
      </c>
      <c r="E44" s="7">
        <v>7624</v>
      </c>
      <c r="F44" s="14">
        <f>표1[[#This Row],[의사수/남]]/표1[[#This Row],[의사수/계]]</f>
        <v>0.8421368671705145</v>
      </c>
      <c r="G44" s="4">
        <v>0</v>
      </c>
      <c r="H44" s="28">
        <v>3171</v>
      </c>
      <c r="I44" s="28">
        <v>3135</v>
      </c>
      <c r="J44" s="1">
        <v>2914</v>
      </c>
      <c r="K44" s="1">
        <v>257</v>
      </c>
      <c r="L44" s="35">
        <v>221</v>
      </c>
      <c r="M44" s="1">
        <f t="shared" si="4"/>
        <v>46438</v>
      </c>
      <c r="N44" s="1">
        <f>(-5*(표1[[#This Row],[년도]]-1950)^2/100000)+(16*(표1[[#This Row],[년도]]-1950)/10000)+0.8551</f>
        <v>0.83409999999999995</v>
      </c>
      <c r="O44" s="19">
        <f>(표1[[#This Row],[의대졸비율/남]]+표1[[#This Row],[의전졸비율/남]]+표1[[#This Row],[불합비율/남]])-표1[[#This Row],[의사고시성비추세]]</f>
        <v>-3.9677824376398108E-2</v>
      </c>
      <c r="P44" s="5">
        <f>(표1[[#This Row],[의대졸업/남]])/(표1[[#This Row],[졸업합계/남]]+표1[[#This Row],[졸업합계/여]]+L43)*표1[[#This Row],[의사고시 합격자수]]</f>
        <v>2134.0878828229029</v>
      </c>
      <c r="Q44" s="5">
        <f>(표1[[#This Row],[의대졸업/여]])/(표1[[#This Row],[졸업합계/남]]+표1[[#This Row],[졸업합계/여]]+L43)*표1[[#This Row],[의사고시 합격자수]]</f>
        <v>554.86284953395477</v>
      </c>
      <c r="R44" s="5">
        <f>(표1[[#This Row],[의전원졸업/남]])/(표1[[#This Row],[졸업합계/남]]+표1[[#This Row],[졸업합계/여]]+L43)*표1[[#This Row],[의사고시 합격자수]]</f>
        <v>0</v>
      </c>
      <c r="S44" s="5">
        <f>(표1[[#This Row],[의전원졸업/여]])/(표1[[#This Row],[졸업합계/남]]+표1[[#This Row],[졸업합계/여]]+L43)*표1[[#This Row],[의사고시 합격자수]]</f>
        <v>0</v>
      </c>
      <c r="T44" s="5">
        <f>(L43*V43)/(표1[[#This Row],[졸업합계/남]]+표1[[#This Row],[졸업합계/여]]+L43)*표1[[#This Row],[의사고시 합격자수]]</f>
        <v>180.85833694427282</v>
      </c>
      <c r="U44" s="5">
        <f>(L43*(1-V43))/(표1[[#This Row],[졸업합계/남]]+표1[[#This Row],[졸업합계/여]]+L43)*표1[[#This Row],[의사고시 합격자수]]</f>
        <v>44.190930698869664</v>
      </c>
      <c r="V44" s="40">
        <f>표1[[#This Row],[의대졸비율/남]]+표1[[#This Row],[의전졸비율/남]]+표1[[#This Row],[불합비율/남]]</f>
        <v>0.79442217562360185</v>
      </c>
      <c r="W44" s="6">
        <f t="shared" si="11"/>
        <v>0.73235685752330226</v>
      </c>
      <c r="X44" s="6">
        <f t="shared" si="12"/>
        <v>0.1904127829560586</v>
      </c>
      <c r="Y44" s="6">
        <f t="shared" si="5"/>
        <v>0</v>
      </c>
      <c r="Z44" s="6">
        <f t="shared" si="6"/>
        <v>0</v>
      </c>
      <c r="AA44" s="6">
        <f t="shared" si="7"/>
        <v>6.2065318100299527E-2</v>
      </c>
      <c r="AB44" s="6">
        <f t="shared" si="8"/>
        <v>1.5165041420339623E-2</v>
      </c>
      <c r="AC44" s="5">
        <f>표1[[#This Row],[의사수비율]]*0.5553*표1[[#This Row],[의사고시 합격자수]]</f>
        <v>1362.6988872181385</v>
      </c>
      <c r="AD44" s="5">
        <v>1395.6312544237749</v>
      </c>
      <c r="AE44" s="16">
        <f>표1[[#This Row],[군입대]]/표1[[#This Row],[의대졸합격/남]]</f>
        <v>0.63853925519487231</v>
      </c>
      <c r="AF44" s="39">
        <v>2200</v>
      </c>
      <c r="AG44" s="39">
        <v>572</v>
      </c>
      <c r="AH44" s="39">
        <v>0</v>
      </c>
      <c r="AI44" s="39">
        <v>0</v>
      </c>
      <c r="AJ44" s="39">
        <f t="shared" si="9"/>
        <v>2200</v>
      </c>
      <c r="AK44" s="39">
        <f t="shared" si="10"/>
        <v>572</v>
      </c>
    </row>
    <row r="45" spans="1:37" x14ac:dyDescent="0.25">
      <c r="A45" s="1">
        <v>1993</v>
      </c>
      <c r="B45" s="9">
        <v>44194628</v>
      </c>
      <c r="C45" s="10">
        <v>51425</v>
      </c>
      <c r="D45" s="7">
        <v>42776</v>
      </c>
      <c r="E45" s="7">
        <v>8649</v>
      </c>
      <c r="F45" s="14">
        <f>표1[[#This Row],[의사수/남]]/표1[[#This Row],[의사수/계]]</f>
        <v>0.83181332036947009</v>
      </c>
      <c r="G45" s="4">
        <v>0</v>
      </c>
      <c r="H45" s="29">
        <v>3197</v>
      </c>
      <c r="I45" s="29">
        <v>3182</v>
      </c>
      <c r="J45" s="1">
        <v>3111</v>
      </c>
      <c r="K45" s="1">
        <v>86</v>
      </c>
      <c r="L45" s="35">
        <v>71</v>
      </c>
      <c r="M45" s="1">
        <f t="shared" si="4"/>
        <v>49549</v>
      </c>
      <c r="N45" s="1">
        <f>(-5*(표1[[#This Row],[년도]]-1950)^2/100000)+(16*(표1[[#This Row],[년도]]-1950)/10000)+0.8551</f>
        <v>0.83145000000000002</v>
      </c>
      <c r="O45" s="19">
        <f>(표1[[#This Row],[의대졸비율/남]]+표1[[#This Row],[의전졸비율/남]]+표1[[#This Row],[불합비율/남]])-표1[[#This Row],[의사고시성비추세]]</f>
        <v>-3.5803018720211743E-2</v>
      </c>
      <c r="P45" s="5">
        <f>(표1[[#This Row],[의대졸업/남]])/(표1[[#This Row],[졸업합계/남]]+표1[[#This Row],[졸업합계/여]]+L44)*표1[[#This Row],[의사고시 합격자수]]</f>
        <v>2289.9830393487109</v>
      </c>
      <c r="Q45" s="5">
        <f>(표1[[#This Row],[의대졸업/여]])/(표1[[#This Row],[졸업합계/남]]+표1[[#This Row],[졸업합계/여]]+L44)*표1[[#This Row],[의사고시 합격자수]]</f>
        <v>587.79748982360923</v>
      </c>
      <c r="R45" s="5">
        <f>(표1[[#This Row],[의전원졸업/남]])/(표1[[#This Row],[졸업합계/남]]+표1[[#This Row],[졸업합계/여]]+L44)*표1[[#This Row],[의사고시 합격자수]]</f>
        <v>0</v>
      </c>
      <c r="S45" s="5">
        <f>(표1[[#This Row],[의전원졸업/여]])/(표1[[#This Row],[졸업합계/남]]+표1[[#This Row],[졸업합계/여]]+L44)*표1[[#This Row],[의사고시 합격자수]]</f>
        <v>0</v>
      </c>
      <c r="T45" s="5">
        <f>(L44*V44)/(표1[[#This Row],[졸업합계/남]]+표1[[#This Row],[졸업합계/여]]+L44)*표1[[#This Row],[의사고시 합격자수]]</f>
        <v>185.27471941271051</v>
      </c>
      <c r="U45" s="5">
        <f>(L44*(1-V44))/(표1[[#This Row],[졸업합계/남]]+표1[[#This Row],[졸업합계/여]]+L44)*표1[[#This Row],[의사고시 합격자수]]</f>
        <v>47.944751414969268</v>
      </c>
      <c r="V45" s="40">
        <f>표1[[#This Row],[의대졸비율/남]]+표1[[#This Row],[의전졸비율/남]]+표1[[#This Row],[불합비율/남]]</f>
        <v>0.79564698127978828</v>
      </c>
      <c r="W45" s="6">
        <f t="shared" si="11"/>
        <v>0.73609226594301214</v>
      </c>
      <c r="X45" s="6">
        <f t="shared" si="12"/>
        <v>0.18894165535956581</v>
      </c>
      <c r="Y45" s="6">
        <f t="shared" si="5"/>
        <v>0</v>
      </c>
      <c r="Z45" s="6">
        <f t="shared" si="6"/>
        <v>0</v>
      </c>
      <c r="AA45" s="6">
        <f t="shared" si="7"/>
        <v>5.9554715336776122E-2</v>
      </c>
      <c r="AB45" s="6">
        <f t="shared" si="8"/>
        <v>1.541136336064586E-2</v>
      </c>
      <c r="AC45" s="5">
        <f>표1[[#This Row],[의사수비율]]*0.5553*표1[[#This Row],[의사고시 합격자수]]</f>
        <v>1436.9893693884299</v>
      </c>
      <c r="AD45" s="5">
        <v>1326.1115925667721</v>
      </c>
      <c r="AE45" s="16">
        <f>표1[[#This Row],[군입대]]/표1[[#This Row],[의대졸합격/남]]</f>
        <v>0.62751092243771411</v>
      </c>
      <c r="AF45" s="39">
        <v>2170</v>
      </c>
      <c r="AG45" s="39">
        <v>557</v>
      </c>
      <c r="AH45" s="39">
        <v>0</v>
      </c>
      <c r="AI45" s="39">
        <v>0</v>
      </c>
      <c r="AJ45" s="39">
        <f t="shared" si="9"/>
        <v>2170</v>
      </c>
      <c r="AK45" s="39">
        <f t="shared" si="10"/>
        <v>557</v>
      </c>
    </row>
    <row r="46" spans="1:37" x14ac:dyDescent="0.25">
      <c r="A46" s="1">
        <v>1994</v>
      </c>
      <c r="B46" s="9">
        <v>44641540</v>
      </c>
      <c r="C46" s="10">
        <v>54314</v>
      </c>
      <c r="D46" s="7">
        <v>44718</v>
      </c>
      <c r="E46" s="7">
        <v>9596</v>
      </c>
      <c r="F46" s="14">
        <f>표1[[#This Row],[의사수/남]]/표1[[#This Row],[의사수/계]]</f>
        <v>0.82332363663143937</v>
      </c>
      <c r="G46" s="4">
        <v>0</v>
      </c>
      <c r="H46" s="28">
        <v>3007</v>
      </c>
      <c r="I46" s="28">
        <v>2981</v>
      </c>
      <c r="J46" s="1">
        <v>2905</v>
      </c>
      <c r="K46" s="1">
        <v>102</v>
      </c>
      <c r="L46" s="35">
        <v>76</v>
      </c>
      <c r="M46" s="1">
        <f t="shared" si="4"/>
        <v>52454</v>
      </c>
      <c r="N46" s="1">
        <f>(-5*(표1[[#This Row],[년도]]-1950)^2/100000)+(16*(표1[[#This Row],[년도]]-1950)/10000)+0.8551</f>
        <v>0.82869999999999999</v>
      </c>
      <c r="O46" s="19">
        <f>(표1[[#This Row],[의대졸비율/남]]+표1[[#This Row],[의전졸비율/남]]+표1[[#This Row],[불합비율/남]])-표1[[#This Row],[의사고시성비추세]]</f>
        <v>-1.5205574021212587E-2</v>
      </c>
      <c r="P46" s="5">
        <f>(표1[[#This Row],[의대졸업/남]])/(표1[[#This Row],[졸업합계/남]]+표1[[#This Row],[졸업합계/여]]+L45)*표1[[#This Row],[의사고시 합격자수]]</f>
        <v>2306.259541984733</v>
      </c>
      <c r="Q46" s="5">
        <f>(표1[[#This Row],[의대졸업/여]])/(표1[[#This Row],[졸업합계/남]]+표1[[#This Row],[졸업합계/여]]+L45)*표1[[#This Row],[의사고시 합격자수]]</f>
        <v>527.17383761276892</v>
      </c>
      <c r="R46" s="5">
        <f>(표1[[#This Row],[의전원졸업/남]])/(표1[[#This Row],[졸업합계/남]]+표1[[#This Row],[졸업합계/여]]+L45)*표1[[#This Row],[의사고시 합격자수]]</f>
        <v>0</v>
      </c>
      <c r="S46" s="5">
        <f>(표1[[#This Row],[의전원졸업/여]])/(표1[[#This Row],[졸업합계/남]]+표1[[#This Row],[졸업합계/여]]+L45)*표1[[#This Row],[의사고시 합격자수]]</f>
        <v>0</v>
      </c>
      <c r="T46" s="5">
        <f>(L45*V45)/(표1[[#This Row],[졸업합계/남]]+표1[[#This Row],[졸업합계/여]]+L45)*표1[[#This Row],[의사고시 합격자수]]</f>
        <v>56.941765483644254</v>
      </c>
      <c r="U46" s="5">
        <f>(L45*(1-V45))/(표1[[#This Row],[졸업합계/남]]+표1[[#This Row],[졸업합계/여]]+L45)*표1[[#This Row],[의사고시 합격자수]]</f>
        <v>14.624854918854014</v>
      </c>
      <c r="V46" s="40">
        <f>표1[[#This Row],[의대졸비율/남]]+표1[[#This Row],[의전졸비율/남]]+표1[[#This Row],[불합비율/남]]</f>
        <v>0.81349442597878741</v>
      </c>
      <c r="W46" s="6">
        <f t="shared" si="11"/>
        <v>0.79389312977099247</v>
      </c>
      <c r="X46" s="6">
        <f t="shared" si="12"/>
        <v>0.18147120055517002</v>
      </c>
      <c r="Y46" s="6">
        <f t="shared" si="5"/>
        <v>0</v>
      </c>
      <c r="Z46" s="6">
        <f t="shared" si="6"/>
        <v>0</v>
      </c>
      <c r="AA46" s="6">
        <f t="shared" si="7"/>
        <v>1.9601296207794924E-2</v>
      </c>
      <c r="AB46" s="6">
        <f t="shared" si="8"/>
        <v>5.0343734660426897E-3</v>
      </c>
      <c r="AC46" s="5">
        <f>표1[[#This Row],[의사수비율]]*0.5553*표1[[#This Row],[의사고시 합격자수]]</f>
        <v>1328.1416427992781</v>
      </c>
      <c r="AD46" s="5">
        <v>1390.5088715050329</v>
      </c>
      <c r="AE46" s="16">
        <f>표1[[#This Row],[군입대]]/표1[[#This Row],[의대졸합격/남]]</f>
        <v>0.57588559250200388</v>
      </c>
      <c r="AF46" s="39">
        <v>2288</v>
      </c>
      <c r="AG46" s="39">
        <v>523</v>
      </c>
      <c r="AH46" s="39">
        <v>0</v>
      </c>
      <c r="AI46" s="39">
        <v>0</v>
      </c>
      <c r="AJ46" s="39">
        <f t="shared" si="9"/>
        <v>2288</v>
      </c>
      <c r="AK46" s="39">
        <f t="shared" si="10"/>
        <v>523</v>
      </c>
    </row>
    <row r="47" spans="1:37" x14ac:dyDescent="0.25">
      <c r="A47" s="1">
        <v>1995</v>
      </c>
      <c r="B47" s="9">
        <v>45092991</v>
      </c>
      <c r="C47" s="7">
        <v>57096</v>
      </c>
      <c r="D47" s="7">
        <v>46911</v>
      </c>
      <c r="E47" s="7">
        <v>10185</v>
      </c>
      <c r="F47" s="14">
        <f>표1[[#This Row],[의사수/남]]/표1[[#This Row],[의사수/계]]</f>
        <v>0.82161622530474987</v>
      </c>
      <c r="G47" s="4">
        <v>0</v>
      </c>
      <c r="H47" s="29">
        <f>2984</f>
        <v>2984</v>
      </c>
      <c r="I47" s="29">
        <v>1048</v>
      </c>
      <c r="J47" s="1">
        <v>2807</v>
      </c>
      <c r="K47" s="1">
        <v>1236</v>
      </c>
      <c r="L47" s="35">
        <v>150</v>
      </c>
      <c r="M47" s="1">
        <f t="shared" si="4"/>
        <v>55261</v>
      </c>
      <c r="N47" s="1">
        <f>(-5*(표1[[#This Row],[년도]]-1950)^2/100000)+(16*(표1[[#This Row],[년도]]-1950)/10000)+0.8551</f>
        <v>0.82584999999999997</v>
      </c>
      <c r="O47" s="19">
        <f>(표1[[#This Row],[의대졸비율/남]]+표1[[#This Row],[의전졸비율/남]]+표1[[#This Row],[불합비율/남]])-표1[[#This Row],[의사고시성비추세]]</f>
        <v>-7.1362019957561529E-3</v>
      </c>
      <c r="P47" s="5">
        <f>(표1[[#This Row],[의대졸업/남]])/(표1[[#This Row],[졸업합계/남]]+표1[[#This Row],[졸업합계/여]]+L46)*표1[[#This Row],[의사고시 합격자수]]</f>
        <v>2238.6762589928057</v>
      </c>
      <c r="Q47" s="5">
        <f>(표1[[#This Row],[의대졸업/여]])/(표1[[#This Row],[졸업합계/남]]+표1[[#This Row],[졸업합계/여]]+L46)*표1[[#This Row],[의사고시 합격자수]]</f>
        <v>495.23980815347721</v>
      </c>
      <c r="R47" s="5">
        <f>(표1[[#This Row],[의전원졸업/남]])/(표1[[#This Row],[졸업합계/남]]+표1[[#This Row],[졸업합계/여]]+L46)*표1[[#This Row],[의사고시 합격자수]]</f>
        <v>0</v>
      </c>
      <c r="S47" s="5">
        <f>(표1[[#This Row],[의전원졸업/여]])/(표1[[#This Row],[졸업합계/남]]+표1[[#This Row],[졸업합계/여]]+L46)*표1[[#This Row],[의사고시 합격자수]]</f>
        <v>0</v>
      </c>
      <c r="T47" s="5">
        <f>(L46*V46)/(표1[[#This Row],[졸업합계/남]]+표1[[#This Row],[졸업합계/여]]+L46)*표1[[#This Row],[의사고시 합격자수]]</f>
        <v>59.453372005106779</v>
      </c>
      <c r="U47" s="5">
        <f>(L46*(1-V46))/(표1[[#This Row],[졸업합계/남]]+표1[[#This Row],[졸업합계/여]]+L46)*표1[[#This Row],[의사고시 합격자수]]</f>
        <v>13.630560848610251</v>
      </c>
      <c r="V47" s="40">
        <f>표1[[#This Row],[의대졸비율/남]]+표1[[#This Row],[의전졸비율/남]]+표1[[#This Row],[불합비율/남]]</f>
        <v>0.81871379800424382</v>
      </c>
      <c r="W47" s="6">
        <f t="shared" si="11"/>
        <v>0.79753340184994859</v>
      </c>
      <c r="X47" s="6">
        <f t="shared" si="12"/>
        <v>0.17643028434395341</v>
      </c>
      <c r="Y47" s="6">
        <f t="shared" si="5"/>
        <v>0</v>
      </c>
      <c r="Z47" s="6">
        <f t="shared" si="6"/>
        <v>0</v>
      </c>
      <c r="AA47" s="6">
        <f t="shared" si="7"/>
        <v>2.1180396154295254E-2</v>
      </c>
      <c r="AB47" s="6">
        <f t="shared" si="8"/>
        <v>4.8559176518027259E-3</v>
      </c>
      <c r="AC47" s="5">
        <f>표1[[#This Row],[의사수비율]]*0.5553*표1[[#This Row],[의사고시 합격자수]]</f>
        <v>1280.6754761822194</v>
      </c>
      <c r="AD47" s="5">
        <v>1362.6988872181385</v>
      </c>
      <c r="AE47" s="16">
        <f>표1[[#This Row],[군입대]]/표1[[#This Row],[의대졸합격/남]]</f>
        <v>0.57206819031457601</v>
      </c>
      <c r="AF47" s="39">
        <v>2328</v>
      </c>
      <c r="AG47" s="39">
        <v>515</v>
      </c>
      <c r="AH47" s="39">
        <v>0</v>
      </c>
      <c r="AI47" s="39">
        <v>0</v>
      </c>
      <c r="AJ47" s="39">
        <f t="shared" si="9"/>
        <v>2328</v>
      </c>
      <c r="AK47" s="39">
        <f t="shared" si="10"/>
        <v>515</v>
      </c>
    </row>
    <row r="48" spans="1:37" x14ac:dyDescent="0.25">
      <c r="A48" s="1">
        <v>1996</v>
      </c>
      <c r="B48" s="9">
        <v>45524681</v>
      </c>
      <c r="C48" s="10">
        <v>59307</v>
      </c>
      <c r="D48" s="7">
        <v>48613</v>
      </c>
      <c r="E48" s="7">
        <v>10694</v>
      </c>
      <c r="F48" s="14">
        <f>표1[[#This Row],[의사수/남]]/표1[[#This Row],[의사수/계]]</f>
        <v>0.81968401706375305</v>
      </c>
      <c r="G48" s="4">
        <v>0</v>
      </c>
      <c r="H48" s="28">
        <v>3077</v>
      </c>
      <c r="I48" s="28">
        <v>3054</v>
      </c>
      <c r="J48" s="1">
        <v>2193</v>
      </c>
      <c r="K48" s="1">
        <v>884</v>
      </c>
      <c r="L48" s="35">
        <v>861</v>
      </c>
      <c r="M48" s="1">
        <f t="shared" si="4"/>
        <v>57454</v>
      </c>
      <c r="N48" s="1">
        <f>(-5*(표1[[#This Row],[년도]]-1950)^2/100000)+(16*(표1[[#This Row],[년도]]-1950)/10000)+0.8551</f>
        <v>0.82289999999999996</v>
      </c>
      <c r="O48" s="19">
        <f>(표1[[#This Row],[의대졸비율/남]]+표1[[#This Row],[의전졸비율/남]]+표1[[#This Row],[불합비율/남]])-표1[[#This Row],[의사고시성비추세]]</f>
        <v>-2.5112852301614197E-2</v>
      </c>
      <c r="P48" s="5">
        <f>(표1[[#This Row],[의대졸업/남]])/(표1[[#This Row],[졸업합계/남]]+표1[[#This Row],[졸업합계/여]]+L47)*표1[[#This Row],[의사고시 합격자수]]</f>
        <v>1656.3260643821391</v>
      </c>
      <c r="Q48" s="5">
        <f>(표1[[#This Row],[의대졸업/여]])/(표1[[#This Row],[졸업합계/남]]+표1[[#This Row],[졸업합계/여]]+L47)*표1[[#This Row],[의사고시 합격자수]]</f>
        <v>422.81100726895119</v>
      </c>
      <c r="R48" s="5">
        <f>(표1[[#This Row],[의전원졸업/남]])/(표1[[#This Row],[졸업합계/남]]+표1[[#This Row],[졸업합계/여]]+L47)*표1[[#This Row],[의사고시 합격자수]]</f>
        <v>0</v>
      </c>
      <c r="S48" s="5">
        <f>(표1[[#This Row],[의전원졸업/여]])/(표1[[#This Row],[졸업합계/남]]+표1[[#This Row],[졸업합계/여]]+L47)*표1[[#This Row],[의사고시 합격자수]]</f>
        <v>0</v>
      </c>
      <c r="T48" s="5">
        <f>(L47*V47)/(표1[[#This Row],[졸업합계/남]]+표1[[#This Row],[졸업합계/여]]+L47)*표1[[#This Row],[의사고시 합격자수]]</f>
        <v>93.221150520420906</v>
      </c>
      <c r="U48" s="5">
        <f>(L47*(1-V47))/(표1[[#This Row],[졸업합계/남]]+표1[[#This Row],[졸업합계/여]]+L47)*표1[[#This Row],[의사고시 합격자수]]</f>
        <v>20.641777828488749</v>
      </c>
      <c r="V48" s="40">
        <f>표1[[#This Row],[의대졸비율/남]]+표1[[#This Row],[의전졸비율/남]]+표1[[#This Row],[불합비율/남]]</f>
        <v>0.79778714769838577</v>
      </c>
      <c r="W48" s="6">
        <f t="shared" si="11"/>
        <v>0.75527864312911042</v>
      </c>
      <c r="X48" s="6">
        <f t="shared" si="12"/>
        <v>0.19280027691242643</v>
      </c>
      <c r="Y48" s="6">
        <f t="shared" si="5"/>
        <v>0</v>
      </c>
      <c r="Z48" s="6">
        <f t="shared" si="6"/>
        <v>0</v>
      </c>
      <c r="AA48" s="6">
        <f t="shared" si="7"/>
        <v>4.2508504569275379E-2</v>
      </c>
      <c r="AB48" s="6">
        <f t="shared" si="8"/>
        <v>9.4125753891877561E-3</v>
      </c>
      <c r="AC48" s="5">
        <f>표1[[#This Row],[의사수비율]]*0.5553*표1[[#This Row],[의사고시 합격자수]]</f>
        <v>998.18898254337603</v>
      </c>
      <c r="AD48" s="5">
        <v>1436.9893693884299</v>
      </c>
      <c r="AE48" s="16">
        <f>표1[[#This Row],[군입대]]/표1[[#This Row],[의대졸합격/남]]</f>
        <v>0.60265246318860011</v>
      </c>
      <c r="AF48" s="39">
        <v>2182</v>
      </c>
      <c r="AG48" s="39">
        <v>557</v>
      </c>
      <c r="AH48" s="39">
        <v>0</v>
      </c>
      <c r="AI48" s="39">
        <v>0</v>
      </c>
      <c r="AJ48" s="39">
        <f t="shared" si="9"/>
        <v>2182</v>
      </c>
      <c r="AK48" s="39">
        <f t="shared" si="10"/>
        <v>557</v>
      </c>
    </row>
    <row r="49" spans="1:37" ht="17.25" thickBot="1" x14ac:dyDescent="0.3">
      <c r="A49" s="1">
        <v>1997</v>
      </c>
      <c r="B49" s="9">
        <v>45953580</v>
      </c>
      <c r="C49" s="10">
        <v>62517</v>
      </c>
      <c r="D49" s="7">
        <v>51243</v>
      </c>
      <c r="E49" s="7">
        <v>11274</v>
      </c>
      <c r="F49" s="14">
        <f>표1[[#This Row],[의사수/남]]/표1[[#This Row],[의사수/계]]</f>
        <v>0.81966505110609911</v>
      </c>
      <c r="G49" s="4">
        <v>0</v>
      </c>
      <c r="H49" s="29">
        <f>3652</f>
        <v>3652</v>
      </c>
      <c r="I49" s="29">
        <f>3622</f>
        <v>3622</v>
      </c>
      <c r="J49" s="1">
        <v>3239</v>
      </c>
      <c r="K49" s="1">
        <v>413</v>
      </c>
      <c r="L49" s="35">
        <v>383</v>
      </c>
      <c r="M49" s="1">
        <f t="shared" si="4"/>
        <v>60693</v>
      </c>
      <c r="N49" s="1">
        <f>(-5*(표1[[#This Row],[년도]]-1950)^2/100000)+(16*(표1[[#This Row],[년도]]-1950)/10000)+0.8551</f>
        <v>0.81984999999999997</v>
      </c>
      <c r="O49" s="19">
        <f>(표1[[#This Row],[의대졸비율/남]]+표1[[#This Row],[의전졸비율/남]]+표1[[#This Row],[불합비율/남]])-표1[[#This Row],[의사고시성비추세]]</f>
        <v>-1.5135511812379931E-2</v>
      </c>
      <c r="P49" s="5">
        <f>(표1[[#This Row],[의대졸업/남]])/(표1[[#This Row],[졸업합계/남]]+표1[[#This Row],[졸업합계/여]]+L48)*표1[[#This Row],[의사고시 합격자수]]</f>
        <v>1992.8872035300606</v>
      </c>
      <c r="Q49" s="5">
        <f>(표1[[#This Row],[의대졸업/여]])/(표1[[#This Row],[졸업합계/남]]+표1[[#This Row],[졸업합계/여]]+L48)*표1[[#This Row],[의사고시 합격자수]]</f>
        <v>477.00661886376167</v>
      </c>
      <c r="R49" s="5">
        <f>(표1[[#This Row],[의전원졸업/남]])/(표1[[#This Row],[졸업합계/남]]+표1[[#This Row],[졸업합계/여]]+L48)*표1[[#This Row],[의사고시 합격자수]]</f>
        <v>0</v>
      </c>
      <c r="S49" s="5">
        <f>(표1[[#This Row],[의전원졸업/여]])/(표1[[#This Row],[졸업합계/남]]+표1[[#This Row],[졸업합계/여]]+L48)*표1[[#This Row],[의사고시 합격자수]]</f>
        <v>0</v>
      </c>
      <c r="T49" s="5">
        <f>(L48*V48)/(표1[[#This Row],[졸업합계/남]]+표1[[#This Row],[졸업합계/여]]+L48)*표1[[#This Row],[의사고시 합격자수]]</f>
        <v>613.58302370964054</v>
      </c>
      <c r="U49" s="5">
        <f>(L48*(1-V48))/(표1[[#This Row],[졸업합계/남]]+표1[[#This Row],[졸업합계/여]]+L48)*표1[[#This Row],[의사고시 합격자수]]</f>
        <v>155.52315389653708</v>
      </c>
      <c r="V49" s="40">
        <f>표1[[#This Row],[의대졸비율/남]]+표1[[#This Row],[의전졸비율/남]]+표1[[#This Row],[불합비율/남]]</f>
        <v>0.80471448818762004</v>
      </c>
      <c r="W49" s="6">
        <f t="shared" si="11"/>
        <v>0.61527854384997238</v>
      </c>
      <c r="X49" s="6">
        <f t="shared" si="12"/>
        <v>0.14726971869829011</v>
      </c>
      <c r="Y49" s="6">
        <f t="shared" si="5"/>
        <v>0</v>
      </c>
      <c r="Z49" s="6">
        <f t="shared" si="6"/>
        <v>0</v>
      </c>
      <c r="AA49" s="6">
        <f t="shared" si="7"/>
        <v>0.1894359443376476</v>
      </c>
      <c r="AB49" s="6">
        <f t="shared" si="8"/>
        <v>4.8015793114089871E-2</v>
      </c>
      <c r="AC49" s="5">
        <f>표1[[#This Row],[의사수비율]]*0.5553*표1[[#This Row],[의사고시 합격자수]]</f>
        <v>1474.2632493257834</v>
      </c>
      <c r="AD49" s="5">
        <v>1328.1416427992781</v>
      </c>
      <c r="AE49" s="16">
        <f>표1[[#This Row],[군입대]]/표1[[#This Row],[의대졸합격/남]]</f>
        <v>0.73976251476469757</v>
      </c>
      <c r="AF49" s="39">
        <v>2231</v>
      </c>
      <c r="AG49" s="39">
        <v>534</v>
      </c>
      <c r="AH49" s="39">
        <v>0</v>
      </c>
      <c r="AI49" s="39">
        <v>0</v>
      </c>
      <c r="AJ49" s="39">
        <f t="shared" si="9"/>
        <v>2231</v>
      </c>
      <c r="AK49" s="39">
        <f t="shared" si="10"/>
        <v>534</v>
      </c>
    </row>
    <row r="50" spans="1:37" ht="17.25" thickBot="1" x14ac:dyDescent="0.3">
      <c r="A50" s="1">
        <v>1998</v>
      </c>
      <c r="B50" s="9">
        <v>46286503</v>
      </c>
      <c r="C50" s="10">
        <v>65339</v>
      </c>
      <c r="D50" s="7">
        <v>53460</v>
      </c>
      <c r="E50" s="7">
        <v>11879</v>
      </c>
      <c r="F50" s="14">
        <f>표1[[#This Row],[의사수/남]]/표1[[#This Row],[의사수/계]]</f>
        <v>0.81819434028681182</v>
      </c>
      <c r="G50" s="4">
        <v>0</v>
      </c>
      <c r="H50" s="30">
        <v>3216</v>
      </c>
      <c r="I50" s="30">
        <v>3177</v>
      </c>
      <c r="J50" s="1">
        <v>2842</v>
      </c>
      <c r="K50" s="1">
        <v>374</v>
      </c>
      <c r="L50" s="35">
        <v>335</v>
      </c>
      <c r="M50" s="1">
        <f t="shared" si="4"/>
        <v>63535</v>
      </c>
      <c r="N50" s="1">
        <f>(-5*(표1[[#This Row],[년도]]-1950)^2/100000)+(16*(표1[[#This Row],[년도]]-1950)/10000)+0.8551</f>
        <v>0.81669999999999998</v>
      </c>
      <c r="O50" s="19">
        <f>(표1[[#This Row],[의대졸비율/남]]+표1[[#This Row],[의전졸비율/남]]+표1[[#This Row],[불합비율/남]])-표1[[#This Row],[의사고시성비추세]]</f>
        <v>-3.3616462586208096E-2</v>
      </c>
      <c r="P50" s="5">
        <f>(표1[[#This Row],[의대졸업/남]])/(표1[[#This Row],[졸업합계/남]]+표1[[#This Row],[졸업합계/여]]+L49)*표1[[#This Row],[의사고시 합격자수]]</f>
        <v>1950.0767295597484</v>
      </c>
      <c r="Q50" s="5">
        <f>(표1[[#This Row],[의대졸업/여]])/(표1[[#This Row],[졸업합계/남]]+표1[[#This Row],[졸업합계/여]]+L49)*표1[[#This Row],[의사고시 합격자수]]</f>
        <v>549.63207547169816</v>
      </c>
      <c r="R50" s="5">
        <f>(표1[[#This Row],[의전원졸업/남]])/(표1[[#This Row],[졸업합계/남]]+표1[[#This Row],[졸업합계/여]]+L49)*표1[[#This Row],[의사고시 합격자수]]</f>
        <v>0</v>
      </c>
      <c r="S50" s="5">
        <f>(표1[[#This Row],[의전원졸업/여]])/(표1[[#This Row],[졸업합계/남]]+표1[[#This Row],[졸업합계/여]]+L49)*표1[[#This Row],[의사고시 합격자수]]</f>
        <v>0</v>
      </c>
      <c r="T50" s="5">
        <f>(L49*V49)/(표1[[#This Row],[졸업합계/남]]+표1[[#This Row],[졸업합계/여]]+L49)*표1[[#This Row],[의사고시 합격자수]]</f>
        <v>275.44668377024834</v>
      </c>
      <c r="U50" s="5">
        <f>(L49*(1-V49))/(표1[[#This Row],[졸업합계/남]]+표1[[#This Row],[졸업합계/여]]+L49)*표1[[#This Row],[의사고시 합격자수]]</f>
        <v>66.844511198305099</v>
      </c>
      <c r="V50" s="40">
        <f>표1[[#This Row],[의대졸비율/남]]+표1[[#This Row],[의전졸비율/남]]+표1[[#This Row],[불합비율/남]]</f>
        <v>0.78308353741379189</v>
      </c>
      <c r="W50" s="6">
        <f t="shared" si="11"/>
        <v>0.68616352201257858</v>
      </c>
      <c r="X50" s="6">
        <f t="shared" si="12"/>
        <v>0.19339622641509435</v>
      </c>
      <c r="Y50" s="6">
        <f t="shared" si="5"/>
        <v>0</v>
      </c>
      <c r="Z50" s="6">
        <f t="shared" si="6"/>
        <v>0</v>
      </c>
      <c r="AA50" s="6">
        <f t="shared" si="7"/>
        <v>9.6920015401213352E-2</v>
      </c>
      <c r="AB50" s="6">
        <f t="shared" si="8"/>
        <v>2.3520236171113686E-2</v>
      </c>
      <c r="AC50" s="18">
        <v>1334</v>
      </c>
      <c r="AD50" s="5">
        <v>1280.6754761822194</v>
      </c>
      <c r="AE50" s="16">
        <f>표1[[#This Row],[군입대]]/표1[[#This Row],[의대졸합격/남]]</f>
        <v>0.68407564675732802</v>
      </c>
      <c r="AF50" s="39">
        <v>2182</v>
      </c>
      <c r="AG50" s="39">
        <v>615</v>
      </c>
      <c r="AH50" s="39">
        <v>0</v>
      </c>
      <c r="AI50" s="39">
        <v>0</v>
      </c>
      <c r="AJ50" s="39">
        <f t="shared" si="9"/>
        <v>2182</v>
      </c>
      <c r="AK50" s="39">
        <f t="shared" si="10"/>
        <v>615</v>
      </c>
    </row>
    <row r="51" spans="1:37" ht="17.25" thickBot="1" x14ac:dyDescent="0.3">
      <c r="A51" s="1">
        <v>1999</v>
      </c>
      <c r="B51" s="9">
        <v>46616677</v>
      </c>
      <c r="C51" s="10">
        <v>69632</v>
      </c>
      <c r="D51" s="7">
        <v>57534</v>
      </c>
      <c r="E51" s="7">
        <v>12098</v>
      </c>
      <c r="F51" s="14">
        <f>표1[[#This Row],[의사수/남]]/표1[[#This Row],[의사수/계]]</f>
        <v>0.8262580422794118</v>
      </c>
      <c r="G51" s="4">
        <v>0</v>
      </c>
      <c r="H51" s="28">
        <v>3130</v>
      </c>
      <c r="I51" s="28">
        <v>3091</v>
      </c>
      <c r="J51" s="1">
        <v>2871</v>
      </c>
      <c r="K51" s="1">
        <v>259</v>
      </c>
      <c r="L51" s="35">
        <v>220</v>
      </c>
      <c r="M51" s="1">
        <f t="shared" si="4"/>
        <v>66406</v>
      </c>
      <c r="N51" s="1">
        <f>(-5*(표1[[#This Row],[년도]]-1950)^2/100000)+(16*(표1[[#This Row],[년도]]-1950)/10000)+0.8551</f>
        <v>0.81345000000000001</v>
      </c>
      <c r="O51" s="19">
        <f>(표1[[#This Row],[의대졸비율/남]]+표1[[#This Row],[의전졸비율/남]]+표1[[#This Row],[불합비율/남]])-표1[[#This Row],[의사고시성비추세]]</f>
        <v>-4.738520791952916E-2</v>
      </c>
      <c r="P51" s="5">
        <f>(표1[[#This Row],[의대졸업/남]])/(표1[[#This Row],[졸업합계/남]]+표1[[#This Row],[졸업합계/여]]+L50)*표1[[#This Row],[의사고시 합격자수]]</f>
        <v>1956.5744680851064</v>
      </c>
      <c r="Q51" s="5">
        <f>(표1[[#This Row],[의대졸업/여]])/(표1[[#This Row],[졸업합계/남]]+표1[[#This Row],[졸업합계/여]]+L50)*표1[[#This Row],[의사고시 합격자수]]</f>
        <v>604.37234042553189</v>
      </c>
      <c r="R51" s="5">
        <f>(표1[[#This Row],[의전원졸업/남]])/(표1[[#This Row],[졸업합계/남]]+표1[[#This Row],[졸업합계/여]]+L50)*표1[[#This Row],[의사고시 합격자수]]</f>
        <v>0</v>
      </c>
      <c r="S51" s="5">
        <f>(표1[[#This Row],[의전원졸업/여]])/(표1[[#This Row],[졸업합계/남]]+표1[[#This Row],[졸업합계/여]]+L50)*표1[[#This Row],[의사고시 합격자수]]</f>
        <v>0</v>
      </c>
      <c r="T51" s="5">
        <f>(L50*V50)/(표1[[#This Row],[졸업합계/남]]+표1[[#This Row],[졸업합계/여]]+L50)*표1[[#This Row],[의사고시 합격자수]]</f>
        <v>242.79754997792517</v>
      </c>
      <c r="U51" s="5">
        <f>(L50*(1-V50))/(표1[[#This Row],[졸업합계/남]]+표1[[#This Row],[졸업합계/여]]+L50)*표1[[#This Row],[의사고시 합격자수]]</f>
        <v>67.255641511436551</v>
      </c>
      <c r="V51" s="40">
        <f>표1[[#This Row],[의대졸비율/남]]+표1[[#This Row],[의전졸비율/남]]+표1[[#This Row],[불합비율/남]]</f>
        <v>0.76606479208047085</v>
      </c>
      <c r="W51" s="6">
        <f t="shared" si="11"/>
        <v>0.68149580915538366</v>
      </c>
      <c r="X51" s="6">
        <f t="shared" si="12"/>
        <v>0.21050934880722114</v>
      </c>
      <c r="Y51" s="6">
        <f t="shared" si="5"/>
        <v>0</v>
      </c>
      <c r="Z51" s="6">
        <f t="shared" si="6"/>
        <v>0</v>
      </c>
      <c r="AA51" s="6">
        <f t="shared" si="7"/>
        <v>8.4568982925087133E-2</v>
      </c>
      <c r="AB51" s="6">
        <f t="shared" si="8"/>
        <v>2.3425859112308097E-2</v>
      </c>
      <c r="AC51" s="18">
        <v>1296</v>
      </c>
      <c r="AD51" s="5">
        <v>998.18898254337603</v>
      </c>
      <c r="AE51" s="16">
        <f>표1[[#This Row],[군입대]]/표1[[#This Row],[의대졸합격/남]]</f>
        <v>0.66238214856620881</v>
      </c>
      <c r="AF51" s="39">
        <v>2114</v>
      </c>
      <c r="AG51" s="39">
        <v>653</v>
      </c>
      <c r="AH51" s="39">
        <v>0</v>
      </c>
      <c r="AI51" s="39">
        <v>0</v>
      </c>
      <c r="AJ51" s="39">
        <f t="shared" si="9"/>
        <v>2114</v>
      </c>
      <c r="AK51" s="39">
        <f t="shared" si="10"/>
        <v>653</v>
      </c>
    </row>
    <row r="52" spans="1:37" ht="17.25" thickBot="1" x14ac:dyDescent="0.3">
      <c r="A52" s="1">
        <v>2000</v>
      </c>
      <c r="B52" s="9">
        <v>47008111</v>
      </c>
      <c r="C52" s="7">
        <v>72411</v>
      </c>
      <c r="D52" s="7">
        <v>59656</v>
      </c>
      <c r="E52" s="7">
        <v>12755</v>
      </c>
      <c r="F52" s="14">
        <f>표1[[#This Row],[의사수/남]]/표1[[#This Row],[의사수/계]]</f>
        <v>0.82385272955766387</v>
      </c>
      <c r="G52" s="4">
        <v>0</v>
      </c>
      <c r="H52" s="29">
        <v>2999</v>
      </c>
      <c r="I52" s="29">
        <v>2961</v>
      </c>
      <c r="J52" s="1">
        <v>2772</v>
      </c>
      <c r="K52" s="1">
        <v>227</v>
      </c>
      <c r="L52" s="35">
        <v>189</v>
      </c>
      <c r="M52" s="1">
        <f t="shared" si="4"/>
        <v>69178</v>
      </c>
      <c r="N52" s="1">
        <f>(-5*(표1[[#This Row],[년도]]-1950)^2/100000)+(16*(표1[[#This Row],[년도]]-1950)/10000)+0.8551</f>
        <v>0.81009999999999993</v>
      </c>
      <c r="O52" s="19">
        <f>(표1[[#This Row],[의대졸비율/남]]+표1[[#This Row],[의전졸비율/남]]+표1[[#This Row],[불합비율/남]])-표1[[#This Row],[의사고시성비추세]]</f>
        <v>-4.3112944356068716E-2</v>
      </c>
      <c r="P52" s="5">
        <f>(표1[[#This Row],[의대졸업/남]])/(표1[[#This Row],[졸업합계/남]]+표1[[#This Row],[졸업합계/여]]+L51)*표1[[#This Row],[의사고시 합격자수]]</f>
        <v>1965.8765432098764</v>
      </c>
      <c r="Q52" s="5">
        <f>(표1[[#This Row],[의대졸업/여]])/(표1[[#This Row],[졸업합계/남]]+표1[[#This Row],[졸업합계/여]]+L51)*표1[[#This Row],[의사고시 합격자수]]</f>
        <v>596.98765432098764</v>
      </c>
      <c r="R52" s="5">
        <f>(표1[[#This Row],[의전원졸업/남]])/(표1[[#This Row],[졸업합계/남]]+표1[[#This Row],[졸업합계/여]]+L51)*표1[[#This Row],[의사고시 합격자수]]</f>
        <v>0</v>
      </c>
      <c r="S52" s="5">
        <f>(표1[[#This Row],[의전원졸업/여]])/(표1[[#This Row],[졸업합계/남]]+표1[[#This Row],[졸업합계/여]]+L51)*표1[[#This Row],[의사고시 합격자수]]</f>
        <v>0</v>
      </c>
      <c r="T52" s="5">
        <f>(L51*V51)/(표1[[#This Row],[졸업합계/남]]+표1[[#This Row],[졸업합계/여]]+L51)*표1[[#This Row],[의사고시 합격자수]]</f>
        <v>160.21157503510094</v>
      </c>
      <c r="U52" s="5">
        <f>(L51*(1-V51))/(표1[[#This Row],[졸업합계/남]]+표1[[#This Row],[졸업합계/여]]+L51)*표1[[#This Row],[의사고시 합격자수]]</f>
        <v>48.924227434034854</v>
      </c>
      <c r="V52" s="40">
        <f>표1[[#This Row],[의대졸비율/남]]+표1[[#This Row],[의전졸비율/남]]+표1[[#This Row],[불합비율/남]]</f>
        <v>0.76698705564393121</v>
      </c>
      <c r="W52" s="6">
        <f t="shared" si="11"/>
        <v>0.70919067215363507</v>
      </c>
      <c r="X52" s="6">
        <f t="shared" si="12"/>
        <v>0.21536351165980797</v>
      </c>
      <c r="Y52" s="6">
        <f t="shared" si="5"/>
        <v>0</v>
      </c>
      <c r="Z52" s="6">
        <f t="shared" si="6"/>
        <v>0</v>
      </c>
      <c r="AA52" s="6">
        <f t="shared" si="7"/>
        <v>5.7796383490296151E-2</v>
      </c>
      <c r="AB52" s="6">
        <f t="shared" si="8"/>
        <v>1.7649432696260771E-2</v>
      </c>
      <c r="AC52" s="18">
        <v>1259</v>
      </c>
      <c r="AD52" s="5">
        <v>1474.2632493257834</v>
      </c>
      <c r="AE52" s="16">
        <f>표1[[#This Row],[군입대]]/표1[[#This Row],[의대졸합격/남]]</f>
        <v>0.64042678791228114</v>
      </c>
      <c r="AF52" s="39">
        <v>2068</v>
      </c>
      <c r="AG52" s="39">
        <v>628</v>
      </c>
      <c r="AH52" s="39">
        <v>0</v>
      </c>
      <c r="AI52" s="39">
        <v>0</v>
      </c>
      <c r="AJ52" s="39">
        <f t="shared" si="9"/>
        <v>2068</v>
      </c>
      <c r="AK52" s="39">
        <f t="shared" si="10"/>
        <v>628</v>
      </c>
    </row>
    <row r="53" spans="1:37" ht="17.25" thickBot="1" x14ac:dyDescent="0.3">
      <c r="A53" s="1">
        <v>2001</v>
      </c>
      <c r="B53" s="9">
        <v>47370164</v>
      </c>
      <c r="C53" s="7">
        <v>75203</v>
      </c>
      <c r="D53" s="7">
        <v>61658</v>
      </c>
      <c r="E53" s="7">
        <v>13545</v>
      </c>
      <c r="F53" s="14">
        <f>표1[[#This Row],[의사수/남]]/표1[[#This Row],[의사수/계]]</f>
        <v>0.81988750448785286</v>
      </c>
      <c r="G53" s="4">
        <v>0</v>
      </c>
      <c r="H53" s="29">
        <v>3302</v>
      </c>
      <c r="I53" s="29">
        <v>3262</v>
      </c>
      <c r="J53" s="1">
        <v>2796</v>
      </c>
      <c r="K53" s="1">
        <v>506</v>
      </c>
      <c r="L53" s="35">
        <v>466</v>
      </c>
      <c r="M53" s="1">
        <f t="shared" si="4"/>
        <v>71974</v>
      </c>
      <c r="N53" s="1">
        <f>(-5*(표1[[#This Row],[년도]]-1950)^2/100000)+(16*(표1[[#This Row],[년도]]-1950)/10000)+0.8551</f>
        <v>0.80664999999999998</v>
      </c>
      <c r="O53" s="19">
        <f>(표1[[#This Row],[의대졸비율/남]]+표1[[#This Row],[의전졸비율/남]]+표1[[#This Row],[불합비율/남]])-표1[[#This Row],[의사고시성비추세]]</f>
        <v>-0.10423359867300863</v>
      </c>
      <c r="P53" s="5">
        <f>(표1[[#This Row],[의대졸업/남]])/(표1[[#This Row],[졸업합계/남]]+표1[[#This Row],[졸업합계/여]]+L52)*표1[[#This Row],[의사고시 합격자수]]</f>
        <v>1839.3605902244083</v>
      </c>
      <c r="Q53" s="5">
        <f>(표1[[#This Row],[의대졸업/여]])/(표1[[#This Row],[졸업합계/남]]+표1[[#This Row],[졸업합계/여]]+L52)*표1[[#This Row],[의사고시 합격자수]]</f>
        <v>794.1912081155856</v>
      </c>
      <c r="R53" s="5">
        <f>(표1[[#This Row],[의전원졸업/남]])/(표1[[#This Row],[졸업합계/남]]+표1[[#This Row],[졸업합계/여]]+L52)*표1[[#This Row],[의사고시 합격자수]]</f>
        <v>0</v>
      </c>
      <c r="S53" s="5">
        <f>(표1[[#This Row],[의전원졸업/여]])/(표1[[#This Row],[졸업합계/남]]+표1[[#This Row],[졸업합계/여]]+L52)*표1[[#This Row],[의사고시 합격자수]]</f>
        <v>0</v>
      </c>
      <c r="T53" s="5">
        <f>(L52*V52)/(표1[[#This Row],[졸업합계/남]]+표1[[#This Row],[졸업합계/여]]+L52)*표1[[#This Row],[의사고시 합격자수]]</f>
        <v>124.59566788585968</v>
      </c>
      <c r="U53" s="5">
        <f>(L52*(1-V52))/(표1[[#This Row],[졸업합계/남]]+표1[[#This Row],[졸업합계/여]]+L52)*표1[[#This Row],[의사고시 합격자수]]</f>
        <v>37.852533774146451</v>
      </c>
      <c r="V53" s="40">
        <f>표1[[#This Row],[의대졸비율/남]]+표1[[#This Row],[의전졸비율/남]]+표1[[#This Row],[불합비율/남]]</f>
        <v>0.70241640132699135</v>
      </c>
      <c r="W53" s="6">
        <f t="shared" si="11"/>
        <v>0.65785428834921611</v>
      </c>
      <c r="X53" s="6">
        <f t="shared" si="12"/>
        <v>0.28404549646480171</v>
      </c>
      <c r="Y53" s="6">
        <f t="shared" si="5"/>
        <v>0</v>
      </c>
      <c r="Z53" s="6">
        <f t="shared" si="6"/>
        <v>0</v>
      </c>
      <c r="AA53" s="6">
        <f t="shared" si="7"/>
        <v>4.4562112977775278E-2</v>
      </c>
      <c r="AB53" s="6">
        <f t="shared" si="8"/>
        <v>1.3538102208206886E-2</v>
      </c>
      <c r="AC53" s="18">
        <v>1580</v>
      </c>
      <c r="AD53" s="18">
        <v>1334</v>
      </c>
      <c r="AE53" s="16">
        <f>표1[[#This Row],[군입대]]/표1[[#This Row],[의대졸합격/남]]</f>
        <v>0.85899415720722527</v>
      </c>
      <c r="AF53" s="39">
        <v>2140</v>
      </c>
      <c r="AG53" s="39">
        <v>924</v>
      </c>
      <c r="AH53" s="39">
        <v>0</v>
      </c>
      <c r="AI53" s="39">
        <v>0</v>
      </c>
      <c r="AJ53" s="39">
        <f t="shared" si="9"/>
        <v>2140</v>
      </c>
      <c r="AK53" s="39">
        <f t="shared" si="10"/>
        <v>924</v>
      </c>
    </row>
    <row r="54" spans="1:37" ht="17.25" thickBot="1" x14ac:dyDescent="0.3">
      <c r="A54" s="1">
        <v>2002</v>
      </c>
      <c r="B54" s="9">
        <v>47644736</v>
      </c>
      <c r="C54" s="7">
        <v>78517</v>
      </c>
      <c r="D54" s="7">
        <v>64079</v>
      </c>
      <c r="E54" s="7">
        <v>14438</v>
      </c>
      <c r="F54" s="14">
        <f>표1[[#This Row],[의사수/남]]/표1[[#This Row],[의사수/계]]</f>
        <v>0.81611625507851804</v>
      </c>
      <c r="G54" s="4">
        <v>0</v>
      </c>
      <c r="H54" s="28">
        <v>3613</v>
      </c>
      <c r="I54" s="28">
        <v>3578</v>
      </c>
      <c r="J54" s="1">
        <v>3314</v>
      </c>
      <c r="K54" s="1">
        <v>299</v>
      </c>
      <c r="L54" s="35">
        <v>264</v>
      </c>
      <c r="M54" s="1">
        <f t="shared" si="4"/>
        <v>75288</v>
      </c>
      <c r="N54" s="1">
        <f>(-5*(표1[[#This Row],[년도]]-1950)^2/100000)+(16*(표1[[#This Row],[년도]]-1950)/10000)+0.8551</f>
        <v>0.80309999999999993</v>
      </c>
      <c r="O54" s="19">
        <f>(표1[[#This Row],[의대졸비율/남]]+표1[[#This Row],[의전졸비율/남]]+표1[[#This Row],[불합비율/남]])-표1[[#This Row],[의사고시성비추세]]</f>
        <v>-7.8002785095990457E-2</v>
      </c>
      <c r="P54" s="5">
        <f>(표1[[#This Row],[의대졸업/남]])/(표1[[#This Row],[졸업합계/남]]+표1[[#This Row],[졸업합계/여]]+L53)*표1[[#This Row],[의사고시 합격자수]]</f>
        <v>2102.5682636388815</v>
      </c>
      <c r="Q54" s="5">
        <f>(표1[[#This Row],[의대졸업/여]])/(표1[[#This Row],[졸업합계/남]]+표1[[#This Row],[졸업합계/여]]+L53)*표1[[#This Row],[의사고시 합격자수]]</f>
        <v>783.75962337302678</v>
      </c>
      <c r="R54" s="5">
        <f>(표1[[#This Row],[의전원졸업/남]])/(표1[[#This Row],[졸업합계/남]]+표1[[#This Row],[졸업합계/여]]+L53)*표1[[#This Row],[의사고시 합격자수]]</f>
        <v>0</v>
      </c>
      <c r="S54" s="5">
        <f>(표1[[#This Row],[의전원졸업/여]])/(표1[[#This Row],[졸업합계/남]]+표1[[#This Row],[졸업합계/여]]+L53)*표1[[#This Row],[의사고시 합격자수]]</f>
        <v>0</v>
      </c>
      <c r="T54" s="5">
        <f>(L53*V53)/(표1[[#This Row],[졸업합계/남]]+표1[[#This Row],[졸업합계/여]]+L53)*표1[[#This Row],[의사고시 합격자수]]</f>
        <v>300.40390655300598</v>
      </c>
      <c r="U54" s="5">
        <f>(L53*(1-V53))/(표1[[#This Row],[졸업합계/남]]+표1[[#This Row],[졸업합계/여]]+L53)*표1[[#This Row],[의사고시 합격자수]]</f>
        <v>127.26820643508597</v>
      </c>
      <c r="V54" s="40">
        <f>표1[[#This Row],[의대졸비율/남]]+표1[[#This Row],[의전졸비율/남]]+표1[[#This Row],[불합비율/남]]</f>
        <v>0.72509721490400947</v>
      </c>
      <c r="W54" s="6">
        <f t="shared" si="11"/>
        <v>0.63445029077817783</v>
      </c>
      <c r="X54" s="6">
        <f t="shared" si="12"/>
        <v>0.23649958460260315</v>
      </c>
      <c r="Y54" s="6">
        <f t="shared" si="5"/>
        <v>0</v>
      </c>
      <c r="Z54" s="6">
        <f t="shared" si="6"/>
        <v>0</v>
      </c>
      <c r="AA54" s="6">
        <f t="shared" si="7"/>
        <v>9.0646924125831613E-2</v>
      </c>
      <c r="AB54" s="6">
        <f t="shared" si="8"/>
        <v>3.840320049338744E-2</v>
      </c>
      <c r="AC54" s="18">
        <v>1573</v>
      </c>
      <c r="AD54" s="18">
        <v>1296</v>
      </c>
      <c r="AE54" s="16">
        <f>표1[[#This Row],[군입대]]/표1[[#This Row],[의대졸합격/남]]</f>
        <v>0.74813266575118653</v>
      </c>
      <c r="AF54" s="39">
        <v>2291</v>
      </c>
      <c r="AG54" s="39">
        <v>854</v>
      </c>
      <c r="AH54" s="39">
        <v>0</v>
      </c>
      <c r="AI54" s="39">
        <v>0</v>
      </c>
      <c r="AJ54" s="39">
        <f t="shared" si="9"/>
        <v>2291</v>
      </c>
      <c r="AK54" s="39">
        <f t="shared" si="10"/>
        <v>854</v>
      </c>
    </row>
    <row r="55" spans="1:37" ht="17.25" thickBot="1" x14ac:dyDescent="0.3">
      <c r="A55" s="1">
        <v>2003</v>
      </c>
      <c r="B55" s="9">
        <v>47892330</v>
      </c>
      <c r="C55" s="7">
        <v>81248</v>
      </c>
      <c r="D55" s="7">
        <v>66299</v>
      </c>
      <c r="E55" s="7">
        <v>14949</v>
      </c>
      <c r="F55" s="14">
        <f>표1[[#This Row],[의사수/남]]/표1[[#This Row],[의사수/계]]</f>
        <v>0.81600777865301299</v>
      </c>
      <c r="G55" s="11">
        <v>60528</v>
      </c>
      <c r="H55" s="29">
        <v>3709</v>
      </c>
      <c r="I55" s="29">
        <v>3647</v>
      </c>
      <c r="J55" s="1">
        <v>3159</v>
      </c>
      <c r="K55" s="1">
        <v>550</v>
      </c>
      <c r="L55" s="35">
        <v>488</v>
      </c>
      <c r="M55" s="1">
        <f t="shared" si="4"/>
        <v>78447</v>
      </c>
      <c r="N55" s="1">
        <f>(-5*(표1[[#This Row],[년도]]-1950)^2/100000)+(16*(표1[[#This Row],[년도]]-1950)/10000)+0.8551</f>
        <v>0.79944999999999999</v>
      </c>
      <c r="O55" s="19">
        <f>(표1[[#This Row],[의대졸비율/남]]+표1[[#This Row],[의전졸비율/남]]+표1[[#This Row],[불합비율/남]])-표1[[#This Row],[의사고시성비추세]]</f>
        <v>-8.1905837071286847E-2</v>
      </c>
      <c r="P55" s="5">
        <f>(표1[[#This Row],[의대졸업/남]])/(표1[[#This Row],[졸업합계/남]]+표1[[#This Row],[졸업합계/여]]+L54)*표1[[#This Row],[의사고시 합격자수]]</f>
        <v>2100.5005497526113</v>
      </c>
      <c r="Q55" s="5">
        <f>(표1[[#This Row],[의대졸업/여]])/(표1[[#This Row],[졸업합계/남]]+표1[[#This Row],[졸업합계/여]]+L54)*표1[[#This Row],[의사고시 합격자수]]</f>
        <v>829.2592083562397</v>
      </c>
      <c r="R55" s="5">
        <f>(표1[[#This Row],[의전원졸업/남]])/(표1[[#This Row],[졸업합계/남]]+표1[[#This Row],[졸업합계/여]]+L54)*표1[[#This Row],[의사고시 합격자수]]</f>
        <v>0</v>
      </c>
      <c r="S55" s="5">
        <f>(표1[[#This Row],[의전원졸업/여]])/(표1[[#This Row],[졸업합계/남]]+표1[[#This Row],[졸업합계/여]]+L54)*표1[[#This Row],[의사고시 합격자수]]</f>
        <v>0</v>
      </c>
      <c r="T55" s="5">
        <f>(L54*V54)/(표1[[#This Row],[졸업합계/남]]+표1[[#This Row],[졸업합계/여]]+L54)*표1[[#This Row],[의사고시 합격자수]]</f>
        <v>166.22146093919358</v>
      </c>
      <c r="U55" s="5">
        <f>(L54*(1-V54))/(표1[[#This Row],[졸업합계/남]]+표1[[#This Row],[졸업합계/여]]+L54)*표1[[#This Row],[의사고시 합격자수]]</f>
        <v>63.018780951955421</v>
      </c>
      <c r="V55" s="40">
        <f>표1[[#This Row],[의대졸비율/남]]+표1[[#This Row],[의전졸비율/남]]+표1[[#This Row],[불합비율/남]]</f>
        <v>0.71754416292871315</v>
      </c>
      <c r="W55" s="6">
        <f t="shared" si="11"/>
        <v>0.6649257833974711</v>
      </c>
      <c r="X55" s="6">
        <f t="shared" si="12"/>
        <v>0.26250687190764155</v>
      </c>
      <c r="Y55" s="6">
        <f t="shared" si="5"/>
        <v>0</v>
      </c>
      <c r="Z55" s="6">
        <f t="shared" si="6"/>
        <v>0</v>
      </c>
      <c r="AA55" s="6">
        <f t="shared" si="7"/>
        <v>5.2618379531242029E-2</v>
      </c>
      <c r="AB55" s="6">
        <f t="shared" si="8"/>
        <v>1.9948965163645273E-2</v>
      </c>
      <c r="AC55" s="18">
        <v>1537</v>
      </c>
      <c r="AD55" s="18">
        <v>1259</v>
      </c>
      <c r="AE55" s="16">
        <f>표1[[#This Row],[군입대]]/표1[[#This Row],[의대졸합격/남]]</f>
        <v>0.73173034883567245</v>
      </c>
      <c r="AF55" s="39">
        <v>2419</v>
      </c>
      <c r="AG55" s="39">
        <v>955</v>
      </c>
      <c r="AH55" s="39">
        <v>0</v>
      </c>
      <c r="AI55" s="39">
        <v>0</v>
      </c>
      <c r="AJ55" s="39">
        <f t="shared" si="9"/>
        <v>2419</v>
      </c>
      <c r="AK55" s="39">
        <f t="shared" si="10"/>
        <v>955</v>
      </c>
    </row>
    <row r="56" spans="1:37" ht="17.25" thickBot="1" x14ac:dyDescent="0.3">
      <c r="A56" s="1">
        <v>2004</v>
      </c>
      <c r="B56" s="9">
        <v>48082519</v>
      </c>
      <c r="C56" s="7">
        <v>81918</v>
      </c>
      <c r="D56" s="7">
        <v>66150</v>
      </c>
      <c r="E56" s="7">
        <v>15768</v>
      </c>
      <c r="F56" s="14">
        <f>표1[[#This Row],[의사수/남]]/표1[[#This Row],[의사수/계]]</f>
        <v>0.80751483190507578</v>
      </c>
      <c r="G56" s="11">
        <v>63201</v>
      </c>
      <c r="H56" s="28">
        <v>3988</v>
      </c>
      <c r="I56" s="28">
        <v>3881</v>
      </c>
      <c r="J56" s="1">
        <v>3760</v>
      </c>
      <c r="K56" s="1">
        <v>228</v>
      </c>
      <c r="L56" s="35">
        <v>121</v>
      </c>
      <c r="M56" s="1">
        <f t="shared" si="4"/>
        <v>82207</v>
      </c>
      <c r="N56" s="1">
        <f>(-5*(표1[[#This Row],[년도]]-1950)^2/100000)+(16*(표1[[#This Row],[년도]]-1950)/10000)+0.8551</f>
        <v>0.79569999999999996</v>
      </c>
      <c r="O56" s="19">
        <f>(표1[[#This Row],[의대졸비율/남]]+표1[[#This Row],[의전졸비율/남]]+표1[[#This Row],[불합비율/남]])-표1[[#This Row],[의사고시성비추세]]</f>
        <v>-9.0275958921140265E-2</v>
      </c>
      <c r="P56" s="5">
        <f>(표1[[#This Row],[의대졸업/남]])/(표1[[#This Row],[졸업합계/남]]+표1[[#This Row],[졸업합계/여]]+L55)*표1[[#This Row],[의사고시 합격자수]]</f>
        <v>2313.3247489054856</v>
      </c>
      <c r="Q56" s="5">
        <f>(표1[[#This Row],[의대졸업/여]])/(표1[[#This Row],[졸업합계/남]]+표1[[#This Row],[졸업합계/여]]+L55)*표1[[#This Row],[의사고시 합격자수]]</f>
        <v>974.13340200875598</v>
      </c>
      <c r="R56" s="5">
        <f>(표1[[#This Row],[의전원졸업/남]])/(표1[[#This Row],[졸업합계/남]]+표1[[#This Row],[졸업합계/여]]+L55)*표1[[#This Row],[의사고시 합격자수]]</f>
        <v>0</v>
      </c>
      <c r="S56" s="5">
        <f>(표1[[#This Row],[의전원졸업/여]])/(표1[[#This Row],[졸업합계/남]]+표1[[#This Row],[졸업합계/여]]+L55)*표1[[#This Row],[의사고시 합격자수]]</f>
        <v>0</v>
      </c>
      <c r="T56" s="5">
        <f>(L55*V55)/(표1[[#This Row],[졸업합계/남]]+표1[[#This Row],[졸업합계/여]]+L55)*표1[[#This Row],[의사고시 합격자수]]</f>
        <v>339.06964555102684</v>
      </c>
      <c r="U56" s="5">
        <f>(L55*(1-V55))/(표1[[#This Row],[졸업합계/남]]+표1[[#This Row],[졸업합계/여]]+L55)*표1[[#This Row],[의사고시 합격자수]]</f>
        <v>133.47220353473162</v>
      </c>
      <c r="V56" s="40">
        <f>표1[[#This Row],[의대졸비율/남]]+표1[[#This Row],[의전졸비율/남]]+표1[[#This Row],[불합비율/남]]</f>
        <v>0.7054240410788597</v>
      </c>
      <c r="W56" s="6">
        <f t="shared" si="11"/>
        <v>0.61524594385784193</v>
      </c>
      <c r="X56" s="6">
        <f t="shared" si="12"/>
        <v>0.25907803244913724</v>
      </c>
      <c r="Y56" s="6">
        <f t="shared" si="5"/>
        <v>0</v>
      </c>
      <c r="Z56" s="6">
        <f t="shared" si="6"/>
        <v>0</v>
      </c>
      <c r="AA56" s="6">
        <f t="shared" si="7"/>
        <v>9.0178097221017772E-2</v>
      </c>
      <c r="AB56" s="6">
        <f t="shared" si="8"/>
        <v>3.5497926472003088E-2</v>
      </c>
      <c r="AC56" s="18">
        <v>1524</v>
      </c>
      <c r="AD56" s="18">
        <v>1580</v>
      </c>
      <c r="AE56" s="16">
        <f>표1[[#This Row],[군입대]]/표1[[#This Row],[의대졸합격/남]]</f>
        <v>0.65879207003731632</v>
      </c>
      <c r="AF56" s="39">
        <v>2389</v>
      </c>
      <c r="AG56" s="39">
        <v>1006</v>
      </c>
      <c r="AH56" s="39">
        <v>0</v>
      </c>
      <c r="AI56" s="39">
        <v>0</v>
      </c>
      <c r="AJ56" s="39">
        <f t="shared" si="9"/>
        <v>2389</v>
      </c>
      <c r="AK56" s="39">
        <f t="shared" si="10"/>
        <v>1006</v>
      </c>
    </row>
    <row r="57" spans="1:37" ht="17.25" thickBot="1" x14ac:dyDescent="0.3">
      <c r="A57" s="1">
        <v>2005</v>
      </c>
      <c r="B57" s="9">
        <v>48184561</v>
      </c>
      <c r="C57" s="7">
        <v>85289</v>
      </c>
      <c r="D57" s="7">
        <v>68445</v>
      </c>
      <c r="E57" s="7">
        <v>16844</v>
      </c>
      <c r="F57" s="14">
        <f>표1[[#This Row],[의사수/남]]/표1[[#This Row],[의사수/계]]</f>
        <v>0.80250677109592095</v>
      </c>
      <c r="G57" s="1">
        <v>65534</v>
      </c>
      <c r="H57" s="29">
        <v>3717</v>
      </c>
      <c r="I57" s="29">
        <v>3618</v>
      </c>
      <c r="J57" s="1">
        <v>3372</v>
      </c>
      <c r="K57" s="1">
        <v>345</v>
      </c>
      <c r="L57" s="35">
        <v>246</v>
      </c>
      <c r="M57" s="1">
        <f t="shared" si="4"/>
        <v>85579</v>
      </c>
      <c r="N57" s="1">
        <f>(-5*(표1[[#This Row],[년도]]-1950)^2/100000)+(16*(표1[[#This Row],[년도]]-1950)/10000)+0.8551</f>
        <v>0.79184999999999994</v>
      </c>
      <c r="O57" s="19">
        <f>(표1[[#This Row],[의대졸비율/남]]+표1[[#This Row],[의전졸비율/남]]+표1[[#This Row],[불합비율/남]])-표1[[#This Row],[의사고시성비추세]]</f>
        <v>-9.7845482279628193E-2</v>
      </c>
      <c r="P57" s="5">
        <f>(표1[[#This Row],[의대졸업/남]])/(표1[[#This Row],[졸업합계/남]]+표1[[#This Row],[졸업합계/여]]+L56)*표1[[#This Row],[의사고시 합격자수]]</f>
        <v>2260.454293628809</v>
      </c>
      <c r="Q57" s="5">
        <f>(표1[[#This Row],[의대졸업/여]])/(표1[[#This Row],[졸업합계/남]]+표1[[#This Row],[졸업합계/여]]+L56)*표1[[#This Row],[의사고시 합격자수]]</f>
        <v>998.52299168975071</v>
      </c>
      <c r="R57" s="5">
        <f>(표1[[#This Row],[의전원졸업/남]])/(표1[[#This Row],[졸업합계/남]]+표1[[#This Row],[졸업합계/여]]+L56)*표1[[#This Row],[의사고시 합격자수]]</f>
        <v>0</v>
      </c>
      <c r="S57" s="5">
        <f>(표1[[#This Row],[의전원졸업/여]])/(표1[[#This Row],[졸업합계/남]]+표1[[#This Row],[졸업합계/여]]+L56)*표1[[#This Row],[의사고시 합격자수]]</f>
        <v>0</v>
      </c>
      <c r="T57" s="5">
        <f>(L56*V56)/(표1[[#This Row],[졸업합계/남]]+표1[[#This Row],[졸업합계/여]]+L56)*표1[[#This Row],[의사고시 합격자수]]</f>
        <v>79.728940124284676</v>
      </c>
      <c r="U57" s="5">
        <f>(L56*(1-V56))/(표1[[#This Row],[졸업합계/남]]+표1[[#This Row],[졸업합계/여]]+L56)*표1[[#This Row],[의사고시 합격자수]]</f>
        <v>33.293774557155757</v>
      </c>
      <c r="V57" s="40">
        <f>표1[[#This Row],[의대졸비율/남]]+표1[[#This Row],[의전졸비율/남]]+표1[[#This Row],[불합비율/남]]</f>
        <v>0.69400451772037175</v>
      </c>
      <c r="W57" s="6">
        <f t="shared" si="11"/>
        <v>0.67036011080332414</v>
      </c>
      <c r="X57" s="6">
        <f t="shared" si="12"/>
        <v>0.29612188365650971</v>
      </c>
      <c r="Y57" s="6">
        <f t="shared" si="5"/>
        <v>0</v>
      </c>
      <c r="Z57" s="6">
        <f t="shared" si="6"/>
        <v>0</v>
      </c>
      <c r="AA57" s="6">
        <f t="shared" si="7"/>
        <v>2.3644406917047649E-2</v>
      </c>
      <c r="AB57" s="6">
        <f t="shared" si="8"/>
        <v>9.8735986231185523E-3</v>
      </c>
      <c r="AC57" s="18">
        <v>1492</v>
      </c>
      <c r="AD57" s="18">
        <v>1573</v>
      </c>
      <c r="AE57" s="16">
        <f>표1[[#This Row],[군입대]]/표1[[#This Row],[의대졸합격/남]]</f>
        <v>0.66004431242218364</v>
      </c>
      <c r="AF57" s="39">
        <v>2420</v>
      </c>
      <c r="AG57" s="39">
        <v>1069</v>
      </c>
      <c r="AH57" s="39">
        <v>0</v>
      </c>
      <c r="AI57" s="39">
        <v>0</v>
      </c>
      <c r="AJ57" s="39">
        <f t="shared" si="9"/>
        <v>2420</v>
      </c>
      <c r="AK57" s="39">
        <f t="shared" si="10"/>
        <v>1069</v>
      </c>
    </row>
    <row r="58" spans="1:37" ht="17.25" thickBot="1" x14ac:dyDescent="0.3">
      <c r="A58" s="1">
        <v>2006</v>
      </c>
      <c r="B58" s="9">
        <v>48438292</v>
      </c>
      <c r="C58" s="7">
        <v>88139</v>
      </c>
      <c r="D58" s="7">
        <v>70074</v>
      </c>
      <c r="E58" s="7">
        <v>18065</v>
      </c>
      <c r="F58" s="14">
        <f>표1[[#This Row],[의사수/남]]/표1[[#This Row],[의사수/계]]</f>
        <v>0.79503965327494075</v>
      </c>
      <c r="G58" s="11">
        <v>68143</v>
      </c>
      <c r="H58" s="28">
        <v>3816</v>
      </c>
      <c r="I58" s="28">
        <v>3743</v>
      </c>
      <c r="J58" s="1">
        <v>3489</v>
      </c>
      <c r="K58" s="1">
        <v>327</v>
      </c>
      <c r="L58" s="35">
        <v>254</v>
      </c>
      <c r="M58" s="1">
        <f t="shared" si="4"/>
        <v>89068</v>
      </c>
      <c r="N58" s="1">
        <f>(-5*(표1[[#This Row],[년도]]-1950)^2/100000)+(16*(표1[[#This Row],[년도]]-1950)/10000)+0.8551</f>
        <v>0.78789999999999993</v>
      </c>
      <c r="O58" s="19">
        <f>(표1[[#This Row],[의대졸비율/남]]+표1[[#This Row],[의전졸비율/남]]+표1[[#This Row],[불합비율/남]])-표1[[#This Row],[의사고시성비추세]]</f>
        <v>-0.15931046580734909</v>
      </c>
      <c r="P58" s="5">
        <f>(표1[[#This Row],[의대졸업/남]])/(표1[[#This Row],[졸업합계/남]]+표1[[#This Row],[졸업합계/여]]+L57)*표1[[#This Row],[의사고시 합격자수]]</f>
        <v>2034.4754928076718</v>
      </c>
      <c r="Q58" s="5">
        <f>(표1[[#This Row],[의대졸업/여]])/(표1[[#This Row],[졸업합계/남]]+표1[[#This Row],[졸업합계/여]]+L57)*표1[[#This Row],[의사고시 합격자수]]</f>
        <v>1225.8899840170484</v>
      </c>
      <c r="R58" s="5">
        <f>(표1[[#This Row],[의전원졸업/남]])/(표1[[#This Row],[졸업합계/남]]+표1[[#This Row],[졸업합계/여]]+L57)*표1[[#This Row],[의사고시 합격자수]]</f>
        <v>0</v>
      </c>
      <c r="S58" s="5">
        <f>(표1[[#This Row],[의전원졸업/여]])/(표1[[#This Row],[졸업합계/남]]+표1[[#This Row],[졸업합계/여]]+L57)*표1[[#This Row],[의사고시 합격자수]]</f>
        <v>0</v>
      </c>
      <c r="T58" s="5">
        <f>(L57*V57)/(표1[[#This Row],[졸업합계/남]]+표1[[#This Row],[졸업합계/여]]+L57)*표1[[#This Row],[의사고시 합격자수]]</f>
        <v>158.67339199048715</v>
      </c>
      <c r="U58" s="5">
        <f>(L57*(1-V57))/(표1[[#This Row],[졸업합계/남]]+표1[[#This Row],[졸업합계/여]]+L57)*표1[[#This Row],[의사고시 합격자수]]</f>
        <v>69.961131184792549</v>
      </c>
      <c r="V58" s="40">
        <f>표1[[#This Row],[의대졸비율/남]]+표1[[#This Row],[의전졸비율/남]]+표1[[#This Row],[불합비율/남]]</f>
        <v>0.62858953419265085</v>
      </c>
      <c r="W58" s="6">
        <f t="shared" si="11"/>
        <v>0.58311134789557806</v>
      </c>
      <c r="X58" s="6">
        <f t="shared" si="12"/>
        <v>0.35135855087906231</v>
      </c>
      <c r="Y58" s="6">
        <f t="shared" si="5"/>
        <v>0</v>
      </c>
      <c r="Z58" s="6">
        <f t="shared" si="6"/>
        <v>0</v>
      </c>
      <c r="AA58" s="6">
        <f t="shared" si="7"/>
        <v>4.5478186297072842E-2</v>
      </c>
      <c r="AB58" s="6">
        <f t="shared" si="8"/>
        <v>2.0051914928286771E-2</v>
      </c>
      <c r="AC58" s="18">
        <v>1417</v>
      </c>
      <c r="AD58" s="18">
        <v>1537</v>
      </c>
      <c r="AE58" s="16">
        <f>표1[[#This Row],[군입대]]/표1[[#This Row],[의대졸합격/남]]</f>
        <v>0.69649401283496093</v>
      </c>
      <c r="AF58" s="39">
        <v>2189</v>
      </c>
      <c r="AG58" s="39">
        <v>1319</v>
      </c>
      <c r="AH58" s="39">
        <v>0</v>
      </c>
      <c r="AI58" s="39">
        <v>0</v>
      </c>
      <c r="AJ58" s="39">
        <f t="shared" si="9"/>
        <v>2189</v>
      </c>
      <c r="AK58" s="39">
        <f t="shared" si="10"/>
        <v>1319</v>
      </c>
    </row>
    <row r="59" spans="1:37" ht="17.25" thickBot="1" x14ac:dyDescent="0.3">
      <c r="A59" s="1">
        <v>2007</v>
      </c>
      <c r="B59" s="9">
        <v>48683638</v>
      </c>
      <c r="C59" s="7">
        <v>91400</v>
      </c>
      <c r="D59" s="7">
        <v>72147</v>
      </c>
      <c r="E59" s="7">
        <v>19253</v>
      </c>
      <c r="F59" s="14">
        <f>표1[[#This Row],[의사수/남]]/표1[[#This Row],[의사수/계]]</f>
        <v>0.78935448577680523</v>
      </c>
      <c r="G59" s="11">
        <v>70355</v>
      </c>
      <c r="H59" s="29">
        <v>3765</v>
      </c>
      <c r="I59" s="29">
        <v>3735</v>
      </c>
      <c r="J59" s="1">
        <v>3305</v>
      </c>
      <c r="K59" s="1">
        <v>460</v>
      </c>
      <c r="L59" s="35">
        <v>430</v>
      </c>
      <c r="M59" s="1">
        <f t="shared" si="4"/>
        <v>92373</v>
      </c>
      <c r="N59" s="1">
        <f>(-5*(표1[[#This Row],[년도]]-1950)^2/100000)+(16*(표1[[#This Row],[년도]]-1950)/10000)+0.8551</f>
        <v>0.78384999999999994</v>
      </c>
      <c r="O59" s="19">
        <f>(표1[[#This Row],[의대졸비율/남]]+표1[[#This Row],[의전졸비율/남]]+표1[[#This Row],[불합비율/남]])-표1[[#This Row],[의사고시성비추세]]</f>
        <v>-0.14079687471667113</v>
      </c>
      <c r="P59" s="5">
        <f>(표1[[#This Row],[의대졸업/남]])/(표1[[#This Row],[졸업합계/남]]+표1[[#This Row],[졸업합계/여]]+L58)*표1[[#This Row],[의사고시 합격자수]]</f>
        <v>1984.2368350708366</v>
      </c>
      <c r="Q59" s="5">
        <f>(표1[[#This Row],[의대졸업/여]])/(표1[[#This Row],[졸업합계/남]]+표1[[#This Row],[졸업합계/여]]+L58)*표1[[#This Row],[의사고시 합격자수]]</f>
        <v>1096.3659449345096</v>
      </c>
      <c r="R59" s="5">
        <f>(표1[[#This Row],[의전원졸업/남]])/(표1[[#This Row],[졸업합계/남]]+표1[[#This Row],[졸업합계/여]]+L58)*표1[[#This Row],[의사고시 합격자수]]</f>
        <v>0</v>
      </c>
      <c r="S59" s="5">
        <f>(표1[[#This Row],[의전원졸업/여]])/(표1[[#This Row],[졸업합계/남]]+표1[[#This Row],[졸업합계/여]]+L58)*표1[[#This Row],[의사고시 합격자수]]</f>
        <v>0</v>
      </c>
      <c r="T59" s="5">
        <f>(L58*V58)/(표1[[#This Row],[졸업합계/남]]+표1[[#This Row],[졸업합계/여]]+L58)*표1[[#This Row],[의사고시 합격자수]]</f>
        <v>141.05374399056524</v>
      </c>
      <c r="U59" s="5">
        <f>(L58*(1-V58))/(표1[[#This Row],[졸업합계/남]]+표1[[#This Row],[졸업합계/여]]+L58)*표1[[#This Row],[의사고시 합격자수]]</f>
        <v>83.343476004088586</v>
      </c>
      <c r="V59" s="40">
        <f>표1[[#This Row],[의대졸비율/남]]+표1[[#This Row],[의전졸비율/남]]+표1[[#This Row],[불합비율/남]]</f>
        <v>0.64305312528332881</v>
      </c>
      <c r="W59" s="6">
        <f t="shared" si="11"/>
        <v>0.60037423148890667</v>
      </c>
      <c r="X59" s="6">
        <f t="shared" si="12"/>
        <v>0.33172948409516173</v>
      </c>
      <c r="Y59" s="6">
        <f t="shared" si="5"/>
        <v>0</v>
      </c>
      <c r="Z59" s="6">
        <f t="shared" si="6"/>
        <v>0</v>
      </c>
      <c r="AA59" s="6">
        <f t="shared" si="7"/>
        <v>4.2678893794422162E-2</v>
      </c>
      <c r="AB59" s="6">
        <f t="shared" si="8"/>
        <v>2.5217390621509406E-2</v>
      </c>
      <c r="AC59" s="18">
        <v>1487</v>
      </c>
      <c r="AD59" s="18">
        <v>1524</v>
      </c>
      <c r="AE59" s="16">
        <f>표1[[#This Row],[군입대]]/표1[[#This Row],[의대졸합격/남]]</f>
        <v>0.74940650920176799</v>
      </c>
      <c r="AF59" s="39">
        <v>2246</v>
      </c>
      <c r="AG59" s="39">
        <v>1241</v>
      </c>
      <c r="AH59" s="39">
        <v>0</v>
      </c>
      <c r="AI59" s="39">
        <v>0</v>
      </c>
      <c r="AJ59" s="39">
        <f t="shared" si="9"/>
        <v>2246</v>
      </c>
      <c r="AK59" s="39">
        <f t="shared" si="10"/>
        <v>1241</v>
      </c>
    </row>
    <row r="60" spans="1:37" ht="17.25" thickBot="1" x14ac:dyDescent="0.3">
      <c r="A60" s="1">
        <v>2008</v>
      </c>
      <c r="B60" s="9">
        <v>49054708</v>
      </c>
      <c r="C60" s="7">
        <v>95014</v>
      </c>
      <c r="D60" s="7">
        <v>74491</v>
      </c>
      <c r="E60" s="7">
        <v>20523</v>
      </c>
      <c r="F60" s="14">
        <f>표1[[#This Row],[의사수/남]]/표1[[#This Row],[의사수/계]]</f>
        <v>0.78400025259435446</v>
      </c>
      <c r="G60" s="11">
        <v>75714</v>
      </c>
      <c r="H60" s="28">
        <v>4059</v>
      </c>
      <c r="I60" s="28">
        <v>4028</v>
      </c>
      <c r="J60" s="1">
        <v>3887</v>
      </c>
      <c r="K60" s="1">
        <v>172</v>
      </c>
      <c r="L60" s="35">
        <v>141</v>
      </c>
      <c r="M60" s="1">
        <f t="shared" si="4"/>
        <v>96260</v>
      </c>
      <c r="N60" s="1">
        <f>(-5*(표1[[#This Row],[년도]]-1950)^2/100000)+(16*(표1[[#This Row],[년도]]-1950)/10000)+0.8551</f>
        <v>0.77969999999999995</v>
      </c>
      <c r="O60" s="19">
        <f>(표1[[#This Row],[의대졸비율/남]]+표1[[#This Row],[의전졸비율/남]]+표1[[#This Row],[불합비율/남]])-표1[[#This Row],[의사고시성비추세]]</f>
        <v>-0.12365612903204382</v>
      </c>
      <c r="P60" s="5">
        <f>(표1[[#This Row],[의대졸업/남]])/(표1[[#This Row],[졸업합계/남]]+표1[[#This Row],[졸업합계/여]]+L59)*표1[[#This Row],[의사고시 합격자수]]</f>
        <v>2283.4075911684445</v>
      </c>
      <c r="Q60" s="5">
        <f>(표1[[#This Row],[의대졸업/여]])/(표1[[#This Row],[졸업합계/남]]+표1[[#This Row],[졸업합계/여]]+L59)*표1[[#This Row],[의사고시 합격자수]]</f>
        <v>1188.9533614487721</v>
      </c>
      <c r="R60" s="5">
        <f>(표1[[#This Row],[의전원졸업/남]])/(표1[[#This Row],[졸업합계/남]]+표1[[#This Row],[졸업합계/여]]+L59)*표1[[#This Row],[의사고시 합격자수]]</f>
        <v>0</v>
      </c>
      <c r="S60" s="5">
        <f>(표1[[#This Row],[의전원졸업/여]])/(표1[[#This Row],[졸업합계/남]]+표1[[#This Row],[졸업합계/여]]+L59)*표1[[#This Row],[의사고시 합격자수]]</f>
        <v>0</v>
      </c>
      <c r="T60" s="5">
        <f>(L59*V59)/(표1[[#This Row],[졸업합계/남]]+표1[[#This Row],[졸업합계/여]]+L59)*표1[[#This Row],[의사고시 합격자수]]</f>
        <v>266.63493528400113</v>
      </c>
      <c r="U60" s="5">
        <f>(L59*(1-V59))/(표1[[#This Row],[졸업합계/남]]+표1[[#This Row],[졸업합계/여]]+L59)*표1[[#This Row],[의사고시 합격자수]]</f>
        <v>148.00411209878229</v>
      </c>
      <c r="V60" s="40">
        <f>표1[[#This Row],[의대졸비율/남]]+표1[[#This Row],[의전졸비율/남]]+표1[[#This Row],[불합비율/남]]</f>
        <v>0.65604387096795613</v>
      </c>
      <c r="W60" s="6">
        <f t="shared" si="11"/>
        <v>0.58744728355246834</v>
      </c>
      <c r="X60" s="6">
        <f t="shared" si="12"/>
        <v>0.30587943438352766</v>
      </c>
      <c r="Y60" s="6">
        <f t="shared" si="5"/>
        <v>0</v>
      </c>
      <c r="Z60" s="6">
        <f t="shared" si="6"/>
        <v>0</v>
      </c>
      <c r="AA60" s="6">
        <f t="shared" si="7"/>
        <v>6.8596587415487811E-2</v>
      </c>
      <c r="AB60" s="6">
        <f t="shared" si="8"/>
        <v>3.8076694648516152E-2</v>
      </c>
      <c r="AC60" s="18">
        <v>1451</v>
      </c>
      <c r="AD60" s="18">
        <v>1492</v>
      </c>
      <c r="AE60" s="16">
        <f>표1[[#This Row],[군입대]]/표1[[#This Row],[의대졸합격/남]]</f>
        <v>0.63545378653029161</v>
      </c>
      <c r="AF60" s="39">
        <v>2368</v>
      </c>
      <c r="AG60" s="39">
        <v>1233</v>
      </c>
      <c r="AH60" s="39">
        <v>0</v>
      </c>
      <c r="AI60" s="39">
        <v>0</v>
      </c>
      <c r="AJ60" s="39">
        <f t="shared" si="9"/>
        <v>2368</v>
      </c>
      <c r="AK60" s="39">
        <f t="shared" si="10"/>
        <v>1233</v>
      </c>
    </row>
    <row r="61" spans="1:37" ht="17.25" thickBot="1" x14ac:dyDescent="0.3">
      <c r="A61" s="1">
        <v>2009</v>
      </c>
      <c r="B61" s="9">
        <v>49307835</v>
      </c>
      <c r="C61" s="7">
        <v>98360</v>
      </c>
      <c r="D61" s="7">
        <v>76550</v>
      </c>
      <c r="E61" s="7">
        <v>21810</v>
      </c>
      <c r="F61" s="14">
        <f>표1[[#This Row],[의사수/남]]/표1[[#This Row],[의사수/계]]</f>
        <v>0.77826352175681168</v>
      </c>
      <c r="G61" s="11">
        <v>79046</v>
      </c>
      <c r="H61" s="29">
        <v>3770</v>
      </c>
      <c r="I61" s="29">
        <v>3750</v>
      </c>
      <c r="J61" s="1">
        <v>3510</v>
      </c>
      <c r="K61" s="1">
        <v>260</v>
      </c>
      <c r="L61" s="35">
        <v>240</v>
      </c>
      <c r="M61" s="1">
        <f t="shared" si="4"/>
        <v>99770</v>
      </c>
      <c r="N61" s="1">
        <f>(-5*(표1[[#This Row],[년도]]-1950)^2/100000)+(16*(표1[[#This Row],[년도]]-1950)/10000)+0.8551</f>
        <v>0.77544999999999997</v>
      </c>
      <c r="O61" s="19">
        <f>(표1[[#This Row],[의대졸비율/남]]+표1[[#This Row],[의전졸비율/남]]+표1[[#This Row],[불합비율/남]])-표1[[#This Row],[의사고시성비추세]]</f>
        <v>-0.14052246060916807</v>
      </c>
      <c r="P61" s="5">
        <f>(표1[[#This Row],[의대졸업/남]])/(표1[[#This Row],[졸업합계/남]]+표1[[#This Row],[졸업합계/여]]+L60)*표1[[#This Row],[의사고시 합격자수]]</f>
        <v>2083.6254980079684</v>
      </c>
      <c r="Q61" s="5">
        <f>(표1[[#This Row],[의대졸업/여]])/(표1[[#This Row],[졸업합계/남]]+표1[[#This Row],[졸업합계/여]]+L60)*표1[[#This Row],[의사고시 합격자수]]</f>
        <v>1146.6932270916334</v>
      </c>
      <c r="R61" s="5">
        <f>(표1[[#This Row],[의전원졸업/남]])/(표1[[#This Row],[졸업합계/남]]+표1[[#This Row],[졸업합계/여]]+L60)*표1[[#This Row],[의사고시 합격자수]]</f>
        <v>58.733067729083665</v>
      </c>
      <c r="S61" s="5">
        <f>(표1[[#This Row],[의전원졸업/여]])/(표1[[#This Row],[졸업합계/남]]+표1[[#This Row],[졸업합계/여]]+L60)*표1[[#This Row],[의사고시 합격자수]]</f>
        <v>89.498007968127496</v>
      </c>
      <c r="T61" s="5">
        <f>(L60*V60)/(표1[[#This Row],[졸업합계/남]]+표1[[#This Row],[졸업합계/여]]+L60)*표1[[#This Row],[의사고시 합격자수]]</f>
        <v>86.237097524767904</v>
      </c>
      <c r="U61" s="5">
        <f>(L60*(1-V60))/(표1[[#This Row],[졸업합계/남]]+표1[[#This Row],[졸업합계/여]]+L60)*표1[[#This Row],[의사고시 합격자수]]</f>
        <v>45.213101678419342</v>
      </c>
      <c r="V61" s="40">
        <f>표1[[#This Row],[의대졸비율/남]]+표1[[#This Row],[의전졸비율/남]]+표1[[#This Row],[불합비율/남]]</f>
        <v>0.63492753939083191</v>
      </c>
      <c r="W61" s="6">
        <f t="shared" si="11"/>
        <v>0.59362549800796816</v>
      </c>
      <c r="X61" s="6">
        <f t="shared" si="12"/>
        <v>0.32669322709163345</v>
      </c>
      <c r="Y61" s="6">
        <f t="shared" ref="Y61:Y77" si="13">R61/J61</f>
        <v>1.6733067729083666E-2</v>
      </c>
      <c r="Z61" s="6">
        <f t="shared" ref="Z61:Z77" si="14">S61/J61</f>
        <v>2.5498007968127491E-2</v>
      </c>
      <c r="AA61" s="6">
        <f t="shared" ref="AA61:AA77" si="15">T61/J61</f>
        <v>2.4568973653780031E-2</v>
      </c>
      <c r="AB61" s="6">
        <f t="shared" ref="AB61:AB77" si="16">U61/J61</f>
        <v>1.2881225549407221E-2</v>
      </c>
      <c r="AC61" s="18">
        <v>1559</v>
      </c>
      <c r="AD61" s="18">
        <v>1417</v>
      </c>
      <c r="AE61" s="16">
        <f>표1[[#This Row],[군입대]]/표1[[#This Row],[의대졸합격/남]]</f>
        <v>0.74821507103386287</v>
      </c>
      <c r="AF61" s="39">
        <v>2235</v>
      </c>
      <c r="AG61" s="39">
        <v>1230</v>
      </c>
      <c r="AH61" s="39">
        <v>63</v>
      </c>
      <c r="AI61" s="39">
        <v>96</v>
      </c>
      <c r="AJ61" s="39">
        <f t="shared" si="9"/>
        <v>2298</v>
      </c>
      <c r="AK61" s="39">
        <f t="shared" si="10"/>
        <v>1326</v>
      </c>
    </row>
    <row r="62" spans="1:37" ht="17.25" thickBot="1" x14ac:dyDescent="0.3">
      <c r="A62" s="1">
        <v>2010</v>
      </c>
      <c r="B62" s="9">
        <v>49554112</v>
      </c>
      <c r="C62" s="7">
        <v>101371</v>
      </c>
      <c r="D62" s="7">
        <v>78433</v>
      </c>
      <c r="E62" s="7">
        <v>22938</v>
      </c>
      <c r="F62" s="14">
        <f>표1[[#This Row],[의사수/남]]/표1[[#This Row],[의사수/계]]</f>
        <v>0.77372226770969998</v>
      </c>
      <c r="G62" s="11">
        <v>82137</v>
      </c>
      <c r="H62" s="28">
        <v>3481</v>
      </c>
      <c r="I62" s="28">
        <v>3469</v>
      </c>
      <c r="J62" s="1">
        <v>3224</v>
      </c>
      <c r="K62" s="1">
        <v>257</v>
      </c>
      <c r="L62" s="35">
        <v>245</v>
      </c>
      <c r="M62" s="1">
        <f t="shared" si="4"/>
        <v>102994</v>
      </c>
      <c r="N62" s="1">
        <f>(-5*(표1[[#This Row],[년도]]-1950)^2/100000)+(16*(표1[[#This Row],[년도]]-1950)/10000)+0.8551</f>
        <v>0.77110000000000001</v>
      </c>
      <c r="O62" s="19">
        <f>(표1[[#This Row],[의대졸비율/남]]+표1[[#This Row],[의전졸비율/남]]+표1[[#This Row],[불합비율/남]])-표1[[#This Row],[의사고시성비추세]]</f>
        <v>-0.13254320230639871</v>
      </c>
      <c r="P62" s="5">
        <f>(표1[[#This Row],[의대졸업/남]])/(표1[[#This Row],[졸업합계/남]]+표1[[#This Row],[졸업합계/여]]+L61)*표1[[#This Row],[의사고시 합격자수]]</f>
        <v>1674.0702151755379</v>
      </c>
      <c r="Q62" s="5">
        <f>(표1[[#This Row],[의대졸업/여]])/(표1[[#This Row],[졸업합계/남]]+표1[[#This Row],[졸업합계/여]]+L61)*표1[[#This Row],[의사고시 합격자수]]</f>
        <v>779.52887882219704</v>
      </c>
      <c r="R62" s="5">
        <f>(표1[[#This Row],[의전원졸업/남]])/(표1[[#This Row],[졸업합계/남]]+표1[[#This Row],[졸업합계/여]]+L61)*표1[[#This Row],[의사고시 합격자수]]</f>
        <v>245.54246885617215</v>
      </c>
      <c r="S62" s="5">
        <f>(표1[[#This Row],[의전원졸업/여]])/(표1[[#This Row],[졸업합계/남]]+표1[[#This Row],[졸업합계/여]]+L61)*표1[[#This Row],[의사고시 합격자수]]</f>
        <v>305.78708946772366</v>
      </c>
      <c r="T62" s="5">
        <f>(L61*V61)/(표1[[#This Row],[졸업합계/남]]+표1[[#This Row],[졸업합계/여]]+L61)*표1[[#This Row],[의사고시 합격자수]]</f>
        <v>139.09443173246041</v>
      </c>
      <c r="U62" s="5">
        <f>(L61*(1-V61))/(표1[[#This Row],[졸업합계/남]]+표1[[#This Row],[졸업합계/여]]+L61)*표1[[#This Row],[의사고시 합격자수]]</f>
        <v>79.9769159459088</v>
      </c>
      <c r="V62" s="40">
        <f>표1[[#This Row],[의대졸비율/남]]+표1[[#This Row],[의전졸비율/남]]+표1[[#This Row],[불합비율/남]]</f>
        <v>0.6385567976936013</v>
      </c>
      <c r="W62" s="6">
        <f t="shared" si="11"/>
        <v>0.51925254813137034</v>
      </c>
      <c r="X62" s="6">
        <f t="shared" si="12"/>
        <v>0.24178935447338618</v>
      </c>
      <c r="Y62" s="6">
        <f t="shared" si="13"/>
        <v>7.6160815402038506E-2</v>
      </c>
      <c r="Z62" s="6">
        <f t="shared" si="14"/>
        <v>9.4847112117780297E-2</v>
      </c>
      <c r="AA62" s="6">
        <f t="shared" si="15"/>
        <v>4.3143434160192437E-2</v>
      </c>
      <c r="AB62" s="6">
        <f t="shared" si="16"/>
        <v>2.4806735715232259E-2</v>
      </c>
      <c r="AC62" s="18">
        <v>1385</v>
      </c>
      <c r="AD62" s="18">
        <v>1487</v>
      </c>
      <c r="AE62" s="16">
        <f>표1[[#This Row],[군입대]]/표1[[#This Row],[의대졸합격/남]]</f>
        <v>0.82732491591147095</v>
      </c>
      <c r="AF62" s="39">
        <v>1834</v>
      </c>
      <c r="AG62" s="39">
        <v>854</v>
      </c>
      <c r="AH62" s="39">
        <v>269</v>
      </c>
      <c r="AI62" s="39">
        <v>335</v>
      </c>
      <c r="AJ62" s="39">
        <f t="shared" si="9"/>
        <v>2103</v>
      </c>
      <c r="AK62" s="39">
        <f t="shared" si="10"/>
        <v>1189</v>
      </c>
    </row>
    <row r="63" spans="1:37" ht="17.25" thickBot="1" x14ac:dyDescent="0.3">
      <c r="A63" s="1">
        <v>2011</v>
      </c>
      <c r="B63" s="9">
        <v>49936638</v>
      </c>
      <c r="C63" s="7">
        <v>104332</v>
      </c>
      <c r="D63" s="7">
        <v>80348</v>
      </c>
      <c r="E63" s="7">
        <v>23984</v>
      </c>
      <c r="F63" s="14">
        <f>표1[[#This Row],[의사수/남]]/표1[[#This Row],[의사수/계]]</f>
        <v>0.77011846796764172</v>
      </c>
      <c r="G63" s="11">
        <v>84544</v>
      </c>
      <c r="H63" s="29">
        <v>3391</v>
      </c>
      <c r="I63" s="29">
        <v>3376</v>
      </c>
      <c r="J63" s="1">
        <v>3095</v>
      </c>
      <c r="K63" s="1">
        <v>296</v>
      </c>
      <c r="L63" s="35">
        <v>281</v>
      </c>
      <c r="M63" s="1">
        <f t="shared" si="4"/>
        <v>106089</v>
      </c>
      <c r="N63" s="1">
        <f>(-5*(표1[[#This Row],[년도]]-1950)^2/100000)+(16*(표1[[#This Row],[년도]]-1950)/10000)+0.8551</f>
        <v>0.76664999999999994</v>
      </c>
      <c r="O63" s="19">
        <f>(표1[[#This Row],[의대졸비율/남]]+표1[[#This Row],[의전졸비율/남]]+표1[[#This Row],[불합비율/남]])-표1[[#This Row],[의사고시성비추세]]</f>
        <v>-0.10839536533636207</v>
      </c>
      <c r="P63" s="5">
        <f>(표1[[#This Row],[의대졸업/남]])/(표1[[#This Row],[졸업합계/남]]+표1[[#This Row],[졸업합계/여]]+L62)*표1[[#This Row],[의사고시 합격자수]]</f>
        <v>1634.0230052417007</v>
      </c>
      <c r="Q63" s="5">
        <f>(표1[[#This Row],[의대졸업/여]])/(표1[[#This Row],[졸업합계/남]]+표1[[#This Row],[졸업합계/여]]+L62)*표1[[#This Row],[의사고시 합격자수]]</f>
        <v>650.72510192195693</v>
      </c>
      <c r="R63" s="5">
        <f>(표1[[#This Row],[의전원졸업/남]])/(표1[[#This Row],[졸업합계/남]]+표1[[#This Row],[졸업합계/여]]+L62)*표1[[#This Row],[의사고시 합격자수]]</f>
        <v>262.27285963890506</v>
      </c>
      <c r="S63" s="5">
        <f>(표1[[#This Row],[의전원졸업/여]])/(표1[[#This Row],[졸업합계/남]]+표1[[#This Row],[졸업합계/여]]+L62)*표1[[#This Row],[의사고시 합격자수]]</f>
        <v>327.16511357018055</v>
      </c>
      <c r="T63" s="5">
        <f>(L62*V62)/(표1[[#This Row],[졸업합계/남]]+표1[[#This Row],[졸업합계/여]]+L62)*표1[[#This Row],[의사고시 합격자수]]</f>
        <v>141.00222940335337</v>
      </c>
      <c r="U63" s="5">
        <f>(L62*(1-V62))/(표1[[#This Row],[졸업합계/남]]+표1[[#This Row],[졸업합계/여]]+L62)*표1[[#This Row],[의사고시 합격자수]]</f>
        <v>79.811690223903454</v>
      </c>
      <c r="V63" s="40">
        <f>표1[[#This Row],[의대졸비율/남]]+표1[[#This Row],[의전졸비율/남]]+표1[[#This Row],[불합비율/남]]</f>
        <v>0.65825463466363787</v>
      </c>
      <c r="W63" s="6">
        <f t="shared" si="11"/>
        <v>0.52795573675014562</v>
      </c>
      <c r="X63" s="6">
        <f t="shared" si="12"/>
        <v>0.21025043680838673</v>
      </c>
      <c r="Y63" s="6">
        <f t="shared" si="13"/>
        <v>8.4740827023878862E-2</v>
      </c>
      <c r="Z63" s="6">
        <f t="shared" si="14"/>
        <v>0.10570762958648806</v>
      </c>
      <c r="AA63" s="6">
        <f t="shared" si="15"/>
        <v>4.5558070889613368E-2</v>
      </c>
      <c r="AB63" s="6">
        <f t="shared" si="16"/>
        <v>2.5787298941487385E-2</v>
      </c>
      <c r="AC63" s="18">
        <v>1223</v>
      </c>
      <c r="AD63" s="18">
        <v>1451</v>
      </c>
      <c r="AE63" s="16">
        <f>표1[[#This Row],[군입대]]/표1[[#This Row],[의대졸합격/남]]</f>
        <v>0.74845947460763984</v>
      </c>
      <c r="AF63" s="39">
        <v>1813</v>
      </c>
      <c r="AG63" s="39">
        <v>722</v>
      </c>
      <c r="AH63" s="39">
        <v>291</v>
      </c>
      <c r="AI63" s="39">
        <v>363</v>
      </c>
      <c r="AJ63" s="39">
        <f t="shared" si="9"/>
        <v>2104</v>
      </c>
      <c r="AK63" s="39">
        <f t="shared" si="10"/>
        <v>1085</v>
      </c>
    </row>
    <row r="64" spans="1:37" ht="17.25" thickBot="1" x14ac:dyDescent="0.3">
      <c r="A64" s="1">
        <v>2012</v>
      </c>
      <c r="B64" s="9">
        <v>50199853</v>
      </c>
      <c r="C64" s="7">
        <v>107221</v>
      </c>
      <c r="D64" s="7">
        <v>82216</v>
      </c>
      <c r="E64" s="7">
        <v>25005</v>
      </c>
      <c r="F64" s="14">
        <f>표1[[#This Row],[의사수/남]]/표1[[#This Row],[의사수/계]]</f>
        <v>0.76679008776265845</v>
      </c>
      <c r="G64" s="11">
        <v>86761</v>
      </c>
      <c r="H64" s="28">
        <v>3515</v>
      </c>
      <c r="I64" s="28">
        <v>3446</v>
      </c>
      <c r="J64" s="1">
        <v>3208</v>
      </c>
      <c r="K64" s="1">
        <v>307</v>
      </c>
      <c r="L64" s="35">
        <v>238</v>
      </c>
      <c r="M64" s="12">
        <f t="shared" si="4"/>
        <v>109297</v>
      </c>
      <c r="N64" s="1">
        <f>(-5*(표1[[#This Row],[년도]]-1950)^2/100000)+(16*(표1[[#This Row],[년도]]-1950)/10000)+0.8551</f>
        <v>0.7621</v>
      </c>
      <c r="O64" s="19">
        <f>(표1[[#This Row],[의대졸비율/남]]+표1[[#This Row],[의전졸비율/남]]+표1[[#This Row],[불합비율/남]])-표1[[#This Row],[의사고시성비추세]]</f>
        <v>-0.10191713053477414</v>
      </c>
      <c r="P64" s="5">
        <f>(표1[[#This Row],[의대졸업/남]])/(표1[[#This Row],[졸업합계/남]]+표1[[#This Row],[졸업합계/여]]+L63)*표1[[#This Row],[의사고시 합격자수]]</f>
        <v>1640.1261261261261</v>
      </c>
      <c r="Q64" s="5">
        <f>(표1[[#This Row],[의대졸업/여]])/(표1[[#This Row],[졸업합계/남]]+표1[[#This Row],[졸업합계/여]]+L63)*표1[[#This Row],[의사고시 합격자수]]</f>
        <v>584.34009009009014</v>
      </c>
      <c r="R64" s="5">
        <f>(표1[[#This Row],[의전원졸업/남]])/(표1[[#This Row],[졸업합계/남]]+표1[[#This Row],[졸업합계/여]]+L63)*표1[[#This Row],[의사고시 합격자수]]</f>
        <v>310.68468468468467</v>
      </c>
      <c r="S64" s="5">
        <f>(표1[[#This Row],[의전원졸업/여]])/(표1[[#This Row],[졸업합계/남]]+표1[[#This Row],[졸업합계/여]]+L63)*표1[[#This Row],[의사고시 합격자수]]</f>
        <v>419.06306306306305</v>
      </c>
      <c r="T64" s="5">
        <f>(L63*V63)/(표1[[#This Row],[졸업합계/남]]+표1[[#This Row],[졸업합계/여]]+L63)*표1[[#This Row],[의사고시 합격자수]]</f>
        <v>167.05583443363375</v>
      </c>
      <c r="U64" s="5">
        <f>(L63*(1-V63))/(표1[[#This Row],[졸업합계/남]]+표1[[#This Row],[졸업합계/여]]+L63)*표1[[#This Row],[의사고시 합격자수]]</f>
        <v>86.730201602402303</v>
      </c>
      <c r="V64" s="40">
        <f>표1[[#This Row],[의대졸비율/남]]+표1[[#This Row],[의전졸비율/남]]+표1[[#This Row],[불합비율/남]]</f>
        <v>0.66018286946522586</v>
      </c>
      <c r="W64" s="6">
        <f t="shared" si="11"/>
        <v>0.51126126126126126</v>
      </c>
      <c r="X64" s="6">
        <f t="shared" si="12"/>
        <v>0.18215090090090091</v>
      </c>
      <c r="Y64" s="6">
        <f t="shared" si="13"/>
        <v>9.6846846846846843E-2</v>
      </c>
      <c r="Z64" s="6">
        <f t="shared" si="14"/>
        <v>0.13063063063063063</v>
      </c>
      <c r="AA64" s="6">
        <f t="shared" si="15"/>
        <v>5.2074761357117749E-2</v>
      </c>
      <c r="AB64" s="6">
        <f t="shared" si="16"/>
        <v>2.7035599003242615E-2</v>
      </c>
      <c r="AC64" s="18">
        <v>1175</v>
      </c>
      <c r="AD64" s="18">
        <v>1559</v>
      </c>
      <c r="AE64" s="16">
        <f>표1[[#This Row],[군입대]]/표1[[#This Row],[의대졸합격/남]]</f>
        <v>0.71640831841102093</v>
      </c>
      <c r="AF64" s="39">
        <v>1816</v>
      </c>
      <c r="AG64" s="39">
        <v>647</v>
      </c>
      <c r="AH64" s="39">
        <v>344</v>
      </c>
      <c r="AI64" s="39">
        <v>464</v>
      </c>
      <c r="AJ64" s="39">
        <f t="shared" si="9"/>
        <v>2160</v>
      </c>
      <c r="AK64" s="39">
        <f t="shared" si="10"/>
        <v>1111</v>
      </c>
    </row>
    <row r="65" spans="1:37" ht="17.25" thickBot="1" x14ac:dyDescent="0.3">
      <c r="A65" s="1">
        <v>2013</v>
      </c>
      <c r="B65" s="9">
        <v>50428893</v>
      </c>
      <c r="C65" s="7">
        <v>109500</v>
      </c>
      <c r="D65" s="7">
        <v>83352</v>
      </c>
      <c r="E65" s="7">
        <v>26148</v>
      </c>
      <c r="F65" s="14">
        <f>표1[[#This Row],[의사수/남]]/표1[[#This Row],[의사수/계]]</f>
        <v>0.76120547945205475</v>
      </c>
      <c r="G65" s="11">
        <v>90710</v>
      </c>
      <c r="H65" s="29">
        <v>3338</v>
      </c>
      <c r="I65" s="29">
        <v>3287</v>
      </c>
      <c r="J65" s="1">
        <v>3032</v>
      </c>
      <c r="K65" s="1">
        <v>306</v>
      </c>
      <c r="L65" s="35">
        <v>255</v>
      </c>
      <c r="M65" s="12">
        <f t="shared" si="4"/>
        <v>112329</v>
      </c>
      <c r="N65" s="1">
        <f>(-5*(표1[[#This Row],[년도]]-1950)^2/100000)+(16*(표1[[#This Row],[년도]]-1950)/10000)+0.8551</f>
        <v>0.75744999999999996</v>
      </c>
      <c r="O65" s="19">
        <f>(표1[[#This Row],[의대졸비율/남]]+표1[[#This Row],[의전졸비율/남]]+표1[[#This Row],[불합비율/남]])-표1[[#This Row],[의사고시성비추세]]</f>
        <v>-0.16245615212468523</v>
      </c>
      <c r="P65" s="5">
        <f>(표1[[#This Row],[의대졸업/남]])/(표1[[#This Row],[졸업합계/남]]+표1[[#This Row],[졸업합계/여]]+L64)*표1[[#This Row],[의사고시 합격자수]]</f>
        <v>1092.5969636207392</v>
      </c>
      <c r="Q65" s="5">
        <f>(표1[[#This Row],[의대졸업/여]])/(표1[[#This Row],[졸업합계/남]]+표1[[#This Row],[졸업합계/여]]+L64)*표1[[#This Row],[의사고시 합격자수]]</f>
        <v>442.07619593239758</v>
      </c>
      <c r="R65" s="5">
        <f>(표1[[#This Row],[의전원졸업/남]])/(표1[[#This Row],[졸업합계/남]]+표1[[#This Row],[졸업합계/여]]+L64)*표1[[#This Row],[의사고시 합격자수]]</f>
        <v>574.95961042681176</v>
      </c>
      <c r="S65" s="5">
        <f>(표1[[#This Row],[의전원졸업/여]])/(표1[[#This Row],[졸업합계/남]]+표1[[#This Row],[졸업합계/여]]+L64)*표1[[#This Row],[의사고시 합격자수]]</f>
        <v>715.65969636207387</v>
      </c>
      <c r="T65" s="5">
        <f>(L64*V64)/(표1[[#This Row],[졸업합계/남]]+표1[[#This Row],[졸업합계/여]]+L64)*표1[[#This Row],[의사고시 합격자수]]</f>
        <v>136.46477271040345</v>
      </c>
      <c r="U65" s="5">
        <f>(L64*(1-V64))/(표1[[#This Row],[졸업합계/남]]+표1[[#This Row],[졸업합계/여]]+L64)*표1[[#This Row],[의사고시 합격자수]]</f>
        <v>70.242760947574212</v>
      </c>
      <c r="V65" s="40">
        <f>표1[[#This Row],[의대졸비율/남]]+표1[[#This Row],[의전졸비율/남]]+표1[[#This Row],[불합비율/남]]</f>
        <v>0.59499384787531473</v>
      </c>
      <c r="W65" s="6">
        <f t="shared" si="11"/>
        <v>0.36035519908335722</v>
      </c>
      <c r="X65" s="6">
        <f t="shared" si="12"/>
        <v>0.14580349470065884</v>
      </c>
      <c r="Y65" s="6">
        <f t="shared" si="13"/>
        <v>0.18963047837295902</v>
      </c>
      <c r="Z65" s="6">
        <f t="shared" si="14"/>
        <v>0.23603551990833571</v>
      </c>
      <c r="AA65" s="6">
        <f t="shared" si="15"/>
        <v>4.5008170418998503E-2</v>
      </c>
      <c r="AB65" s="6">
        <f t="shared" si="16"/>
        <v>2.3167137515690703E-2</v>
      </c>
      <c r="AC65" s="18">
        <v>662</v>
      </c>
      <c r="AD65" s="18">
        <v>1385</v>
      </c>
      <c r="AE65" s="16">
        <f>표1[[#This Row],[군입대]]/표1[[#This Row],[의대졸합격/남]]</f>
        <v>0.60589588113645221</v>
      </c>
      <c r="AF65" s="39">
        <v>1258</v>
      </c>
      <c r="AG65" s="39">
        <v>509</v>
      </c>
      <c r="AH65" s="39">
        <v>662</v>
      </c>
      <c r="AI65" s="39">
        <v>824</v>
      </c>
      <c r="AJ65" s="39">
        <f t="shared" si="9"/>
        <v>1920</v>
      </c>
      <c r="AK65" s="39">
        <f t="shared" si="10"/>
        <v>1333</v>
      </c>
    </row>
    <row r="66" spans="1:37" ht="17.25" thickBot="1" x14ac:dyDescent="0.3">
      <c r="A66" s="1">
        <v>2014</v>
      </c>
      <c r="B66" s="9">
        <v>50746659</v>
      </c>
      <c r="C66" s="7">
        <v>112407</v>
      </c>
      <c r="D66" s="7">
        <v>85009</v>
      </c>
      <c r="E66" s="7">
        <v>27398</v>
      </c>
      <c r="F66" s="14">
        <f>표1[[#This Row],[의사수/남]]/표1[[#This Row],[의사수/계]]</f>
        <v>0.75626073109325931</v>
      </c>
      <c r="G66" s="11">
        <v>92979</v>
      </c>
      <c r="H66" s="28">
        <v>3450</v>
      </c>
      <c r="I66" s="28">
        <v>3412</v>
      </c>
      <c r="J66" s="1">
        <v>3200</v>
      </c>
      <c r="K66" s="1">
        <v>250</v>
      </c>
      <c r="L66" s="35">
        <v>212</v>
      </c>
      <c r="M66" s="12">
        <f t="shared" si="4"/>
        <v>115529</v>
      </c>
      <c r="N66" s="1">
        <f>(-5*(표1[[#This Row],[년도]]-1950)^2/100000)+(16*(표1[[#This Row],[년도]]-1950)/10000)+0.8551</f>
        <v>0.75269999999999992</v>
      </c>
      <c r="O66" s="19">
        <f>(표1[[#This Row],[의대졸비율/남]]+표1[[#This Row],[의전졸비율/남]]+표1[[#This Row],[불합비율/남]])-표1[[#This Row],[의사고시성비추세]]</f>
        <v>-0.17159875102259836</v>
      </c>
      <c r="P66" s="5">
        <f>(표1[[#This Row],[의대졸업/남]])/(표1[[#This Row],[졸업합계/남]]+표1[[#This Row],[졸업합계/여]]+L65)*표1[[#This Row],[의사고시 합격자수]]</f>
        <v>1077.0226537216829</v>
      </c>
      <c r="Q66" s="5">
        <f>(표1[[#This Row],[의대졸업/여]])/(표1[[#This Row],[졸업합계/남]]+표1[[#This Row],[졸업합계/여]]+L65)*표1[[#This Row],[의사고시 합격자수]]</f>
        <v>474.64940668824164</v>
      </c>
      <c r="R66" s="5">
        <f>(표1[[#This Row],[의전원졸업/남]])/(표1[[#This Row],[졸업합계/남]]+표1[[#This Row],[졸업합계/여]]+L65)*표1[[#This Row],[의사고시 합격자수]]</f>
        <v>651.56418554476807</v>
      </c>
      <c r="S66" s="5">
        <f>(표1[[#This Row],[의전원졸업/여]])/(표1[[#This Row],[졸업합계/남]]+표1[[#This Row],[졸업합계/여]]+L65)*표1[[#This Row],[의사고시 합격자수]]</f>
        <v>776.69902912621365</v>
      </c>
      <c r="T66" s="5">
        <f>(L65*V65)/(표1[[#This Row],[졸업합계/남]]+표1[[#This Row],[졸업합계/여]]+L65)*표1[[#This Row],[의사고시 합격자수]]</f>
        <v>130.93715746123431</v>
      </c>
      <c r="U66" s="5">
        <f>(L65*(1-V65))/(표1[[#This Row],[졸업합계/남]]+표1[[#This Row],[졸업합계/여]]+L65)*표1[[#This Row],[의사고시 합격자수]]</f>
        <v>89.127567457859541</v>
      </c>
      <c r="V66" s="40">
        <f>표1[[#This Row],[의대졸비율/남]]+표1[[#This Row],[의전졸비율/남]]+표1[[#This Row],[불합비율/남]]</f>
        <v>0.58110124897740156</v>
      </c>
      <c r="W66" s="6">
        <f t="shared" si="11"/>
        <v>0.33656957928802589</v>
      </c>
      <c r="X66" s="6">
        <f t="shared" si="12"/>
        <v>0.14832793959007551</v>
      </c>
      <c r="Y66" s="6">
        <f t="shared" si="13"/>
        <v>0.20361380798274001</v>
      </c>
      <c r="Z66" s="6">
        <f t="shared" si="14"/>
        <v>0.24271844660194175</v>
      </c>
      <c r="AA66" s="6">
        <f t="shared" si="15"/>
        <v>4.0917861706635722E-2</v>
      </c>
      <c r="AB66" s="6">
        <f t="shared" si="16"/>
        <v>2.7852364830581108E-2</v>
      </c>
      <c r="AC66" s="18">
        <v>698</v>
      </c>
      <c r="AD66" s="18">
        <v>1223</v>
      </c>
      <c r="AE66" s="16">
        <f>표1[[#This Row],[군입대]]/표1[[#This Row],[의대졸합격/남]]</f>
        <v>0.64808293269230766</v>
      </c>
      <c r="AF66" s="39">
        <v>1248</v>
      </c>
      <c r="AG66" s="39">
        <v>550</v>
      </c>
      <c r="AH66" s="39">
        <v>755</v>
      </c>
      <c r="AI66" s="39">
        <v>900</v>
      </c>
      <c r="AJ66" s="39">
        <f t="shared" ref="AJ66:AJ72" si="17">AF66+AH66</f>
        <v>2003</v>
      </c>
      <c r="AK66" s="39">
        <f t="shared" ref="AK66:AK72" si="18">AG66+AI66</f>
        <v>1450</v>
      </c>
    </row>
    <row r="67" spans="1:37" ht="17.25" thickBot="1" x14ac:dyDescent="0.3">
      <c r="A67" s="1">
        <v>2015</v>
      </c>
      <c r="B67" s="9">
        <v>51014947</v>
      </c>
      <c r="C67" s="7">
        <v>115976</v>
      </c>
      <c r="D67" s="7">
        <v>87378</v>
      </c>
      <c r="E67" s="7">
        <v>28598</v>
      </c>
      <c r="F67" s="14">
        <f>표1[[#This Row],[의사수/남]]/표1[[#This Row],[의사수/계]]</f>
        <v>0.75341449955163142</v>
      </c>
      <c r="G67" s="11">
        <v>95076</v>
      </c>
      <c r="H67" s="29">
        <v>3310</v>
      </c>
      <c r="I67" s="29">
        <v>3302</v>
      </c>
      <c r="J67" s="1">
        <v>3125</v>
      </c>
      <c r="K67" s="1">
        <v>185</v>
      </c>
      <c r="L67" s="35">
        <v>177</v>
      </c>
      <c r="M67" s="12">
        <f t="shared" si="4"/>
        <v>118654</v>
      </c>
      <c r="N67" s="1">
        <f>(-5*(표1[[#This Row],[년도]]-1950)^2/100000)+(16*(표1[[#This Row],[년도]]-1950)/10000)+0.8551</f>
        <v>0.74785000000000001</v>
      </c>
      <c r="O67" s="19">
        <f>(표1[[#This Row],[의대졸비율/남]]+표1[[#This Row],[의전졸비율/남]]+표1[[#This Row],[불합비율/남]])-표1[[#This Row],[의사고시성비추세]]</f>
        <v>-0.14127029367852217</v>
      </c>
      <c r="P67" s="5">
        <f>(표1[[#This Row],[의대졸업/남]])/(표1[[#This Row],[졸업합계/남]]+표1[[#This Row],[졸업합계/여]]+L66)*표1[[#This Row],[의사고시 합격자수]]</f>
        <v>1049.6453900709221</v>
      </c>
      <c r="Q67" s="5">
        <f>(표1[[#This Row],[의대졸업/여]])/(표1[[#This Row],[졸업합계/남]]+표1[[#This Row],[졸업합계/여]]+L66)*표1[[#This Row],[의사고시 합격자수]]</f>
        <v>435.28368794326246</v>
      </c>
      <c r="R67" s="5">
        <f>(표1[[#This Row],[의전원졸업/남]])/(표1[[#This Row],[졸업합계/남]]+표1[[#This Row],[졸업합계/여]]+L66)*표1[[#This Row],[의사고시 합격자수]]</f>
        <v>736.70212765957456</v>
      </c>
      <c r="S67" s="5">
        <f>(표1[[#This Row],[의전원졸업/여]])/(표1[[#This Row],[졸업합계/남]]+표1[[#This Row],[졸업합계/여]]+L66)*표1[[#This Row],[의사고시 합격자수]]</f>
        <v>715.42553191489367</v>
      </c>
      <c r="T67" s="5">
        <f>(L66*V66)/(표1[[#This Row],[졸업합계/남]]+표1[[#This Row],[졸업합계/여]]+L66)*표1[[#This Row],[의사고시 합격자수]]</f>
        <v>109.21406452412158</v>
      </c>
      <c r="U67" s="5">
        <f>(L66*(1-V66))/(표1[[#This Row],[졸업합계/남]]+표1[[#This Row],[졸업합계/여]]+L66)*표1[[#This Row],[의사고시 합격자수]]</f>
        <v>78.729197887225951</v>
      </c>
      <c r="V67" s="40">
        <f>표1[[#This Row],[의대졸비율/남]]+표1[[#This Row],[의전졸비율/남]]+표1[[#This Row],[불합비율/남]]</f>
        <v>0.60657970632147784</v>
      </c>
      <c r="W67" s="6">
        <f t="shared" si="11"/>
        <v>0.33588652482269504</v>
      </c>
      <c r="X67" s="6">
        <f t="shared" si="12"/>
        <v>0.13929078014184398</v>
      </c>
      <c r="Y67" s="6">
        <f t="shared" si="13"/>
        <v>0.23574468085106387</v>
      </c>
      <c r="Z67" s="6">
        <f t="shared" si="14"/>
        <v>0.22893617021276597</v>
      </c>
      <c r="AA67" s="6">
        <f t="shared" si="15"/>
        <v>3.4948500647718907E-2</v>
      </c>
      <c r="AB67" s="6">
        <f t="shared" si="16"/>
        <v>2.5193343323912303E-2</v>
      </c>
      <c r="AC67" s="18">
        <v>725</v>
      </c>
      <c r="AD67" s="18">
        <v>1175</v>
      </c>
      <c r="AE67" s="16">
        <f>표1[[#This Row],[군입대]]/표1[[#This Row],[의대졸합격/남]]</f>
        <v>0.69070945945945939</v>
      </c>
      <c r="AF67" s="39">
        <v>1184</v>
      </c>
      <c r="AG67" s="39">
        <v>491</v>
      </c>
      <c r="AH67" s="39">
        <v>831</v>
      </c>
      <c r="AI67" s="39">
        <v>807</v>
      </c>
      <c r="AJ67" s="39">
        <f t="shared" si="17"/>
        <v>2015</v>
      </c>
      <c r="AK67" s="39">
        <f t="shared" si="18"/>
        <v>1298</v>
      </c>
    </row>
    <row r="68" spans="1:37" ht="17.25" thickBot="1" x14ac:dyDescent="0.3">
      <c r="A68" s="1">
        <v>2016</v>
      </c>
      <c r="B68" s="9">
        <v>51217803</v>
      </c>
      <c r="C68" s="7">
        <v>118696</v>
      </c>
      <c r="D68" s="7">
        <v>88898</v>
      </c>
      <c r="E68" s="7">
        <v>29798</v>
      </c>
      <c r="F68" s="14">
        <f>표1[[#This Row],[의사수/남]]/표1[[#This Row],[의사수/계]]</f>
        <v>0.74895531441666108</v>
      </c>
      <c r="G68" s="1">
        <v>97713</v>
      </c>
      <c r="H68" s="28">
        <v>3332</v>
      </c>
      <c r="I68" s="28">
        <v>3323</v>
      </c>
      <c r="J68" s="1">
        <v>3106</v>
      </c>
      <c r="K68" s="1">
        <v>226</v>
      </c>
      <c r="L68" s="35">
        <v>217</v>
      </c>
      <c r="M68" s="12">
        <f t="shared" si="4"/>
        <v>121760</v>
      </c>
      <c r="N68" s="1">
        <f>(-5*(표1[[#This Row],[년도]]-1950)^2/100000)+(16*(표1[[#This Row],[년도]]-1950)/10000)+0.8551</f>
        <v>0.7429</v>
      </c>
      <c r="O68" s="19">
        <f>(표1[[#This Row],[의대졸비율/남]]+표1[[#This Row],[의전졸비율/남]]+표1[[#This Row],[불합비율/남]])-표1[[#This Row],[의사고시성비추세]]</f>
        <v>-0.1427965651010209</v>
      </c>
      <c r="P68" s="5">
        <f>(표1[[#This Row],[의대졸업/남]])/(표1[[#This Row],[졸업합계/남]]+표1[[#This Row],[졸업합계/여]]+L67)*표1[[#This Row],[의사고시 합격자수]]</f>
        <v>1015.0672340425532</v>
      </c>
      <c r="Q68" s="5">
        <f>(표1[[#This Row],[의대졸업/여]])/(표1[[#This Row],[졸업합계/남]]+표1[[#This Row],[졸업합계/여]]+L67)*표1[[#This Row],[의사고시 합격자수]]</f>
        <v>474.93163120567374</v>
      </c>
      <c r="R68" s="5">
        <f>(표1[[#This Row],[의전원졸업/남]])/(표1[[#This Row],[졸업합계/남]]+표1[[#This Row],[졸업합계/여]]+L67)*표1[[#This Row],[의사고시 합격자수]]</f>
        <v>754.25134751773044</v>
      </c>
      <c r="S68" s="5">
        <f>(표1[[#This Row],[의전원졸업/여]])/(표1[[#This Row],[졸업합계/남]]+표1[[#This Row],[졸업합계/여]]+L67)*표1[[#This Row],[의사고시 합격자수]]</f>
        <v>705.78893617021276</v>
      </c>
      <c r="T68" s="5">
        <f>(L67*V67)/(표1[[#This Row],[졸업합계/남]]+표1[[#This Row],[졸업합계/여]]+L67)*표1[[#This Row],[의사고시 합격자수]]</f>
        <v>94.602687235945623</v>
      </c>
      <c r="U68" s="5">
        <f>(L67*(1-V67))/(표1[[#This Row],[졸업합계/남]]+표1[[#This Row],[졸업합계/여]]+L67)*표1[[#This Row],[의사고시 합격자수]]</f>
        <v>61.358163827884169</v>
      </c>
      <c r="V68" s="40">
        <f>표1[[#This Row],[의대졸비율/남]]+표1[[#This Row],[의전졸비율/남]]+표1[[#This Row],[불합비율/남]]</f>
        <v>0.6001034348989791</v>
      </c>
      <c r="W68" s="6">
        <f t="shared" ref="W68:W77" si="19">P68/J68</f>
        <v>0.32680851063829786</v>
      </c>
      <c r="X68" s="6">
        <f t="shared" ref="X68:X77" si="20">Q68/J68</f>
        <v>0.15290780141843971</v>
      </c>
      <c r="Y68" s="6">
        <f t="shared" si="13"/>
        <v>0.24283687943262408</v>
      </c>
      <c r="Z68" s="6">
        <f t="shared" si="14"/>
        <v>0.22723404255319149</v>
      </c>
      <c r="AA68" s="6">
        <f t="shared" si="15"/>
        <v>3.0458044828057189E-2</v>
      </c>
      <c r="AB68" s="6">
        <f t="shared" si="16"/>
        <v>1.9754721129389623E-2</v>
      </c>
      <c r="AC68" s="18">
        <v>644</v>
      </c>
      <c r="AD68" s="18">
        <v>662</v>
      </c>
      <c r="AE68" s="16">
        <f>표1[[#This Row],[군입대]]/표1[[#This Row],[의대졸합격/남]]</f>
        <v>0.63444073298991199</v>
      </c>
      <c r="AF68" s="39">
        <v>1152</v>
      </c>
      <c r="AG68" s="39">
        <v>539</v>
      </c>
      <c r="AH68" s="39">
        <v>856</v>
      </c>
      <c r="AI68" s="39">
        <v>801</v>
      </c>
      <c r="AJ68" s="39">
        <f t="shared" si="17"/>
        <v>2008</v>
      </c>
      <c r="AK68" s="39">
        <f t="shared" si="18"/>
        <v>1340</v>
      </c>
    </row>
    <row r="69" spans="1:37" ht="17.25" thickBot="1" x14ac:dyDescent="0.3">
      <c r="A69" s="1">
        <v>2017</v>
      </c>
      <c r="B69" s="9">
        <v>51361911</v>
      </c>
      <c r="C69" s="7">
        <v>121571</v>
      </c>
      <c r="D69" s="7">
        <v>90681</v>
      </c>
      <c r="E69" s="7">
        <v>30890</v>
      </c>
      <c r="F69" s="14">
        <f>표1[[#This Row],[의사수/남]]/표1[[#This Row],[의사수/계]]</f>
        <v>0.74590979756685394</v>
      </c>
      <c r="G69" s="1">
        <v>100241</v>
      </c>
      <c r="H69" s="29">
        <v>3346</v>
      </c>
      <c r="I69" s="29">
        <v>3336</v>
      </c>
      <c r="J69" s="1">
        <v>3095</v>
      </c>
      <c r="K69" s="1">
        <v>251</v>
      </c>
      <c r="L69" s="35">
        <v>241</v>
      </c>
      <c r="M69" s="12">
        <f t="shared" ref="M69:M77" si="21">J69+M68</f>
        <v>124855</v>
      </c>
      <c r="N69" s="1">
        <f>(-5*(표1[[#This Row],[년도]]-1950)^2/100000)+(16*(표1[[#This Row],[년도]]-1950)/10000)+0.8551</f>
        <v>0.73785000000000001</v>
      </c>
      <c r="O69" s="19">
        <f>(표1[[#This Row],[의대졸비율/남]]+표1[[#This Row],[의전졸비율/남]]+표1[[#This Row],[불합비율/남]])-표1[[#This Row],[의사고시성비추세]]</f>
        <v>-0.11930049082260918</v>
      </c>
      <c r="P69" s="5">
        <f>(표1[[#This Row],[의대졸업/남]])/(표1[[#This Row],[졸업합계/남]]+표1[[#This Row],[졸업합계/여]]+L68)*표1[[#This Row],[의사고시 합격자수]]</f>
        <v>940.17420097898071</v>
      </c>
      <c r="Q69" s="5">
        <f>(표1[[#This Row],[의대졸업/여]])/(표1[[#This Row],[졸업합계/남]]+표1[[#This Row],[졸업합계/여]]+L68)*표1[[#This Row],[의사고시 합격자수]]</f>
        <v>427.75698243593433</v>
      </c>
      <c r="R69" s="5">
        <f>(표1[[#This Row],[의전원졸업/남]])/(표1[[#This Row],[졸업합계/남]]+표1[[#This Row],[졸업합계/여]]+L68)*표1[[#This Row],[의사고시 합격자수]]</f>
        <v>858.18744601209323</v>
      </c>
      <c r="S69" s="5">
        <f>(표1[[#This Row],[의전원졸업/여]])/(표1[[#This Row],[졸업합계/남]]+표1[[#This Row],[졸업합계/여]]+L68)*표1[[#This Row],[의사고시 합격자수]]</f>
        <v>675.49956809674632</v>
      </c>
      <c r="T69" s="5">
        <f>(L68*V68)/(표1[[#This Row],[졸업합계/남]]+표1[[#This Row],[졸업합계/여]]+L68)*표1[[#This Row],[의사고시 합격자수]]</f>
        <v>116.04908391295073</v>
      </c>
      <c r="U69" s="5">
        <f>(L68*(1-V68))/(표1[[#This Row],[졸업합계/남]]+표1[[#This Row],[졸업합계/여]]+L68)*표1[[#This Row],[의사고시 합격자수]]</f>
        <v>77.332718563294605</v>
      </c>
      <c r="V69" s="40">
        <f>표1[[#This Row],[의대졸비율/남]]+표1[[#This Row],[의전졸비율/남]]+표1[[#This Row],[불합비율/남]]</f>
        <v>0.61854950917739082</v>
      </c>
      <c r="W69" s="6">
        <f t="shared" si="19"/>
        <v>0.30377195508206162</v>
      </c>
      <c r="X69" s="6">
        <f t="shared" si="20"/>
        <v>0.13820904117477684</v>
      </c>
      <c r="Y69" s="6">
        <f t="shared" si="13"/>
        <v>0.27728188885689603</v>
      </c>
      <c r="Z69" s="6">
        <f t="shared" si="14"/>
        <v>0.21825511085516844</v>
      </c>
      <c r="AA69" s="6">
        <f t="shared" si="15"/>
        <v>3.7495665238433194E-2</v>
      </c>
      <c r="AB69" s="6">
        <f t="shared" si="16"/>
        <v>2.4986338792663848E-2</v>
      </c>
      <c r="AC69" s="18">
        <v>667</v>
      </c>
      <c r="AD69" s="18">
        <v>698</v>
      </c>
      <c r="AE69" s="16">
        <f>표1[[#This Row],[군입대]]/표1[[#This Row],[의대졸합격/남]]</f>
        <v>0.7094429939743816</v>
      </c>
      <c r="AF69" s="39">
        <v>1055</v>
      </c>
      <c r="AG69" s="39">
        <v>480</v>
      </c>
      <c r="AH69" s="39">
        <v>963</v>
      </c>
      <c r="AI69" s="39">
        <v>758</v>
      </c>
      <c r="AJ69" s="39">
        <f t="shared" si="17"/>
        <v>2018</v>
      </c>
      <c r="AK69" s="39">
        <f t="shared" si="18"/>
        <v>1238</v>
      </c>
    </row>
    <row r="70" spans="1:37" ht="17.25" thickBot="1" x14ac:dyDescent="0.3">
      <c r="A70" s="1">
        <v>2018</v>
      </c>
      <c r="B70" s="9">
        <v>51606633</v>
      </c>
      <c r="C70" s="7">
        <v>123106</v>
      </c>
      <c r="D70" s="7">
        <v>91094</v>
      </c>
      <c r="E70" s="7">
        <v>32012</v>
      </c>
      <c r="F70" s="14">
        <f>표1[[#This Row],[의사수/남]]/표1[[#This Row],[의사수/계]]</f>
        <v>0.73996393352070577</v>
      </c>
      <c r="G70" s="1">
        <v>102471</v>
      </c>
      <c r="H70" s="28">
        <v>3385</v>
      </c>
      <c r="I70" s="28">
        <v>3373</v>
      </c>
      <c r="J70" s="1">
        <v>3204</v>
      </c>
      <c r="K70" s="1">
        <v>181</v>
      </c>
      <c r="L70" s="35">
        <v>169</v>
      </c>
      <c r="M70" s="12">
        <f t="shared" si="21"/>
        <v>128059</v>
      </c>
      <c r="N70" s="1">
        <f>(-5*(표1[[#This Row],[년도]]-1950)^2/100000)+(16*(표1[[#This Row],[년도]]-1950)/10000)+0.8551</f>
        <v>0.73270000000000002</v>
      </c>
      <c r="O70" s="19">
        <f>(표1[[#This Row],[의대졸비율/남]]+표1[[#This Row],[의전졸비율/남]]+표1[[#This Row],[불합비율/남]])-표1[[#This Row],[의사고시성비추세]]</f>
        <v>-0.11547412479452912</v>
      </c>
      <c r="P70" s="5">
        <f>(표1[[#This Row],[의대졸업/남]])/(표1[[#This Row],[졸업합계/남]]+표1[[#This Row],[졸업합계/여]]+L69)*표1[[#This Row],[의사고시 합격자수]]</f>
        <v>953.61547344110852</v>
      </c>
      <c r="Q70" s="5">
        <f>(표1[[#This Row],[의대졸업/여]])/(표1[[#This Row],[졸업합계/남]]+표1[[#This Row],[졸업합계/여]]+L69)*표1[[#This Row],[의사고시 합격자수]]</f>
        <v>444.89722863741338</v>
      </c>
      <c r="R70" s="5">
        <f>(표1[[#This Row],[의전원졸업/남]])/(표1[[#This Row],[졸업합계/남]]+표1[[#This Row],[졸업합계/여]]+L69)*표1[[#This Row],[의사고시 합격자수]]</f>
        <v>886.09468822170902</v>
      </c>
      <c r="S70" s="5">
        <f>(표1[[#This Row],[의전원졸업/여]])/(표1[[#This Row],[졸업합계/남]]+표1[[#This Row],[졸업합계/여]]+L69)*표1[[#This Row],[의사고시 합격자수]]</f>
        <v>696.48152424942259</v>
      </c>
      <c r="T70" s="5">
        <f>(L69*V69)/(표1[[#This Row],[졸업합계/남]]+표1[[#This Row],[졸업합계/여]]+L69)*표1[[#This Row],[의사고시 합격자수]]</f>
        <v>137.88154249551121</v>
      </c>
      <c r="U70" s="5">
        <f>(L69*(1-V69))/(표1[[#This Row],[졸업합계/남]]+표1[[#This Row],[졸업합계/여]]+L69)*표1[[#This Row],[의사고시 합격자수]]</f>
        <v>85.029542954835222</v>
      </c>
      <c r="V70" s="40">
        <f>표1[[#This Row],[의대졸비율/남]]+표1[[#This Row],[의전졸비율/남]]+표1[[#This Row],[불합비율/남]]</f>
        <v>0.6172258752054709</v>
      </c>
      <c r="W70" s="6">
        <f t="shared" si="19"/>
        <v>0.29763279445727481</v>
      </c>
      <c r="X70" s="6">
        <f t="shared" si="20"/>
        <v>0.1388568129330254</v>
      </c>
      <c r="Y70" s="6">
        <f t="shared" si="13"/>
        <v>0.27655889145496537</v>
      </c>
      <c r="Z70" s="6">
        <f t="shared" si="14"/>
        <v>0.217378752886836</v>
      </c>
      <c r="AA70" s="6">
        <f t="shared" si="15"/>
        <v>4.3034189293230718E-2</v>
      </c>
      <c r="AB70" s="6">
        <f t="shared" si="16"/>
        <v>2.6538558974667673E-2</v>
      </c>
      <c r="AC70" s="18">
        <v>748</v>
      </c>
      <c r="AD70" s="18">
        <v>725</v>
      </c>
      <c r="AE70" s="16">
        <f>표1[[#This Row],[군입대]]/표1[[#This Row],[의대졸합격/남]]</f>
        <v>0.78438324548242921</v>
      </c>
      <c r="AF70" s="39">
        <v>1031</v>
      </c>
      <c r="AG70" s="39">
        <v>481</v>
      </c>
      <c r="AH70" s="39">
        <v>958</v>
      </c>
      <c r="AI70" s="39">
        <v>753</v>
      </c>
      <c r="AJ70" s="39">
        <f t="shared" si="17"/>
        <v>1989</v>
      </c>
      <c r="AK70" s="39">
        <f t="shared" si="18"/>
        <v>1234</v>
      </c>
    </row>
    <row r="71" spans="1:37" ht="17.25" thickBot="1" x14ac:dyDescent="0.3">
      <c r="A71" s="1">
        <v>2019</v>
      </c>
      <c r="B71" s="9">
        <v>51709098</v>
      </c>
      <c r="C71" s="7">
        <v>126724</v>
      </c>
      <c r="D71" s="7">
        <v>126724</v>
      </c>
      <c r="E71" s="13">
        <v>0</v>
      </c>
      <c r="F71" s="15">
        <f>표1[[#This Row],[의사수/남]]/표1[[#This Row],[의사수/계]]</f>
        <v>1</v>
      </c>
      <c r="G71" s="1">
        <v>105628</v>
      </c>
      <c r="H71" s="29">
        <v>3318</v>
      </c>
      <c r="I71" s="29">
        <v>3307</v>
      </c>
      <c r="J71" s="1">
        <v>3115</v>
      </c>
      <c r="K71" s="1">
        <v>203</v>
      </c>
      <c r="L71" s="36">
        <v>192</v>
      </c>
      <c r="M71" s="12">
        <f t="shared" si="21"/>
        <v>131174</v>
      </c>
      <c r="N71" s="1">
        <f>(-5*(표1[[#This Row],[년도]]-1950)^2/100000)+(16*(표1[[#This Row],[년도]]-1950)/10000)+0.8551</f>
        <v>0.72744999999999993</v>
      </c>
      <c r="O71" s="19">
        <f>(표1[[#This Row],[의대졸비율/남]]+표1[[#This Row],[의전졸비율/남]]+표1[[#This Row],[불합비율/남]])-표1[[#This Row],[의사고시성비추세]]</f>
        <v>-0.10462091929067241</v>
      </c>
      <c r="P71" s="5">
        <f>(표1[[#This Row],[의대졸업/남]])/(표1[[#This Row],[졸업합계/남]]+표1[[#This Row],[졸업합계/여]]+L70)*표1[[#This Row],[의사고시 합격자수]]</f>
        <v>1212.1593944790739</v>
      </c>
      <c r="Q71" s="5">
        <f>(표1[[#This Row],[의대졸업/여]])/(표1[[#This Row],[졸업합계/남]]+표1[[#This Row],[졸업합계/여]]+L70)*표1[[#This Row],[의사고시 합격자수]]</f>
        <v>591.74829326209556</v>
      </c>
      <c r="R71" s="5">
        <f>(표1[[#This Row],[의전원졸업/남]])/(표1[[#This Row],[졸업합계/남]]+표1[[#This Row],[졸업합계/여]]+L70)*표1[[#This Row],[의사고시 합격자수]]</f>
        <v>631.50638171564265</v>
      </c>
      <c r="S71" s="5">
        <f>(표1[[#This Row],[의전원졸업/여]])/(표1[[#This Row],[졸업합계/남]]+표1[[#This Row],[졸업합계/여]]+L70)*표1[[#This Row],[의사고시 합격자수]]</f>
        <v>523.32739685366573</v>
      </c>
      <c r="T71" s="5">
        <f>(L70*V70)/(표1[[#This Row],[졸업합계/남]]+표1[[#This Row],[졸업합계/여]]+L70)*표1[[#This Row],[의사고시 합격자수]]</f>
        <v>96.446810214838848</v>
      </c>
      <c r="U71" s="5">
        <f>(L70*(1-V70))/(표1[[#This Row],[졸업합계/남]]+표1[[#This Row],[졸업합계/여]]+L70)*표1[[#This Row],[의사고시 합격자수]]</f>
        <v>59.811723474683276</v>
      </c>
      <c r="V71" s="40">
        <f>표1[[#This Row],[의대졸비율/남]]+표1[[#This Row],[의전졸비율/남]]+표1[[#This Row],[불합비율/남]]</f>
        <v>0.62282908070932752</v>
      </c>
      <c r="W71" s="6">
        <f t="shared" si="19"/>
        <v>0.3891362422083704</v>
      </c>
      <c r="X71" s="6">
        <f t="shared" si="20"/>
        <v>0.18996734936182844</v>
      </c>
      <c r="Y71" s="6">
        <f t="shared" si="13"/>
        <v>0.20273078064707628</v>
      </c>
      <c r="Z71" s="6">
        <f t="shared" si="14"/>
        <v>0.16800237459186701</v>
      </c>
      <c r="AA71" s="6">
        <f t="shared" si="15"/>
        <v>3.0962057853880849E-2</v>
      </c>
      <c r="AB71" s="6">
        <f t="shared" si="16"/>
        <v>1.9201195336976975E-2</v>
      </c>
      <c r="AC71" s="18">
        <v>610</v>
      </c>
      <c r="AD71" s="18">
        <v>644</v>
      </c>
      <c r="AE71" s="16">
        <f>표1[[#This Row],[군입대]]/표1[[#This Row],[의대졸합격/남]]</f>
        <v>0.5032341479002832</v>
      </c>
      <c r="AF71" s="39">
        <v>1311</v>
      </c>
      <c r="AG71" s="39">
        <v>640</v>
      </c>
      <c r="AH71" s="39">
        <v>683</v>
      </c>
      <c r="AI71" s="39">
        <v>566</v>
      </c>
      <c r="AJ71" s="39">
        <f t="shared" si="17"/>
        <v>1994</v>
      </c>
      <c r="AK71" s="39">
        <f t="shared" si="18"/>
        <v>1206</v>
      </c>
    </row>
    <row r="72" spans="1:37" ht="17.25" thickBot="1" x14ac:dyDescent="0.3">
      <c r="A72" s="1">
        <v>2020</v>
      </c>
      <c r="B72" s="9">
        <v>51780579</v>
      </c>
      <c r="C72" s="3">
        <v>0</v>
      </c>
      <c r="D72" s="3">
        <v>0</v>
      </c>
      <c r="E72" s="1">
        <v>0</v>
      </c>
      <c r="F72" s="1">
        <v>0</v>
      </c>
      <c r="G72" s="1">
        <v>107928</v>
      </c>
      <c r="H72" s="28">
        <v>3220</v>
      </c>
      <c r="I72" s="28">
        <v>3210</v>
      </c>
      <c r="J72" s="2">
        <v>3025</v>
      </c>
      <c r="K72" s="1">
        <v>195</v>
      </c>
      <c r="L72" s="36">
        <v>185</v>
      </c>
      <c r="M72" s="12">
        <f t="shared" si="21"/>
        <v>134199</v>
      </c>
      <c r="N72" s="1">
        <f>(-5*(표1[[#This Row],[년도]]-1950)^2/100000)+(16*(표1[[#This Row],[년도]]-1950)/10000)+0.8551</f>
        <v>0.72209999999999996</v>
      </c>
      <c r="O72" s="19">
        <f>(표1[[#This Row],[의대졸비율/남]]+표1[[#This Row],[의전졸비율/남]]+표1[[#This Row],[불합비율/남]])-표1[[#This Row],[의사고시성비추세]]</f>
        <v>-0.10674798819952469</v>
      </c>
      <c r="P72" s="5">
        <f>(표1[[#This Row],[의대졸업/남]])/(표1[[#This Row],[졸업합계/남]]+표1[[#This Row],[졸업합계/여]]+L71)*표1[[#This Row],[의사고시 합격자수]]</f>
        <v>1145.1075590080668</v>
      </c>
      <c r="Q72" s="5">
        <f>(표1[[#This Row],[의대졸업/여]])/(표1[[#This Row],[졸업합계/남]]+표1[[#This Row],[졸업합계/여]]+L71)*표1[[#This Row],[의사고시 합격자수]]</f>
        <v>601.92709889453249</v>
      </c>
      <c r="R72" s="5">
        <f>(표1[[#This Row],[의전원졸업/남]])/(표1[[#This Row],[졸업합계/남]]+표1[[#This Row],[졸업합계/여]]+L71)*표1[[#This Row],[의사고시 합격자수]]</f>
        <v>608.25365999402447</v>
      </c>
      <c r="S72" s="5">
        <f>(표1[[#This Row],[의전원졸업/여]])/(표1[[#This Row],[졸업합계/남]]+표1[[#This Row],[졸업합계/여]]+L71)*표1[[#This Row],[의사고시 합격자수]]</f>
        <v>496.18314908873617</v>
      </c>
      <c r="T72" s="5">
        <f>(L71*V71)/(표1[[#This Row],[졸업합계/남]]+표1[[#This Row],[졸업합계/여]]+L71)*표1[[#This Row],[의사고시 합격자수]]</f>
        <v>108.07861669434642</v>
      </c>
      <c r="U72" s="5">
        <f>(L71*(1-V71))/(표1[[#This Row],[졸업합계/남]]+표1[[#This Row],[졸업합계/여]]+L71)*표1[[#This Row],[의사고시 합격자수]]</f>
        <v>65.449916320293568</v>
      </c>
      <c r="V72" s="40">
        <f>표1[[#This Row],[의대졸비율/남]]+표1[[#This Row],[의전졸비율/남]]+표1[[#This Row],[불합비율/남]]</f>
        <v>0.61535201180047527</v>
      </c>
      <c r="W72" s="6">
        <f t="shared" si="19"/>
        <v>0.37854795339109648</v>
      </c>
      <c r="X72" s="6">
        <f t="shared" si="20"/>
        <v>0.19898416492381241</v>
      </c>
      <c r="Y72" s="6">
        <f t="shared" si="13"/>
        <v>0.20107559008066925</v>
      </c>
      <c r="Z72" s="6">
        <f t="shared" si="14"/>
        <v>0.16402748730206154</v>
      </c>
      <c r="AA72" s="6">
        <f t="shared" si="15"/>
        <v>3.5728468328709559E-2</v>
      </c>
      <c r="AB72" s="6">
        <f t="shared" si="16"/>
        <v>2.1636335973650767E-2</v>
      </c>
      <c r="AC72" s="5">
        <v>0</v>
      </c>
      <c r="AD72" s="18">
        <v>667</v>
      </c>
      <c r="AE72" s="16">
        <f>표1[[#This Row],[군입대]]/표1[[#This Row],[의대졸합격/남]]</f>
        <v>0</v>
      </c>
      <c r="AF72" s="39">
        <v>1267</v>
      </c>
      <c r="AG72" s="39">
        <v>666</v>
      </c>
      <c r="AH72" s="39">
        <v>673</v>
      </c>
      <c r="AI72" s="39">
        <v>549</v>
      </c>
      <c r="AJ72" s="39">
        <f t="shared" si="17"/>
        <v>1940</v>
      </c>
      <c r="AK72" s="39">
        <f t="shared" si="18"/>
        <v>1215</v>
      </c>
    </row>
    <row r="73" spans="1:37" ht="17.25" thickBot="1" x14ac:dyDescent="0.3">
      <c r="A73" s="1">
        <v>2021</v>
      </c>
      <c r="B73" s="9">
        <v>51821669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31">
        <f>L72+표1[[#This Row],[졸업합계/남]]+표1[[#This Row],[졸업합계/여]]</f>
        <v>3283</v>
      </c>
      <c r="I73" s="22"/>
      <c r="J73" s="12">
        <v>3149</v>
      </c>
      <c r="K73" s="12">
        <v>201</v>
      </c>
      <c r="L73" s="37">
        <f>표1[[#This Row],[의사고시 응시자수]]-표1[[#This Row],[의사고시 합격자수]]</f>
        <v>134</v>
      </c>
      <c r="M73" s="12">
        <f t="shared" si="21"/>
        <v>137348</v>
      </c>
      <c r="N73" s="1">
        <f>(-5*(표1[[#This Row],[년도]]-1950)^2/100000)+(16*(표1[[#This Row],[년도]]-1950)/10000)+0.8551</f>
        <v>0.71665000000000001</v>
      </c>
      <c r="O73" s="19">
        <f>(표1[[#This Row],[의대졸비율/남]]+표1[[#This Row],[의전졸비율/남]]+표1[[#This Row],[불합비율/남]])-표1[[#This Row],[의사고시성비추세]]</f>
        <v>-8.4350236922604904E-2</v>
      </c>
      <c r="P73" s="5">
        <f>(표1[[#This Row],[의대졸업/남]])/(표1[[#This Row],[졸업합계/남]]+표1[[#This Row],[졸업합계/여]]+L72)*표1[[#This Row],[의사고시 합격자수]]</f>
        <v>1716.9387755102043</v>
      </c>
      <c r="Q73" s="5">
        <f>(표1[[#This Row],[의대졸업/여]])/(표1[[#This Row],[졸업합계/남]]+표1[[#This Row],[졸업합계/여]]+L72)*표1[[#This Row],[의사고시 합격자수]]</f>
        <v>964.93877551020398</v>
      </c>
      <c r="R73" s="5">
        <f>(표1[[#This Row],[의전원졸업/남]])/(표1[[#This Row],[졸업합계/남]]+표1[[#This Row],[졸업합계/여]]+L72)*표1[[#This Row],[의사고시 합격자수]]</f>
        <v>164.9795918367347</v>
      </c>
      <c r="S73" s="5">
        <f>(표1[[#This Row],[의전원졸업/여]])/(표1[[#This Row],[졸업합계/남]]+표1[[#This Row],[졸업합계/여]]+L72)*표1[[#This Row],[의사고시 합격자수]]</f>
        <v>124.69387755102041</v>
      </c>
      <c r="T73" s="5">
        <f>(L72*V72)/(표1[[#This Row],[졸업합계/남]]+표1[[#This Row],[졸업합계/여]]+L72)*표1[[#This Row],[의사고시 합격자수]]</f>
        <v>109.19358658377821</v>
      </c>
      <c r="U73" s="5">
        <f>(L72*(1-V72))/(표1[[#This Row],[졸업합계/남]]+표1[[#This Row],[졸업합계/여]]+L72)*표1[[#This Row],[의사고시 합격자수]]</f>
        <v>68.255393008058519</v>
      </c>
      <c r="V73" s="40">
        <f>표1[[#This Row],[의대졸비율/남]]+표1[[#This Row],[의전졸비율/남]]+표1[[#This Row],[불합비율/남]]</f>
        <v>0.6322997630773951</v>
      </c>
      <c r="W73" s="6">
        <f t="shared" si="19"/>
        <v>0.54523301858056661</v>
      </c>
      <c r="X73" s="6">
        <f t="shared" si="20"/>
        <v>0.3064270484313128</v>
      </c>
      <c r="Y73" s="6">
        <f t="shared" si="13"/>
        <v>5.239110569600975E-2</v>
      </c>
      <c r="Z73" s="6">
        <f t="shared" si="14"/>
        <v>3.9597928723728297E-2</v>
      </c>
      <c r="AA73" s="6">
        <f t="shared" si="15"/>
        <v>3.4675638800818739E-2</v>
      </c>
      <c r="AB73" s="6">
        <f t="shared" si="16"/>
        <v>2.1675259767563834E-2</v>
      </c>
      <c r="AC73" s="5">
        <v>0</v>
      </c>
      <c r="AD73" s="18">
        <v>748</v>
      </c>
      <c r="AE73" s="16">
        <f>표1[[#This Row],[군입대]]/표1[[#This Row],[의대졸합격/남]]</f>
        <v>0</v>
      </c>
      <c r="AF73" s="39">
        <v>1790</v>
      </c>
      <c r="AG73" s="39">
        <v>1006</v>
      </c>
      <c r="AH73" s="39">
        <v>172</v>
      </c>
      <c r="AI73" s="39">
        <v>130</v>
      </c>
      <c r="AJ73" s="39">
        <f t="shared" ref="AJ73:AJ99" si="22">AF73+AH73</f>
        <v>1962</v>
      </c>
      <c r="AK73" s="39">
        <f t="shared" ref="AK73:AK99" si="23">AG73+AI73</f>
        <v>1136</v>
      </c>
    </row>
    <row r="74" spans="1:37" ht="17.25" thickBot="1" x14ac:dyDescent="0.3">
      <c r="A74" s="1">
        <v>2022</v>
      </c>
      <c r="B74" s="9">
        <v>51846339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31"/>
      <c r="I74" s="22"/>
      <c r="J74" s="5">
        <v>3101.06</v>
      </c>
      <c r="K74" s="12">
        <v>197.94000000000005</v>
      </c>
      <c r="L74" s="37">
        <f>표1[[#This Row],[의사고시 응시자수]]-표1[[#This Row],[의사고시 합격자수]]</f>
        <v>-3101.06</v>
      </c>
      <c r="M74" s="12">
        <f t="shared" si="21"/>
        <v>140449.06</v>
      </c>
      <c r="N74" s="1">
        <f>(-5*(표1[[#This Row],[년도]]-1950)^2/100000)+(16*(표1[[#This Row],[년도]]-1950)/10000)+0.8551</f>
        <v>0.71109999999999995</v>
      </c>
      <c r="O74" s="19">
        <f>(표1[[#This Row],[의대졸비율/남]]+표1[[#This Row],[의전졸비율/남]]+표1[[#This Row],[불합비율/남]])-표1[[#This Row],[의사고시성비추세]]</f>
        <v>-7.8278017820383461E-2</v>
      </c>
      <c r="P74" s="5">
        <f>(표1[[#This Row],[의대졸업/남]])/(표1[[#This Row],[졸업합계/남]]+표1[[#This Row],[졸업합계/여]]+L73)*표1[[#This Row],[의사고시 합격자수]]</f>
        <v>1759.5047503607504</v>
      </c>
      <c r="Q74" s="5">
        <f>(표1[[#This Row],[의대졸업/여]])/(표1[[#This Row],[졸업합계/남]]+표1[[#This Row],[졸업합계/여]]+L73)*표1[[#This Row],[의사고시 합격자수]]</f>
        <v>973.72389033189029</v>
      </c>
      <c r="R74" s="5">
        <f>(표1[[#This Row],[의전원졸업/남]])/(표1[[#This Row],[졸업합계/남]]+표1[[#This Row],[졸업합계/여]]+L73)*표1[[#This Row],[의사고시 합격자수]]</f>
        <v>127.08528715728715</v>
      </c>
      <c r="S74" s="5">
        <f>(표1[[#This Row],[의전원졸업/여]])/(표1[[#This Row],[졸업합계/남]]+표1[[#This Row],[졸업합계/여]]+L73)*표1[[#This Row],[의사고시 합격자수]]</f>
        <v>120.82051948051948</v>
      </c>
      <c r="T74" s="5">
        <f>(L73*V73)/(표1[[#This Row],[졸업합계/남]]+표1[[#This Row],[졸업합계/여]]+L73)*표1[[#This Row],[의사고시 합격자수]]</f>
        <v>75.828898539883824</v>
      </c>
      <c r="U74" s="5">
        <f>(L73*(1-V73))/(표1[[#This Row],[졸업합계/남]]+표1[[#This Row],[졸업합계/여]]+L73)*표1[[#This Row],[의사고시 합격자수]]</f>
        <v>44.096654129668849</v>
      </c>
      <c r="V74" s="40">
        <f>표1[[#This Row],[의대졸비율/남]]+표1[[#This Row],[의전졸비율/남]]+표1[[#This Row],[불합비율/남]]</f>
        <v>0.63282198217961649</v>
      </c>
      <c r="W74" s="6">
        <f t="shared" si="19"/>
        <v>0.56738816738816744</v>
      </c>
      <c r="X74" s="6">
        <f t="shared" si="20"/>
        <v>0.313997113997114</v>
      </c>
      <c r="Y74" s="6">
        <f t="shared" si="13"/>
        <v>4.0981240981240979E-2</v>
      </c>
      <c r="Z74" s="6">
        <f t="shared" si="14"/>
        <v>3.896103896103896E-2</v>
      </c>
      <c r="AA74" s="6">
        <f t="shared" si="15"/>
        <v>2.4452573810208066E-2</v>
      </c>
      <c r="AB74" s="6">
        <f t="shared" si="16"/>
        <v>1.4219864862230609E-2</v>
      </c>
      <c r="AC74" s="5">
        <v>0</v>
      </c>
      <c r="AD74" s="18">
        <v>610</v>
      </c>
      <c r="AE74" s="16">
        <f>표1[[#This Row],[군입대]]/표1[[#This Row],[의대졸합격/남]]</f>
        <v>0</v>
      </c>
      <c r="AF74" s="39">
        <v>1966</v>
      </c>
      <c r="AG74" s="39">
        <v>1088</v>
      </c>
      <c r="AH74" s="39">
        <v>142</v>
      </c>
      <c r="AI74" s="39">
        <v>135</v>
      </c>
      <c r="AJ74" s="39">
        <f t="shared" si="22"/>
        <v>2108</v>
      </c>
      <c r="AK74" s="39">
        <f t="shared" si="23"/>
        <v>1223</v>
      </c>
    </row>
    <row r="75" spans="1:37" x14ac:dyDescent="0.25">
      <c r="A75" s="1">
        <v>2023</v>
      </c>
      <c r="B75" s="9">
        <v>51868100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31"/>
      <c r="I75" s="22"/>
      <c r="J75" s="5">
        <v>3317.2035999999998</v>
      </c>
      <c r="K75" s="12">
        <v>211.73640000000023</v>
      </c>
      <c r="L75" s="37">
        <f>표1[[#This Row],[의사고시 응시자수]]-표1[[#This Row],[의사고시 합격자수]]</f>
        <v>-3317.2035999999998</v>
      </c>
      <c r="M75" s="12">
        <f t="shared" si="21"/>
        <v>143766.26360000001</v>
      </c>
      <c r="N75" s="1">
        <f>(-5*(표1[[#This Row],[년도]]-1950)^2/100000)+(16*(표1[[#This Row],[년도]]-1950)/10000)+0.8551</f>
        <v>0.70544999999999991</v>
      </c>
      <c r="O75" s="19">
        <f>(표1[[#This Row],[의대졸비율/남]]+표1[[#This Row],[의전졸비율/남]]+표1[[#This Row],[불합비율/남]])-표1[[#This Row],[의사고시성비추세]]</f>
        <v>3.7512411042216254E-2</v>
      </c>
      <c r="P75" s="5">
        <f>(표1[[#This Row],[의대졸업/남]])/(표1[[#This Row],[졸업합계/남]]+표1[[#This Row],[졸업합계/여]]+L74)*표1[[#This Row],[의사고시 합격자수]]</f>
        <v>14127.136161106146</v>
      </c>
      <c r="Q75" s="5">
        <f>(표1[[#This Row],[의대졸업/여]])/(표1[[#This Row],[졸업합계/남]]+표1[[#This Row],[졸업합계/여]]+L74)*표1[[#This Row],[의사고시 합격자수]]</f>
        <v>7369.5594018720622</v>
      </c>
      <c r="R75" s="5">
        <f>(표1[[#This Row],[의전원졸업/남]])/(표1[[#This Row],[졸업합계/남]]+표1[[#This Row],[졸업합계/여]]+L74)*표1[[#This Row],[의사고시 합격자수]]</f>
        <v>979.17222822076337</v>
      </c>
      <c r="S75" s="5">
        <f>(표1[[#This Row],[의전원졸업/여]])/(표1[[#This Row],[졸업합계/남]]+표1[[#This Row],[졸업합계/여]]+L74)*표1[[#This Row],[의사고시 합격자수]]</f>
        <v>818.1241643686642</v>
      </c>
      <c r="T75" s="5">
        <f>(L74*V74)/(표1[[#This Row],[졸업합계/남]]+표1[[#This Row],[졸업합계/여]]+L74)*표1[[#This Row],[의사고시 합격자수]]</f>
        <v>-12641.750804752992</v>
      </c>
      <c r="U75" s="5">
        <f>(L74*(1-V74))/(표1[[#This Row],[졸업합계/남]]+표1[[#This Row],[졸업합계/여]]+L74)*표1[[#This Row],[의사고시 합격자수]]</f>
        <v>-7335.0375508146435</v>
      </c>
      <c r="V75" s="40">
        <f>표1[[#This Row],[의대졸비율/남]]+표1[[#This Row],[의전졸비율/남]]+표1[[#This Row],[불합비율/남]]</f>
        <v>0.74296241104221616</v>
      </c>
      <c r="W75" s="6">
        <f t="shared" si="19"/>
        <v>4.2587485920689785</v>
      </c>
      <c r="X75" s="6">
        <f t="shared" si="20"/>
        <v>2.2216180525886511</v>
      </c>
      <c r="Y75" s="6">
        <f t="shared" si="13"/>
        <v>0.29518002097331725</v>
      </c>
      <c r="Z75" s="6">
        <f t="shared" si="14"/>
        <v>0.24663067541849534</v>
      </c>
      <c r="AA75" s="6">
        <f t="shared" si="15"/>
        <v>-3.8109662020000798</v>
      </c>
      <c r="AB75" s="6">
        <f t="shared" si="16"/>
        <v>-2.2112111390493618</v>
      </c>
      <c r="AC75" s="5">
        <v>0</v>
      </c>
      <c r="AD75" s="5">
        <v>0</v>
      </c>
      <c r="AE75" s="16">
        <f>표1[[#This Row],[군입대]]/표1[[#This Row],[의대졸합격/남]]</f>
        <v>0</v>
      </c>
      <c r="AF75" s="39">
        <v>2193</v>
      </c>
      <c r="AG75" s="39">
        <v>1144</v>
      </c>
      <c r="AH75" s="39">
        <v>152</v>
      </c>
      <c r="AI75" s="39">
        <v>127</v>
      </c>
      <c r="AJ75" s="39">
        <f t="shared" si="22"/>
        <v>2345</v>
      </c>
      <c r="AK75" s="39">
        <f t="shared" si="23"/>
        <v>1271</v>
      </c>
    </row>
    <row r="76" spans="1:37" x14ac:dyDescent="0.25">
      <c r="A76" s="1">
        <v>2024</v>
      </c>
      <c r="B76" s="9">
        <v>51887623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31"/>
      <c r="I76" s="22"/>
      <c r="J76" s="5">
        <v>3598.072216</v>
      </c>
      <c r="K76" s="12">
        <v>229.6641840000002</v>
      </c>
      <c r="L76" s="37">
        <f>표1[[#This Row],[의사고시 응시자수]]-표1[[#This Row],[의사고시 합격자수]]</f>
        <v>-3598.072216</v>
      </c>
      <c r="M76" s="12">
        <f t="shared" si="21"/>
        <v>147364.33581600001</v>
      </c>
      <c r="N76" s="1">
        <f>(-5*(표1[[#This Row],[년도]]-1950)^2/100000)+(16*(표1[[#This Row],[년도]]-1950)/10000)+0.8551</f>
        <v>0.69969999999999999</v>
      </c>
      <c r="O76" s="19">
        <f>(표1[[#This Row],[의대졸비율/남]]+표1[[#This Row],[의전졸비율/남]]+표1[[#This Row],[불합비율/남]])-표1[[#This Row],[의사고시성비추세]]</f>
        <v>0.99921532238626121</v>
      </c>
      <c r="P76" s="5">
        <f>(표1[[#This Row],[의대졸업/남]])/(표1[[#This Row],[졸업합계/남]]+표1[[#This Row],[졸업합계/여]]+L75)*표1[[#This Row],[의사고시 합격자수]]</f>
        <v>-17176.554030612766</v>
      </c>
      <c r="Q76" s="5">
        <f>(표1[[#This Row],[의대졸업/여]])/(표1[[#This Row],[졸업합계/남]]+표1[[#This Row],[졸업합계/여]]+L75)*표1[[#This Row],[의사고시 합격자수]]</f>
        <v>-9954.3655230042405</v>
      </c>
      <c r="R76" s="5">
        <f>(표1[[#This Row],[의전원졸업/남]])/(표1[[#This Row],[졸업합계/남]]+표1[[#This Row],[졸업합계/여]]+L75)*표1[[#This Row],[의사고시 합격자수]]</f>
        <v>-1466.5361920874057</v>
      </c>
      <c r="S76" s="5">
        <f>(표1[[#This Row],[의전원졸업/여]])/(표1[[#This Row],[졸업합계/남]]+표1[[#This Row],[졸업합계/여]]+L75)*표1[[#This Row],[의사고시 합격자수]]</f>
        <v>-1125.0140651629415</v>
      </c>
      <c r="T76" s="5">
        <f>(L75*V75)/(표1[[#This Row],[졸업합계/남]]+표1[[#This Row],[졸업합계/여]]+L75)*표1[[#This Row],[의사고시 합격자수]]</f>
        <v>24755.910241514863</v>
      </c>
      <c r="U76" s="5">
        <f>(L75*(1-V75))/(표1[[#This Row],[졸업합계/남]]+표1[[#This Row],[졸업합계/여]]+L75)*표1[[#This Row],[의사고시 합격자수]]</f>
        <v>8564.6317853524924</v>
      </c>
      <c r="V76" s="40">
        <f>표1[[#This Row],[의대졸비율/남]]+표1[[#This Row],[의전졸비율/남]]+표1[[#This Row],[불합비율/남]]</f>
        <v>1.6989153223862612</v>
      </c>
      <c r="W76" s="6">
        <f t="shared" si="19"/>
        <v>-4.7738213686294637</v>
      </c>
      <c r="X76" s="6">
        <f t="shared" si="20"/>
        <v>-2.7665830270829228</v>
      </c>
      <c r="Y76" s="6">
        <f t="shared" si="13"/>
        <v>-0.40758942679526411</v>
      </c>
      <c r="Z76" s="6">
        <f t="shared" si="14"/>
        <v>-0.31267134110321632</v>
      </c>
      <c r="AA76" s="6">
        <f t="shared" si="15"/>
        <v>6.8803261178109887</v>
      </c>
      <c r="AB76" s="6">
        <f t="shared" si="16"/>
        <v>2.3803390457998779</v>
      </c>
      <c r="AC76" s="5">
        <v>0</v>
      </c>
      <c r="AD76" s="5">
        <v>0</v>
      </c>
      <c r="AE76" s="16">
        <f>표1[[#This Row],[군입대]]/표1[[#This Row],[의대졸합격/남]]</f>
        <v>0</v>
      </c>
      <c r="AF76" s="39">
        <v>1710</v>
      </c>
      <c r="AG76" s="39">
        <v>991</v>
      </c>
      <c r="AH76" s="39">
        <v>146</v>
      </c>
      <c r="AI76" s="39">
        <v>112</v>
      </c>
      <c r="AJ76" s="39">
        <f t="shared" si="22"/>
        <v>1856</v>
      </c>
      <c r="AK76" s="39">
        <f t="shared" si="23"/>
        <v>1103</v>
      </c>
    </row>
    <row r="77" spans="1:37" x14ac:dyDescent="0.25">
      <c r="A77" s="1">
        <v>2025</v>
      </c>
      <c r="B77" s="9">
        <v>51905126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31"/>
      <c r="I77" s="22"/>
      <c r="J77" s="5">
        <v>2997.34433296</v>
      </c>
      <c r="K77" s="12">
        <v>191.31985104000023</v>
      </c>
      <c r="L77" s="37">
        <f>표1[[#This Row],[의사고시 응시자수]]-표1[[#This Row],[의사고시 합격자수]]</f>
        <v>-2997.34433296</v>
      </c>
      <c r="M77" s="12">
        <f t="shared" si="21"/>
        <v>150361.68014896</v>
      </c>
      <c r="N77" s="1">
        <f>(-5*(표1[[#This Row],[년도]]-1950)^2/100000)+(16*(표1[[#This Row],[년도]]-1950)/10000)+0.8551</f>
        <v>0.69384999999999997</v>
      </c>
      <c r="O77" s="19">
        <f>(표1[[#This Row],[의대졸비율/남]]+표1[[#This Row],[의전졸비율/남]]+표1[[#This Row],[불합비율/남]])-표1[[#This Row],[의사고시성비추세]]</f>
        <v>9.4449102974837427</v>
      </c>
      <c r="P77" s="5">
        <f>(표1[[#This Row],[의대졸업/남]])/(표1[[#This Row],[졸업합계/남]]+표1[[#This Row],[졸업합계/여]]+L76)*표1[[#This Row],[의사고시 합격자수]]</f>
        <v>-15180.259939372236</v>
      </c>
      <c r="Q77" s="5">
        <f>(표1[[#This Row],[의대졸업/여]])/(표1[[#This Row],[졸업합계/남]]+표1[[#This Row],[졸업합계/여]]+L76)*표1[[#This Row],[의사고시 합격자수]]</f>
        <v>-7971.3349060055107</v>
      </c>
      <c r="R77" s="5">
        <f>(표1[[#This Row],[의전원졸업/남]])/(표1[[#This Row],[졸업합계/남]]+표1[[#This Row],[졸업합계/여]]+L76)*표1[[#This Row],[의사고시 합격자수]]</f>
        <v>-573.69455762918449</v>
      </c>
      <c r="S77" s="5">
        <f>(표1[[#This Row],[의전원졸업/여]])/(표1[[#This Row],[졸업합계/남]]+표1[[#This Row],[졸업합계/여]]+L76)*표1[[#This Row],[의사고시 합격자수]]</f>
        <v>-437.81953082227238</v>
      </c>
      <c r="T77" s="5">
        <f>(L76*V76)/(표1[[#This Row],[졸업합계/남]]+표1[[#This Row],[졸업합계/여]]+L76)*표1[[#This Row],[의사고시 합격자수]]</f>
        <v>46143.31021790416</v>
      </c>
      <c r="U77" s="5">
        <f>(L76*(1-V76))/(표1[[#This Row],[졸업합계/남]]+표1[[#This Row],[졸업합계/여]]+L76)*표1[[#This Row],[의사고시 합격자수]]</f>
        <v>-18982.856951114958</v>
      </c>
      <c r="V77" s="40">
        <f>표1[[#This Row],[의대졸비율/남]]+표1[[#This Row],[의전졸비율/남]]+표1[[#This Row],[불합비율/남]]</f>
        <v>10.138760297483742</v>
      </c>
      <c r="W77" s="6">
        <f t="shared" si="19"/>
        <v>-5.0645699169241292</v>
      </c>
      <c r="X77" s="6">
        <f t="shared" si="20"/>
        <v>-2.6594658539392744</v>
      </c>
      <c r="Y77" s="6">
        <f t="shared" si="13"/>
        <v>-0.19140095160926596</v>
      </c>
      <c r="Z77" s="6">
        <f t="shared" si="14"/>
        <v>-0.1460691472807556</v>
      </c>
      <c r="AA77" s="6">
        <f t="shared" si="15"/>
        <v>15.394731166017138</v>
      </c>
      <c r="AB77" s="6">
        <f t="shared" si="16"/>
        <v>-6.3332252962637137</v>
      </c>
      <c r="AC77" s="5">
        <v>0</v>
      </c>
      <c r="AD77" s="5">
        <v>0</v>
      </c>
      <c r="AE77" s="16">
        <f>표1[[#This Row],[군입대]]/표1[[#This Row],[의대졸합격/남]]</f>
        <v>0</v>
      </c>
      <c r="AF77" s="39">
        <v>2011</v>
      </c>
      <c r="AG77" s="39">
        <v>1056</v>
      </c>
      <c r="AH77" s="39">
        <v>76</v>
      </c>
      <c r="AI77" s="39">
        <v>58</v>
      </c>
      <c r="AJ77" s="39">
        <f t="shared" si="22"/>
        <v>2087</v>
      </c>
      <c r="AK77" s="39">
        <f t="shared" si="23"/>
        <v>1114</v>
      </c>
    </row>
    <row r="78" spans="1:37" x14ac:dyDescent="0.25">
      <c r="A78" s="1">
        <v>2026</v>
      </c>
      <c r="B78" s="9">
        <v>51920462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31"/>
      <c r="I78" s="22"/>
      <c r="J78" s="5">
        <v>0</v>
      </c>
      <c r="K78" s="5">
        <v>0</v>
      </c>
      <c r="L78" s="34"/>
      <c r="M78" s="5">
        <v>0</v>
      </c>
      <c r="N78" s="1">
        <f>(-5*(표1[[#This Row],[년도]]-1950)^2/100000)+(16*(표1[[#This Row],[년도]]-1950)/10000)+0.8551</f>
        <v>0.68789999999999996</v>
      </c>
      <c r="O78" s="19">
        <f>(표1[[#This Row],[의대졸비율/남]]+표1[[#This Row],[의전졸비율/남]]+표1[[#This Row],[불합비율/남]])-표1[[#This Row],[의사고시성비추세]]</f>
        <v>-0.68789999999999996</v>
      </c>
      <c r="P78" s="5">
        <f>(표1[[#This Row],[의대졸업/남]])/(표1[[#This Row],[졸업합계/남]]+표1[[#This Row],[졸업합계/여]]+L77)*표1[[#This Row],[의사고시 합격자수]]</f>
        <v>0</v>
      </c>
      <c r="Q78" s="5">
        <f>(표1[[#This Row],[의대졸업/여]])/(표1[[#This Row],[졸업합계/남]]+표1[[#This Row],[졸업합계/여]]+L77)*표1[[#This Row],[의사고시 합격자수]]</f>
        <v>0</v>
      </c>
      <c r="R78" s="5">
        <f>(표1[[#This Row],[의전원졸업/남]])/(표1[[#This Row],[졸업합계/남]]+표1[[#This Row],[졸업합계/여]]+L77)*표1[[#This Row],[의사고시 합격자수]]</f>
        <v>0</v>
      </c>
      <c r="S78" s="5">
        <f>(표1[[#This Row],[의전원졸업/여]])/(표1[[#This Row],[졸업합계/남]]+표1[[#This Row],[졸업합계/여]]+L77)*표1[[#This Row],[의사고시 합격자수]]</f>
        <v>0</v>
      </c>
      <c r="T78" s="5">
        <f>(L77*V77)/(표1[[#This Row],[졸업합계/남]]+표1[[#This Row],[졸업합계/여]]+L77)*표1[[#This Row],[의사고시 합격자수]]</f>
        <v>0</v>
      </c>
      <c r="U78" s="5">
        <f>(L77*(1-V77))/(표1[[#This Row],[졸업합계/남]]+표1[[#This Row],[졸업합계/여]]+L77)*표1[[#This Row],[의사고시 합격자수]]</f>
        <v>0</v>
      </c>
      <c r="V78" s="40">
        <f>표1[[#This Row],[의대졸비율/남]]+표1[[#This Row],[의전졸비율/남]]+표1[[#This Row],[불합비율/남]]</f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5">
        <v>0</v>
      </c>
      <c r="AD78" s="5">
        <v>0</v>
      </c>
      <c r="AE78" s="5">
        <v>0</v>
      </c>
      <c r="AF78" s="39">
        <v>1954.6106944897294</v>
      </c>
      <c r="AG78" s="39">
        <v>1026.3893055102706</v>
      </c>
      <c r="AH78" s="39">
        <v>0</v>
      </c>
      <c r="AI78" s="39">
        <v>0</v>
      </c>
      <c r="AJ78" s="39">
        <f>AF78+AH78</f>
        <v>1954.6106944897294</v>
      </c>
      <c r="AK78" s="39">
        <f>AG78+AI78</f>
        <v>1026.3893055102706</v>
      </c>
    </row>
    <row r="79" spans="1:37" x14ac:dyDescent="0.25">
      <c r="A79" s="1">
        <v>2027</v>
      </c>
      <c r="B79" s="9">
        <v>51933215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31"/>
      <c r="I79" s="22"/>
      <c r="J79" s="5">
        <v>0</v>
      </c>
      <c r="K79" s="5">
        <v>0</v>
      </c>
      <c r="L79" s="34"/>
      <c r="M79" s="5">
        <v>0</v>
      </c>
      <c r="N79" s="1">
        <f>(-5*(표1[[#This Row],[년도]]-1950)^2/100000)+(16*(표1[[#This Row],[년도]]-1950)/10000)+0.8551</f>
        <v>0.68184999999999996</v>
      </c>
      <c r="O79" s="19">
        <f>(표1[[#This Row],[의대졸비율/남]]+표1[[#This Row],[의전졸비율/남]]+표1[[#This Row],[불합비율/남]])-표1[[#This Row],[의사고시성비추세]]</f>
        <v>-0.68184999999999996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40">
        <f>표1[[#This Row],[의대졸비율/남]]+표1[[#This Row],[의전졸비율/남]]+표1[[#This Row],[불합비율/남]]</f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5">
        <v>0</v>
      </c>
      <c r="AD79" s="5">
        <v>0</v>
      </c>
      <c r="AE79" s="5">
        <v>0</v>
      </c>
      <c r="AF79" s="39">
        <v>0</v>
      </c>
      <c r="AG79" s="39">
        <v>0</v>
      </c>
      <c r="AH79" s="39">
        <v>0</v>
      </c>
      <c r="AI79" s="39">
        <v>0</v>
      </c>
      <c r="AJ79" s="39">
        <f t="shared" si="22"/>
        <v>0</v>
      </c>
      <c r="AK79" s="39">
        <f t="shared" si="23"/>
        <v>0</v>
      </c>
    </row>
    <row r="80" spans="1:37" x14ac:dyDescent="0.25">
      <c r="A80" s="1">
        <v>2028</v>
      </c>
      <c r="B80" s="9">
        <v>51941946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31"/>
      <c r="I80" s="22"/>
      <c r="J80" s="5">
        <v>0</v>
      </c>
      <c r="K80" s="5">
        <v>0</v>
      </c>
      <c r="L80" s="34"/>
      <c r="M80" s="5">
        <v>0</v>
      </c>
      <c r="N80" s="1">
        <f>(-5*(표1[[#This Row],[년도]]-1950)^2/100000)+(16*(표1[[#This Row],[년도]]-1950)/10000)+0.8551</f>
        <v>0.67569999999999997</v>
      </c>
      <c r="O80" s="19">
        <f>(표1[[#This Row],[의대졸비율/남]]+표1[[#This Row],[의전졸비율/남]]+표1[[#This Row],[불합비율/남]])-표1[[#This Row],[의사고시성비추세]]</f>
        <v>-0.67569999999999997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40">
        <f>표1[[#This Row],[의대졸비율/남]]+표1[[#This Row],[의전졸비율/남]]+표1[[#This Row],[불합비율/남]]</f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5">
        <v>0</v>
      </c>
      <c r="AD80" s="5">
        <v>0</v>
      </c>
      <c r="AE80" s="5">
        <v>0</v>
      </c>
      <c r="AF80" s="39">
        <v>0</v>
      </c>
      <c r="AG80" s="39">
        <v>0</v>
      </c>
      <c r="AH80" s="39">
        <v>0</v>
      </c>
      <c r="AI80" s="39">
        <v>0</v>
      </c>
      <c r="AJ80" s="39">
        <f t="shared" si="22"/>
        <v>0</v>
      </c>
      <c r="AK80" s="39">
        <f t="shared" si="23"/>
        <v>0</v>
      </c>
    </row>
    <row r="81" spans="1:37" x14ac:dyDescent="0.25">
      <c r="A81" s="1">
        <v>2029</v>
      </c>
      <c r="B81" s="9">
        <v>51940598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31"/>
      <c r="I81" s="22"/>
      <c r="J81" s="5">
        <v>0</v>
      </c>
      <c r="K81" s="5">
        <v>0</v>
      </c>
      <c r="L81" s="34"/>
      <c r="M81" s="5">
        <v>0</v>
      </c>
      <c r="N81" s="1">
        <f>(-5*(표1[[#This Row],[년도]]-1950)^2/100000)+(16*(표1[[#This Row],[년도]]-1950)/10000)+0.8551</f>
        <v>0.66944999999999999</v>
      </c>
      <c r="O81" s="19">
        <f>(표1[[#This Row],[의대졸비율/남]]+표1[[#This Row],[의전졸비율/남]]+표1[[#This Row],[불합비율/남]])-표1[[#This Row],[의사고시성비추세]]</f>
        <v>-0.66944999999999999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40">
        <f>표1[[#This Row],[의대졸비율/남]]+표1[[#This Row],[의전졸비율/남]]+표1[[#This Row],[불합비율/남]]</f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5">
        <v>0</v>
      </c>
      <c r="AD81" s="5">
        <v>0</v>
      </c>
      <c r="AE81" s="5">
        <v>0</v>
      </c>
      <c r="AF81" s="39">
        <v>0</v>
      </c>
      <c r="AG81" s="39">
        <v>0</v>
      </c>
      <c r="AH81" s="39">
        <v>0</v>
      </c>
      <c r="AI81" s="39">
        <v>0</v>
      </c>
      <c r="AJ81" s="39">
        <f t="shared" si="22"/>
        <v>0</v>
      </c>
      <c r="AK81" s="39">
        <f t="shared" si="23"/>
        <v>0</v>
      </c>
    </row>
    <row r="82" spans="1:37" x14ac:dyDescent="0.25">
      <c r="A82" s="1">
        <v>2030</v>
      </c>
      <c r="B82" s="9">
        <v>51926953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31"/>
      <c r="I82" s="22"/>
      <c r="J82" s="5">
        <v>0</v>
      </c>
      <c r="K82" s="5">
        <v>0</v>
      </c>
      <c r="L82" s="34"/>
      <c r="M82" s="5">
        <v>0</v>
      </c>
      <c r="N82" s="1">
        <f>(-5*(표1[[#This Row],[년도]]-1950)^2/100000)+(16*(표1[[#This Row],[년도]]-1950)/10000)+0.8551</f>
        <v>0.66310000000000002</v>
      </c>
      <c r="O82" s="19">
        <f>(표1[[#This Row],[의대졸비율/남]]+표1[[#This Row],[의전졸비율/남]]+표1[[#This Row],[불합비율/남]])-표1[[#This Row],[의사고시성비추세]]</f>
        <v>-0.66310000000000002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40">
        <f>표1[[#This Row],[의대졸비율/남]]+표1[[#This Row],[의전졸비율/남]]+표1[[#This Row],[불합비율/남]]</f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5">
        <v>0</v>
      </c>
      <c r="AD82" s="5">
        <v>0</v>
      </c>
      <c r="AE82" s="5">
        <v>0</v>
      </c>
      <c r="AF82" s="39">
        <v>0</v>
      </c>
      <c r="AG82" s="39">
        <v>0</v>
      </c>
      <c r="AH82" s="39">
        <v>0</v>
      </c>
      <c r="AI82" s="39">
        <v>0</v>
      </c>
      <c r="AJ82" s="39">
        <f t="shared" si="22"/>
        <v>0</v>
      </c>
      <c r="AK82" s="39">
        <f t="shared" si="23"/>
        <v>0</v>
      </c>
    </row>
    <row r="83" spans="1:37" x14ac:dyDescent="0.25">
      <c r="A83" s="1">
        <v>2031</v>
      </c>
      <c r="B83" s="9">
        <v>51899896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31"/>
      <c r="I83" s="22"/>
      <c r="J83" s="5">
        <v>0</v>
      </c>
      <c r="K83" s="5">
        <v>0</v>
      </c>
      <c r="L83" s="34"/>
      <c r="M83" s="5">
        <v>0</v>
      </c>
      <c r="N83" s="1">
        <f>(-5*(표1[[#This Row],[년도]]-1950)^2/100000)+(16*(표1[[#This Row],[년도]]-1950)/10000)+0.8551</f>
        <v>0.65664999999999996</v>
      </c>
      <c r="O83" s="19">
        <f>(표1[[#This Row],[의대졸비율/남]]+표1[[#This Row],[의전졸비율/남]]+표1[[#This Row],[불합비율/남]])-표1[[#This Row],[의사고시성비추세]]</f>
        <v>-0.65664999999999996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40">
        <f>표1[[#This Row],[의대졸비율/남]]+표1[[#This Row],[의전졸비율/남]]+표1[[#This Row],[불합비율/남]]</f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5">
        <v>0</v>
      </c>
      <c r="AD83" s="5">
        <v>0</v>
      </c>
      <c r="AE83" s="5">
        <v>0</v>
      </c>
      <c r="AF83" s="39">
        <v>0</v>
      </c>
      <c r="AG83" s="39">
        <v>0</v>
      </c>
      <c r="AH83" s="39">
        <v>0</v>
      </c>
      <c r="AI83" s="39">
        <v>0</v>
      </c>
      <c r="AJ83" s="39">
        <f t="shared" si="22"/>
        <v>0</v>
      </c>
      <c r="AK83" s="39">
        <f t="shared" si="23"/>
        <v>0</v>
      </c>
    </row>
    <row r="84" spans="1:37" x14ac:dyDescent="0.25">
      <c r="A84" s="1">
        <v>2032</v>
      </c>
      <c r="B84" s="9">
        <v>51858138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31"/>
      <c r="I84" s="22"/>
      <c r="J84" s="5">
        <v>0</v>
      </c>
      <c r="K84" s="5">
        <v>0</v>
      </c>
      <c r="L84" s="34"/>
      <c r="M84" s="5">
        <v>0</v>
      </c>
      <c r="N84" s="1">
        <f>(-5*(표1[[#This Row],[년도]]-1950)^2/100000)+(16*(표1[[#This Row],[년도]]-1950)/10000)+0.8551</f>
        <v>0.65010000000000001</v>
      </c>
      <c r="O84" s="19">
        <f>(표1[[#This Row],[의대졸비율/남]]+표1[[#This Row],[의전졸비율/남]]+표1[[#This Row],[불합비율/남]])-표1[[#This Row],[의사고시성비추세]]</f>
        <v>-0.65010000000000001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40">
        <f>표1[[#This Row],[의대졸비율/남]]+표1[[#This Row],[의전졸비율/남]]+표1[[#This Row],[불합비율/남]]</f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5">
        <v>0</v>
      </c>
      <c r="AD84" s="5">
        <v>0</v>
      </c>
      <c r="AE84" s="5">
        <v>0</v>
      </c>
      <c r="AF84" s="39">
        <v>0</v>
      </c>
      <c r="AG84" s="39">
        <v>0</v>
      </c>
      <c r="AH84" s="39">
        <v>0</v>
      </c>
      <c r="AI84" s="39">
        <v>0</v>
      </c>
      <c r="AJ84" s="39">
        <f t="shared" si="22"/>
        <v>0</v>
      </c>
      <c r="AK84" s="39">
        <f t="shared" si="23"/>
        <v>0</v>
      </c>
    </row>
    <row r="85" spans="1:37" x14ac:dyDescent="0.25">
      <c r="A85" s="1">
        <v>2033</v>
      </c>
      <c r="B85" s="9">
        <v>51800130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31"/>
      <c r="I85" s="22"/>
      <c r="J85" s="5">
        <v>0</v>
      </c>
      <c r="K85" s="5">
        <v>0</v>
      </c>
      <c r="L85" s="34"/>
      <c r="M85" s="5">
        <v>0</v>
      </c>
      <c r="N85" s="1">
        <f>(-5*(표1[[#This Row],[년도]]-1950)^2/100000)+(16*(표1[[#This Row],[년도]]-1950)/10000)+0.8551</f>
        <v>0.64344999999999997</v>
      </c>
      <c r="O85" s="19">
        <f>(표1[[#This Row],[의대졸비율/남]]+표1[[#This Row],[의전졸비율/남]]+표1[[#This Row],[불합비율/남]])-표1[[#This Row],[의사고시성비추세]]</f>
        <v>-0.64344999999999997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40">
        <f>표1[[#This Row],[의대졸비율/남]]+표1[[#This Row],[의전졸비율/남]]+표1[[#This Row],[불합비율/남]]</f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5">
        <v>0</v>
      </c>
      <c r="AD85" s="5">
        <v>0</v>
      </c>
      <c r="AE85" s="5">
        <v>0</v>
      </c>
      <c r="AF85" s="39">
        <v>0</v>
      </c>
      <c r="AG85" s="39">
        <v>0</v>
      </c>
      <c r="AH85" s="39">
        <v>0</v>
      </c>
      <c r="AI85" s="39">
        <v>0</v>
      </c>
      <c r="AJ85" s="39">
        <f t="shared" si="22"/>
        <v>0</v>
      </c>
      <c r="AK85" s="39">
        <f t="shared" si="23"/>
        <v>0</v>
      </c>
    </row>
    <row r="86" spans="1:37" x14ac:dyDescent="0.25">
      <c r="A86" s="1">
        <v>2034</v>
      </c>
      <c r="B86" s="9">
        <v>51724407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31"/>
      <c r="I86" s="22"/>
      <c r="J86" s="5">
        <v>0</v>
      </c>
      <c r="K86" s="5">
        <v>0</v>
      </c>
      <c r="L86" s="34"/>
      <c r="M86" s="5">
        <v>0</v>
      </c>
      <c r="N86" s="1">
        <f>(-5*(표1[[#This Row],[년도]]-1950)^2/100000)+(16*(표1[[#This Row],[년도]]-1950)/10000)+0.8551</f>
        <v>0.63669999999999993</v>
      </c>
      <c r="O86" s="19">
        <f>(표1[[#This Row],[의대졸비율/남]]+표1[[#This Row],[의전졸비율/남]]+표1[[#This Row],[불합비율/남]])-표1[[#This Row],[의사고시성비추세]]</f>
        <v>-0.63669999999999993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40">
        <f>표1[[#This Row],[의대졸비율/남]]+표1[[#This Row],[의전졸비율/남]]+표1[[#This Row],[불합비율/남]]</f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5">
        <v>0</v>
      </c>
      <c r="AD86" s="5">
        <v>0</v>
      </c>
      <c r="AE86" s="5">
        <v>0</v>
      </c>
      <c r="AF86" s="39">
        <v>0</v>
      </c>
      <c r="AG86" s="39">
        <v>0</v>
      </c>
      <c r="AH86" s="39">
        <v>0</v>
      </c>
      <c r="AI86" s="39">
        <v>0</v>
      </c>
      <c r="AJ86" s="39">
        <f t="shared" si="22"/>
        <v>0</v>
      </c>
      <c r="AK86" s="39">
        <f t="shared" si="23"/>
        <v>0</v>
      </c>
    </row>
    <row r="87" spans="1:37" x14ac:dyDescent="0.25">
      <c r="A87" s="1">
        <v>2035</v>
      </c>
      <c r="B87" s="9">
        <v>51629895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31"/>
      <c r="I87" s="22"/>
      <c r="J87" s="5">
        <v>0</v>
      </c>
      <c r="K87" s="5">
        <v>0</v>
      </c>
      <c r="L87" s="34"/>
      <c r="M87" s="5">
        <v>0</v>
      </c>
      <c r="N87" s="1">
        <f>(-5*(표1[[#This Row],[년도]]-1950)^2/100000)+(16*(표1[[#This Row],[년도]]-1950)/10000)+0.8551</f>
        <v>0.62985000000000002</v>
      </c>
      <c r="O87" s="19">
        <f>(표1[[#This Row],[의대졸비율/남]]+표1[[#This Row],[의전졸비율/남]]+표1[[#This Row],[불합비율/남]])-표1[[#This Row],[의사고시성비추세]]</f>
        <v>-0.62985000000000002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40">
        <f>표1[[#This Row],[의대졸비율/남]]+표1[[#This Row],[의전졸비율/남]]+표1[[#This Row],[불합비율/남]]</f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5">
        <v>0</v>
      </c>
      <c r="AD87" s="5">
        <v>0</v>
      </c>
      <c r="AE87" s="5">
        <v>0</v>
      </c>
      <c r="AF87" s="39">
        <v>0</v>
      </c>
      <c r="AG87" s="39">
        <v>0</v>
      </c>
      <c r="AH87" s="39">
        <v>0</v>
      </c>
      <c r="AI87" s="39">
        <v>0</v>
      </c>
      <c r="AJ87" s="39">
        <f t="shared" si="22"/>
        <v>0</v>
      </c>
      <c r="AK87" s="39">
        <f t="shared" si="23"/>
        <v>0</v>
      </c>
    </row>
    <row r="88" spans="1:37" x14ac:dyDescent="0.25">
      <c r="A88" s="1">
        <v>2036</v>
      </c>
      <c r="B88" s="9">
        <v>51515697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31"/>
      <c r="I88" s="22"/>
      <c r="J88" s="5">
        <v>0</v>
      </c>
      <c r="K88" s="5">
        <v>0</v>
      </c>
      <c r="L88" s="34"/>
      <c r="M88" s="5">
        <v>0</v>
      </c>
      <c r="N88" s="1">
        <f>(-5*(표1[[#This Row],[년도]]-1950)^2/100000)+(16*(표1[[#This Row],[년도]]-1950)/10000)+0.8551</f>
        <v>0.62290000000000001</v>
      </c>
      <c r="O88" s="19">
        <f>(표1[[#This Row],[의대졸비율/남]]+표1[[#This Row],[의전졸비율/남]]+표1[[#This Row],[불합비율/남]])-표1[[#This Row],[의사고시성비추세]]</f>
        <v>-0.62290000000000001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40">
        <f>표1[[#This Row],[의대졸비율/남]]+표1[[#This Row],[의전졸비율/남]]+표1[[#This Row],[불합비율/남]]</f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5">
        <v>0</v>
      </c>
      <c r="AD88" s="5">
        <v>0</v>
      </c>
      <c r="AE88" s="5">
        <v>0</v>
      </c>
      <c r="AF88" s="39">
        <v>0</v>
      </c>
      <c r="AG88" s="39">
        <v>0</v>
      </c>
      <c r="AH88" s="39">
        <v>0</v>
      </c>
      <c r="AI88" s="39">
        <v>0</v>
      </c>
      <c r="AJ88" s="39">
        <f t="shared" si="22"/>
        <v>0</v>
      </c>
      <c r="AK88" s="39">
        <f t="shared" si="23"/>
        <v>0</v>
      </c>
    </row>
    <row r="89" spans="1:37" x14ac:dyDescent="0.25">
      <c r="A89" s="1">
        <v>2037</v>
      </c>
      <c r="B89" s="9">
        <v>51381324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31"/>
      <c r="I89" s="22"/>
      <c r="J89" s="5">
        <v>0</v>
      </c>
      <c r="K89" s="5">
        <v>0</v>
      </c>
      <c r="L89" s="34"/>
      <c r="M89" s="5">
        <v>0</v>
      </c>
      <c r="N89" s="1">
        <f>(-5*(표1[[#This Row],[년도]]-1950)^2/100000)+(16*(표1[[#This Row],[년도]]-1950)/10000)+0.8551</f>
        <v>0.61585000000000001</v>
      </c>
      <c r="O89" s="19">
        <f>(표1[[#This Row],[의대졸비율/남]]+표1[[#This Row],[의전졸비율/남]]+표1[[#This Row],[불합비율/남]])-표1[[#This Row],[의사고시성비추세]]</f>
        <v>-0.61585000000000001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40">
        <f>표1[[#This Row],[의대졸비율/남]]+표1[[#This Row],[의전졸비율/남]]+표1[[#This Row],[불합비율/남]]</f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5">
        <v>0</v>
      </c>
      <c r="AD89" s="5">
        <v>0</v>
      </c>
      <c r="AE89" s="5">
        <v>0</v>
      </c>
      <c r="AF89" s="39">
        <v>0</v>
      </c>
      <c r="AG89" s="39">
        <v>0</v>
      </c>
      <c r="AH89" s="39">
        <v>0</v>
      </c>
      <c r="AI89" s="39">
        <v>0</v>
      </c>
      <c r="AJ89" s="39">
        <f t="shared" si="22"/>
        <v>0</v>
      </c>
      <c r="AK89" s="39">
        <f t="shared" si="23"/>
        <v>0</v>
      </c>
    </row>
    <row r="90" spans="1:37" x14ac:dyDescent="0.25">
      <c r="A90" s="1">
        <v>2038</v>
      </c>
      <c r="B90" s="9">
        <v>51226482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31"/>
      <c r="I90" s="22"/>
      <c r="J90" s="5">
        <v>0</v>
      </c>
      <c r="K90" s="5">
        <v>0</v>
      </c>
      <c r="L90" s="34"/>
      <c r="M90" s="5">
        <v>0</v>
      </c>
      <c r="N90" s="1">
        <f>(-5*(표1[[#This Row],[년도]]-1950)^2/100000)+(16*(표1[[#This Row],[년도]]-1950)/10000)+0.8551</f>
        <v>0.60870000000000002</v>
      </c>
      <c r="O90" s="19">
        <f>(표1[[#This Row],[의대졸비율/남]]+표1[[#This Row],[의전졸비율/남]]+표1[[#This Row],[불합비율/남]])-표1[[#This Row],[의사고시성비추세]]</f>
        <v>-0.60870000000000002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40">
        <f>표1[[#This Row],[의대졸비율/남]]+표1[[#This Row],[의전졸비율/남]]+표1[[#This Row],[불합비율/남]]</f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5">
        <v>0</v>
      </c>
      <c r="AD90" s="5">
        <v>0</v>
      </c>
      <c r="AE90" s="5">
        <v>0</v>
      </c>
      <c r="AF90" s="39">
        <v>0</v>
      </c>
      <c r="AG90" s="39">
        <v>0</v>
      </c>
      <c r="AH90" s="39">
        <v>0</v>
      </c>
      <c r="AI90" s="39">
        <v>0</v>
      </c>
      <c r="AJ90" s="39">
        <f t="shared" si="22"/>
        <v>0</v>
      </c>
      <c r="AK90" s="39">
        <f t="shared" si="23"/>
        <v>0</v>
      </c>
    </row>
    <row r="91" spans="1:37" x14ac:dyDescent="0.25">
      <c r="A91" s="1">
        <v>2039</v>
      </c>
      <c r="B91" s="9">
        <v>51051053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31"/>
      <c r="I91" s="22"/>
      <c r="J91" s="5">
        <v>0</v>
      </c>
      <c r="K91" s="5">
        <v>0</v>
      </c>
      <c r="L91" s="34"/>
      <c r="M91" s="5">
        <v>0</v>
      </c>
      <c r="N91" s="1">
        <f>(-5*(표1[[#This Row],[년도]]-1950)^2/100000)+(16*(표1[[#This Row],[년도]]-1950)/10000)+0.8551</f>
        <v>0.60144999999999993</v>
      </c>
      <c r="O91" s="19">
        <f>(표1[[#This Row],[의대졸비율/남]]+표1[[#This Row],[의전졸비율/남]]+표1[[#This Row],[불합비율/남]])-표1[[#This Row],[의사고시성비추세]]</f>
        <v>-0.60144999999999993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40">
        <f>표1[[#This Row],[의대졸비율/남]]+표1[[#This Row],[의전졸비율/남]]+표1[[#This Row],[불합비율/남]]</f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5">
        <v>0</v>
      </c>
      <c r="AD91" s="5">
        <v>0</v>
      </c>
      <c r="AE91" s="5">
        <v>0</v>
      </c>
      <c r="AF91" s="39">
        <v>0</v>
      </c>
      <c r="AG91" s="39">
        <v>0</v>
      </c>
      <c r="AH91" s="39">
        <v>0</v>
      </c>
      <c r="AI91" s="39">
        <v>0</v>
      </c>
      <c r="AJ91" s="39">
        <f t="shared" si="22"/>
        <v>0</v>
      </c>
      <c r="AK91" s="39">
        <f t="shared" si="23"/>
        <v>0</v>
      </c>
    </row>
    <row r="92" spans="1:37" x14ac:dyDescent="0.25">
      <c r="A92" s="1">
        <v>2040</v>
      </c>
      <c r="B92" s="9">
        <v>50855376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31"/>
      <c r="I92" s="22"/>
      <c r="J92" s="5">
        <v>0</v>
      </c>
      <c r="K92" s="5">
        <v>0</v>
      </c>
      <c r="L92" s="34"/>
      <c r="M92" s="5">
        <v>0</v>
      </c>
      <c r="N92" s="1">
        <f>(-5*(표1[[#This Row],[년도]]-1950)^2/100000)+(16*(표1[[#This Row],[년도]]-1950)/10000)+0.8551</f>
        <v>0.59409999999999996</v>
      </c>
      <c r="O92" s="19">
        <f>(표1[[#This Row],[의대졸비율/남]]+표1[[#This Row],[의전졸비율/남]]+표1[[#This Row],[불합비율/남]])-표1[[#This Row],[의사고시성비추세]]</f>
        <v>-0.59409999999999996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40">
        <f>표1[[#This Row],[의대졸비율/남]]+표1[[#This Row],[의전졸비율/남]]+표1[[#This Row],[불합비율/남]]</f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5">
        <v>0</v>
      </c>
      <c r="AD92" s="5">
        <v>0</v>
      </c>
      <c r="AE92" s="5">
        <v>0</v>
      </c>
      <c r="AF92" s="39">
        <v>0</v>
      </c>
      <c r="AG92" s="39">
        <v>0</v>
      </c>
      <c r="AH92" s="39">
        <v>0</v>
      </c>
      <c r="AI92" s="39">
        <v>0</v>
      </c>
      <c r="AJ92" s="39">
        <f t="shared" si="22"/>
        <v>0</v>
      </c>
      <c r="AK92" s="39">
        <f t="shared" si="23"/>
        <v>0</v>
      </c>
    </row>
    <row r="93" spans="1:37" x14ac:dyDescent="0.25">
      <c r="A93" s="1">
        <v>2041</v>
      </c>
      <c r="B93" s="9">
        <v>50639882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31"/>
      <c r="I93" s="22"/>
      <c r="J93" s="5">
        <v>0</v>
      </c>
      <c r="K93" s="5">
        <v>0</v>
      </c>
      <c r="L93" s="34"/>
      <c r="M93" s="5">
        <v>0</v>
      </c>
      <c r="N93" s="1">
        <f>(-5*(표1[[#This Row],[년도]]-1950)^2/100000)+(16*(표1[[#This Row],[년도]]-1950)/10000)+0.8551</f>
        <v>0.58665</v>
      </c>
      <c r="O93" s="19">
        <f>(표1[[#This Row],[의대졸비율/남]]+표1[[#This Row],[의전졸비율/남]]+표1[[#This Row],[불합비율/남]])-표1[[#This Row],[의사고시성비추세]]</f>
        <v>-0.58665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40">
        <f>표1[[#This Row],[의대졸비율/남]]+표1[[#This Row],[의전졸비율/남]]+표1[[#This Row],[불합비율/남]]</f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5">
        <v>0</v>
      </c>
      <c r="AD93" s="5">
        <v>0</v>
      </c>
      <c r="AE93" s="5">
        <v>0</v>
      </c>
      <c r="AF93" s="39">
        <v>0</v>
      </c>
      <c r="AG93" s="39">
        <v>0</v>
      </c>
      <c r="AH93" s="39">
        <v>0</v>
      </c>
      <c r="AI93" s="39">
        <v>0</v>
      </c>
      <c r="AJ93" s="39">
        <f t="shared" si="22"/>
        <v>0</v>
      </c>
      <c r="AK93" s="39">
        <f t="shared" si="23"/>
        <v>0</v>
      </c>
    </row>
    <row r="94" spans="1:37" x14ac:dyDescent="0.25">
      <c r="A94" s="1">
        <v>2042</v>
      </c>
      <c r="B94" s="9">
        <v>50404693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31"/>
      <c r="I94" s="22"/>
      <c r="J94" s="5">
        <v>0</v>
      </c>
      <c r="K94" s="5">
        <v>0</v>
      </c>
      <c r="L94" s="34"/>
      <c r="M94" s="5">
        <v>0</v>
      </c>
      <c r="N94" s="1">
        <f>(-5*(표1[[#This Row],[년도]]-1950)^2/100000)+(16*(표1[[#This Row],[년도]]-1950)/10000)+0.8551</f>
        <v>0.57909999999999995</v>
      </c>
      <c r="O94" s="19">
        <f>(표1[[#This Row],[의대졸비율/남]]+표1[[#This Row],[의전졸비율/남]]+표1[[#This Row],[불합비율/남]])-표1[[#This Row],[의사고시성비추세]]</f>
        <v>-0.57909999999999995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40">
        <f>표1[[#This Row],[의대졸비율/남]]+표1[[#This Row],[의전졸비율/남]]+표1[[#This Row],[불합비율/남]]</f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5">
        <v>0</v>
      </c>
      <c r="AD94" s="5">
        <v>0</v>
      </c>
      <c r="AE94" s="5">
        <v>0</v>
      </c>
      <c r="AF94" s="39">
        <v>0</v>
      </c>
      <c r="AG94" s="39">
        <v>0</v>
      </c>
      <c r="AH94" s="39">
        <v>0</v>
      </c>
      <c r="AI94" s="39">
        <v>0</v>
      </c>
      <c r="AJ94" s="39">
        <f t="shared" si="22"/>
        <v>0</v>
      </c>
      <c r="AK94" s="39">
        <f t="shared" si="23"/>
        <v>0</v>
      </c>
    </row>
    <row r="95" spans="1:37" x14ac:dyDescent="0.25">
      <c r="A95" s="1">
        <v>2043</v>
      </c>
      <c r="B95" s="9">
        <v>50149334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31"/>
      <c r="I95" s="22"/>
      <c r="J95" s="5">
        <v>0</v>
      </c>
      <c r="K95" s="5">
        <v>0</v>
      </c>
      <c r="L95" s="34"/>
      <c r="M95" s="5">
        <v>0</v>
      </c>
      <c r="N95" s="1">
        <f>(-5*(표1[[#This Row],[년도]]-1950)^2/100000)+(16*(표1[[#This Row],[년도]]-1950)/10000)+0.8551</f>
        <v>0.57145000000000001</v>
      </c>
      <c r="O95" s="19">
        <f>(표1[[#This Row],[의대졸비율/남]]+표1[[#This Row],[의전졸비율/남]]+표1[[#This Row],[불합비율/남]])-표1[[#This Row],[의사고시성비추세]]</f>
        <v>-0.57145000000000001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40">
        <f>표1[[#This Row],[의대졸비율/남]]+표1[[#This Row],[의전졸비율/남]]+표1[[#This Row],[불합비율/남]]</f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5">
        <v>0</v>
      </c>
      <c r="AD95" s="5">
        <v>0</v>
      </c>
      <c r="AE95" s="5">
        <v>0</v>
      </c>
      <c r="AF95" s="39">
        <v>0</v>
      </c>
      <c r="AG95" s="39">
        <v>0</v>
      </c>
      <c r="AH95" s="39">
        <v>0</v>
      </c>
      <c r="AI95" s="39">
        <v>0</v>
      </c>
      <c r="AJ95" s="39">
        <f t="shared" si="22"/>
        <v>0</v>
      </c>
      <c r="AK95" s="39">
        <f t="shared" si="23"/>
        <v>0</v>
      </c>
    </row>
    <row r="96" spans="1:37" x14ac:dyDescent="0.25">
      <c r="A96" s="1">
        <v>2044</v>
      </c>
      <c r="B96" s="9">
        <v>49872642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31"/>
      <c r="I96" s="22"/>
      <c r="J96" s="5">
        <v>0</v>
      </c>
      <c r="K96" s="5">
        <v>0</v>
      </c>
      <c r="L96" s="34"/>
      <c r="M96" s="5">
        <v>0</v>
      </c>
      <c r="N96" s="1">
        <f>(-5*(표1[[#This Row],[년도]]-1950)^2/100000)+(16*(표1[[#This Row],[년도]]-1950)/10000)+0.8551</f>
        <v>0.56369999999999998</v>
      </c>
      <c r="O96" s="19">
        <f>(표1[[#This Row],[의대졸비율/남]]+표1[[#This Row],[의전졸비율/남]]+표1[[#This Row],[불합비율/남]])-표1[[#This Row],[의사고시성비추세]]</f>
        <v>-0.56369999999999998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40">
        <f>표1[[#This Row],[의대졸비율/남]]+표1[[#This Row],[의전졸비율/남]]+표1[[#This Row],[불합비율/남]]</f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5">
        <v>0</v>
      </c>
      <c r="AD96" s="5">
        <v>0</v>
      </c>
      <c r="AE96" s="5">
        <v>0</v>
      </c>
      <c r="AF96" s="39">
        <v>0</v>
      </c>
      <c r="AG96" s="39">
        <v>0</v>
      </c>
      <c r="AH96" s="39">
        <v>0</v>
      </c>
      <c r="AI96" s="39">
        <v>0</v>
      </c>
      <c r="AJ96" s="39">
        <f t="shared" si="22"/>
        <v>0</v>
      </c>
      <c r="AK96" s="39">
        <f t="shared" si="23"/>
        <v>0</v>
      </c>
    </row>
    <row r="97" spans="1:37" x14ac:dyDescent="0.25">
      <c r="A97" s="1">
        <v>2045</v>
      </c>
      <c r="B97" s="9">
        <v>49574038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31"/>
      <c r="I97" s="22"/>
      <c r="J97" s="5">
        <v>0</v>
      </c>
      <c r="K97" s="5">
        <v>0</v>
      </c>
      <c r="L97" s="34"/>
      <c r="M97" s="5">
        <v>0</v>
      </c>
      <c r="N97" s="1">
        <f>(-5*(표1[[#This Row],[년도]]-1950)^2/100000)+(16*(표1[[#This Row],[년도]]-1950)/10000)+0.8551</f>
        <v>0.55584999999999996</v>
      </c>
      <c r="O97" s="19">
        <f>(표1[[#This Row],[의대졸비율/남]]+표1[[#This Row],[의전졸비율/남]]+표1[[#This Row],[불합비율/남]])-표1[[#This Row],[의사고시성비추세]]</f>
        <v>-0.55584999999999996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40">
        <f>표1[[#This Row],[의대졸비율/남]]+표1[[#This Row],[의전졸비율/남]]+표1[[#This Row],[불합비율/남]]</f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5">
        <v>0</v>
      </c>
      <c r="AD97" s="5">
        <v>0</v>
      </c>
      <c r="AE97" s="5">
        <v>0</v>
      </c>
      <c r="AF97" s="39">
        <v>0</v>
      </c>
      <c r="AG97" s="39">
        <v>0</v>
      </c>
      <c r="AH97" s="39">
        <v>0</v>
      </c>
      <c r="AI97" s="39">
        <v>0</v>
      </c>
      <c r="AJ97" s="39">
        <f t="shared" si="22"/>
        <v>0</v>
      </c>
      <c r="AK97" s="39">
        <f t="shared" si="23"/>
        <v>0</v>
      </c>
    </row>
    <row r="98" spans="1:37" x14ac:dyDescent="0.25">
      <c r="A98" s="1">
        <v>2046</v>
      </c>
      <c r="B98" s="9">
        <v>49253490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31"/>
      <c r="I98" s="22"/>
      <c r="J98" s="5">
        <v>0</v>
      </c>
      <c r="K98" s="5">
        <v>0</v>
      </c>
      <c r="L98" s="34"/>
      <c r="M98" s="5">
        <v>0</v>
      </c>
      <c r="N98" s="1">
        <f>(-5*(표1[[#This Row],[년도]]-1950)^2/100000)+(16*(표1[[#This Row],[년도]]-1950)/10000)+0.8551</f>
        <v>0.54789999999999994</v>
      </c>
      <c r="O98" s="19">
        <f>(표1[[#This Row],[의대졸비율/남]]+표1[[#This Row],[의전졸비율/남]]+표1[[#This Row],[불합비율/남]])-표1[[#This Row],[의사고시성비추세]]</f>
        <v>-0.54789999999999994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40">
        <f>표1[[#This Row],[의대졸비율/남]]+표1[[#This Row],[의전졸비율/남]]+표1[[#This Row],[불합비율/남]]</f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5">
        <v>0</v>
      </c>
      <c r="AD98" s="5">
        <v>0</v>
      </c>
      <c r="AE98" s="5">
        <v>0</v>
      </c>
      <c r="AF98" s="39">
        <v>0</v>
      </c>
      <c r="AG98" s="39">
        <v>0</v>
      </c>
      <c r="AH98" s="39">
        <v>0</v>
      </c>
      <c r="AI98" s="39">
        <v>0</v>
      </c>
      <c r="AJ98" s="39">
        <f t="shared" si="22"/>
        <v>0</v>
      </c>
      <c r="AK98" s="39">
        <f t="shared" si="23"/>
        <v>0</v>
      </c>
    </row>
    <row r="99" spans="1:37" x14ac:dyDescent="0.25">
      <c r="A99" s="1">
        <v>2047</v>
      </c>
      <c r="B99" s="9">
        <v>48910639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31"/>
      <c r="I99" s="22"/>
      <c r="J99" s="5">
        <v>0</v>
      </c>
      <c r="K99" s="5">
        <v>0</v>
      </c>
      <c r="L99" s="34"/>
      <c r="M99" s="5">
        <v>0</v>
      </c>
      <c r="N99" s="1">
        <f>(-5*(표1[[#This Row],[년도]]-1950)^2/100000)+(16*(표1[[#This Row],[년도]]-1950)/10000)+0.8551</f>
        <v>0.53984999999999994</v>
      </c>
      <c r="O99" s="19">
        <f>(표1[[#This Row],[의대졸비율/남]]+표1[[#This Row],[의전졸비율/남]]+표1[[#This Row],[불합비율/남]])-표1[[#This Row],[의사고시성비추세]]</f>
        <v>-0.53984999999999994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40">
        <f>표1[[#This Row],[의대졸비율/남]]+표1[[#This Row],[의전졸비율/남]]+표1[[#This Row],[불합비율/남]]</f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5">
        <v>0</v>
      </c>
      <c r="AD99" s="5">
        <v>0</v>
      </c>
      <c r="AE99" s="5">
        <v>0</v>
      </c>
      <c r="AF99" s="39">
        <v>0</v>
      </c>
      <c r="AG99" s="39">
        <v>0</v>
      </c>
      <c r="AH99" s="39">
        <v>0</v>
      </c>
      <c r="AI99" s="39">
        <v>0</v>
      </c>
      <c r="AJ99" s="39">
        <f t="shared" si="22"/>
        <v>0</v>
      </c>
      <c r="AK99" s="39">
        <f t="shared" si="23"/>
        <v>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2020-11-11T06:59:10Z</dcterms:created>
  <dcterms:modified xsi:type="dcterms:W3CDTF">2020-11-23T05:07:23Z</dcterms:modified>
</cp:coreProperties>
</file>