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05" windowWidth="14805" windowHeight="7110" tabRatio="893"/>
  </bookViews>
  <sheets>
    <sheet name="资产负债表" sheetId="27" r:id="rId1"/>
    <sheet name="估值模型" sheetId="31" r:id="rId2"/>
    <sheet name="经营业绩预测" sheetId="32" r:id="rId3"/>
    <sheet name="利润表分析" sheetId="35" r:id="rId4"/>
    <sheet name="利润分析" sheetId="28" r:id="rId5"/>
    <sheet name="应收" sheetId="37" r:id="rId6"/>
    <sheet name="楼宇媒体" sheetId="26" r:id="rId7"/>
    <sheet name="影院业务" sheetId="34" r:id="rId8"/>
    <sheet name="营业成本分析" sheetId="33" r:id="rId9"/>
    <sheet name="Sheet1" sheetId="30" r:id="rId10"/>
    <sheet name="分众固定资产" sheetId="29" r:id="rId11"/>
  </sheets>
  <calcPr calcId="125725"/>
</workbook>
</file>

<file path=xl/calcChain.xml><?xml version="1.0" encoding="utf-8"?>
<calcChain xmlns="http://schemas.openxmlformats.org/spreadsheetml/2006/main">
  <c r="D21" i="27"/>
  <c r="D19"/>
  <c r="D18"/>
  <c r="D17" s="1"/>
  <c r="D16"/>
  <c r="D4"/>
  <c r="C19"/>
  <c r="C18"/>
  <c r="C17" s="1"/>
  <c r="C16"/>
  <c r="I1" i="31"/>
  <c r="J1" l="1"/>
  <c r="E3" l="1"/>
  <c r="E2"/>
  <c r="F3" l="1"/>
  <c r="B4"/>
  <c r="B5" s="1"/>
  <c r="B6" s="1"/>
  <c r="B3"/>
  <c r="D4" s="1"/>
  <c r="E5" l="1"/>
  <c r="E4"/>
  <c r="E7"/>
  <c r="E6"/>
  <c r="N4"/>
  <c r="M4"/>
  <c r="M5"/>
  <c r="M3"/>
  <c r="N3"/>
  <c r="N5"/>
  <c r="M2" i="35"/>
  <c r="F6" i="31" l="1"/>
  <c r="F7"/>
  <c r="F4"/>
  <c r="F5"/>
  <c r="G7" l="1"/>
  <c r="G6"/>
  <c r="H8" l="1"/>
  <c r="I8" s="1"/>
  <c r="J8" l="1"/>
  <c r="L3" i="35" l="1"/>
  <c r="K3"/>
  <c r="J3"/>
  <c r="L16" l="1"/>
  <c r="L26" s="1"/>
  <c r="L25"/>
  <c r="L24"/>
  <c r="L23"/>
  <c r="C23"/>
  <c r="K16"/>
  <c r="K19" s="1"/>
  <c r="G16"/>
  <c r="G26" s="1"/>
  <c r="E16"/>
  <c r="E26" s="1"/>
  <c r="C16"/>
  <c r="C19" s="1"/>
  <c r="I16"/>
  <c r="I26" s="1"/>
  <c r="K25"/>
  <c r="I25"/>
  <c r="G25"/>
  <c r="E25"/>
  <c r="D25"/>
  <c r="C25"/>
  <c r="K24"/>
  <c r="I24"/>
  <c r="G24"/>
  <c r="E24"/>
  <c r="D24"/>
  <c r="C24"/>
  <c r="K23"/>
  <c r="I23"/>
  <c r="G23"/>
  <c r="E23"/>
  <c r="D23"/>
  <c r="D10"/>
  <c r="D16" s="1"/>
  <c r="K6"/>
  <c r="G6"/>
  <c r="D6"/>
  <c r="C6"/>
  <c r="I5"/>
  <c r="E5"/>
  <c r="I4"/>
  <c r="E4"/>
  <c r="Q13" i="29"/>
  <c r="P13"/>
  <c r="O13"/>
  <c r="N13"/>
  <c r="R13" s="1"/>
  <c r="Q12"/>
  <c r="P12"/>
  <c r="O12"/>
  <c r="N12"/>
  <c r="R12" s="1"/>
  <c r="Q10"/>
  <c r="P10"/>
  <c r="O10"/>
  <c r="N10"/>
  <c r="R10" s="1"/>
  <c r="K26" i="35" l="1"/>
  <c r="K21"/>
  <c r="K22"/>
  <c r="E19"/>
  <c r="E21" s="1"/>
  <c r="I19"/>
  <c r="I21" s="1"/>
  <c r="G19"/>
  <c r="C21"/>
  <c r="C22"/>
  <c r="D19"/>
  <c r="C26"/>
  <c r="D26"/>
  <c r="I6"/>
  <c r="E6"/>
  <c r="I22" l="1"/>
  <c r="E22"/>
  <c r="G21"/>
  <c r="G22"/>
  <c r="D21"/>
  <c r="D22"/>
  <c r="L19"/>
  <c r="L7" i="37"/>
  <c r="E15"/>
  <c r="E14"/>
  <c r="E13"/>
  <c r="E12"/>
  <c r="E11"/>
  <c r="E10"/>
  <c r="C15"/>
  <c r="C14"/>
  <c r="C13"/>
  <c r="C12"/>
  <c r="C11"/>
  <c r="C10"/>
  <c r="J5"/>
  <c r="J6"/>
  <c r="J7"/>
  <c r="M7"/>
  <c r="M6"/>
  <c r="M5"/>
  <c r="M4"/>
  <c r="L21" i="35" l="1"/>
  <c r="L22"/>
  <c r="I10" i="26" l="1"/>
  <c r="J4" i="34"/>
  <c r="L3"/>
  <c r="O9" i="26"/>
  <c r="O7"/>
  <c r="G6" i="34"/>
  <c r="K6" s="1"/>
  <c r="F9"/>
  <c r="F7"/>
  <c r="F5"/>
  <c r="F4"/>
  <c r="F3"/>
  <c r="E6"/>
  <c r="F6" s="1"/>
  <c r="E8"/>
  <c r="F8" s="1"/>
  <c r="E10" s="1"/>
  <c r="K8"/>
  <c r="P7" i="26"/>
  <c r="J7"/>
  <c r="J9"/>
  <c r="K10" i="34"/>
  <c r="K9"/>
  <c r="K7"/>
  <c r="K4"/>
  <c r="K3"/>
  <c r="Q11" i="26"/>
  <c r="Q10"/>
  <c r="H4" i="34"/>
  <c r="H3"/>
  <c r="J3" s="1"/>
  <c r="F15" i="33"/>
  <c r="F14"/>
  <c r="F13"/>
  <c r="F12"/>
  <c r="D15"/>
  <c r="D14"/>
  <c r="D13"/>
  <c r="D12"/>
  <c r="O7"/>
  <c r="O6"/>
  <c r="O4"/>
  <c r="C9" i="26"/>
  <c r="C7"/>
  <c r="K10"/>
  <c r="M11" s="1"/>
  <c r="F16" i="32"/>
  <c r="F15"/>
  <c r="F13"/>
  <c r="F12"/>
  <c r="F11"/>
  <c r="F9"/>
  <c r="F8"/>
  <c r="F7"/>
  <c r="D9"/>
  <c r="D8"/>
  <c r="D7"/>
  <c r="D16"/>
  <c r="D15"/>
  <c r="D13"/>
  <c r="D12"/>
  <c r="D11"/>
  <c r="G5" i="26"/>
  <c r="F5"/>
  <c r="L4" i="34" l="1"/>
  <c r="L5"/>
  <c r="H6"/>
  <c r="J6" s="1"/>
  <c r="K5"/>
  <c r="L7" s="1"/>
  <c r="L11" i="26"/>
  <c r="H6" i="33"/>
  <c r="M5"/>
  <c r="N5"/>
  <c r="R5" s="1"/>
  <c r="F5"/>
  <c r="S7"/>
  <c r="T7" s="1"/>
  <c r="S6"/>
  <c r="T6" s="1"/>
  <c r="E5"/>
  <c r="D5"/>
  <c r="C5"/>
  <c r="S4"/>
  <c r="T4" s="1"/>
  <c r="H4" i="26"/>
  <c r="Q4" s="1"/>
  <c r="L9" i="34" l="1"/>
  <c r="L8"/>
  <c r="L6"/>
  <c r="Q5" i="33"/>
  <c r="O5"/>
  <c r="K4" i="26"/>
  <c r="L5" s="1"/>
  <c r="P5" i="33"/>
  <c r="P6"/>
  <c r="S5"/>
  <c r="H6" i="26"/>
  <c r="Q6" l="1"/>
  <c r="K6"/>
  <c r="L7" s="1"/>
  <c r="T5" i="33"/>
  <c r="H8" i="26"/>
  <c r="H9"/>
  <c r="H7"/>
  <c r="H5"/>
  <c r="Q7" l="1"/>
  <c r="Q5"/>
  <c r="R7" s="1"/>
  <c r="R5"/>
  <c r="Q8"/>
  <c r="Q9"/>
  <c r="M5"/>
  <c r="M7"/>
  <c r="K9"/>
  <c r="M10" s="1"/>
  <c r="K7"/>
  <c r="K5"/>
  <c r="N5"/>
  <c r="K8"/>
  <c r="L9" s="1"/>
  <c r="R9" l="1"/>
  <c r="R11"/>
  <c r="R10"/>
  <c r="R6"/>
  <c r="R8"/>
  <c r="M9"/>
  <c r="L10"/>
  <c r="M8"/>
  <c r="L8"/>
  <c r="M6"/>
  <c r="L6"/>
  <c r="N11"/>
  <c r="N10"/>
  <c r="N6"/>
  <c r="N9"/>
  <c r="N8"/>
  <c r="N7"/>
  <c r="G2" i="28"/>
  <c r="H2"/>
  <c r="N2" i="31"/>
  <c r="M2"/>
  <c r="J8" i="28"/>
  <c r="N6" i="31" l="1"/>
  <c r="B7"/>
  <c r="D8" s="1"/>
  <c r="M6"/>
  <c r="E9" l="1"/>
  <c r="E8"/>
  <c r="E10"/>
  <c r="E11"/>
  <c r="N7"/>
  <c r="B8"/>
  <c r="M7"/>
  <c r="E3" i="28"/>
  <c r="N3" s="1"/>
  <c r="F11" i="31" l="1"/>
  <c r="F10"/>
  <c r="F8"/>
  <c r="G8" s="1"/>
  <c r="F9"/>
  <c r="N8"/>
  <c r="B10"/>
  <c r="M8"/>
  <c r="B9"/>
  <c r="J5" i="28"/>
  <c r="J4"/>
  <c r="J3"/>
  <c r="M5"/>
  <c r="M4"/>
  <c r="M3"/>
  <c r="M2"/>
  <c r="G9" i="31" l="1"/>
  <c r="H9"/>
  <c r="G11"/>
  <c r="G10"/>
  <c r="N9"/>
  <c r="M9"/>
  <c r="B11"/>
  <c r="D12" s="1"/>
  <c r="B12"/>
  <c r="N10"/>
  <c r="M10"/>
  <c r="B14"/>
  <c r="B13"/>
  <c r="D4" i="28"/>
  <c r="B16" i="31" l="1"/>
  <c r="B17" s="1"/>
  <c r="B18" s="1"/>
  <c r="B15"/>
  <c r="M14"/>
  <c r="I9"/>
  <c r="J9"/>
  <c r="H10"/>
  <c r="H12"/>
  <c r="H11"/>
  <c r="E13"/>
  <c r="E12"/>
  <c r="N12"/>
  <c r="M12"/>
  <c r="M13"/>
  <c r="N13"/>
  <c r="N11"/>
  <c r="M11"/>
  <c r="D5" i="28"/>
  <c r="E5" s="1"/>
  <c r="N5" s="1"/>
  <c r="E4"/>
  <c r="N4" s="1"/>
  <c r="J11" i="31" l="1"/>
  <c r="I11"/>
  <c r="I10"/>
  <c r="J10"/>
  <c r="J12"/>
  <c r="I12"/>
  <c r="F12"/>
  <c r="G12" s="1"/>
  <c r="H13" s="1"/>
  <c r="F13"/>
  <c r="D8" i="28"/>
  <c r="J13" i="31" l="1"/>
  <c r="I13"/>
  <c r="G13"/>
  <c r="H15" s="1"/>
  <c r="J15" l="1"/>
  <c r="I15"/>
  <c r="H14"/>
  <c r="H16"/>
  <c r="J14" l="1"/>
  <c r="I14"/>
  <c r="I16"/>
  <c r="J16"/>
  <c r="H17"/>
  <c r="I17" l="1"/>
  <c r="J17"/>
  <c r="H18"/>
  <c r="J18" l="1"/>
  <c r="I18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仅涉及母公司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按母公司利润提取</t>
        </r>
      </text>
    </commen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资产=货币资产+经营相关资产+生产相关资产+投资相关资产</t>
        </r>
      </text>
    </comment>
    <comment ref="B29" authorId="0">
      <text>
        <r>
          <rPr>
            <b/>
            <sz val="9"/>
            <color indexed="81"/>
            <rFont val="宋体"/>
            <family val="3"/>
            <charset val="134"/>
          </rPr>
          <t>计提坏账
大致等于3个月的应收，即为合理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政府补助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政府补助计入其他收益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崇明县招商财政扶持9,458.72万元
上海财政局 3,099.00万元
成都高新区 3,527.00万元
上海市闸北区财政局 615.00万元
上海市张江高科技园区 5,123.50万
宁波大榭开发区财政局 24,349.50万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10转10</t>
        </r>
      </text>
    </comment>
    <comment ref="D5" authorId="0">
      <text>
        <r>
          <rPr>
            <b/>
            <sz val="9"/>
            <color indexed="81"/>
            <rFont val="宋体"/>
            <family val="3"/>
            <charset val="134"/>
          </rPr>
          <t>10转4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10转2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上一周期月营收*上一周期设备数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当周期设备*上一周期月营收</t>
        </r>
      </text>
    </comment>
    <comment ref="N2" authorId="0">
      <text>
        <r>
          <rPr>
            <b/>
            <sz val="9"/>
            <color indexed="81"/>
            <rFont val="宋体"/>
            <family val="3"/>
            <charset val="134"/>
          </rPr>
          <t>=历史最大月营收*当前周期设备数量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  <comment ref="H7" authorId="0">
      <text>
        <r>
          <rPr>
            <sz val="9"/>
            <color indexed="81"/>
            <rFont val="宋体"/>
            <family val="3"/>
            <charset val="134"/>
          </rPr>
          <t>假设所有设备已投入生产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2016 P20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租赁成本增加4000万
2015 P22
2016 P10 设备调整</t>
        </r>
      </text>
    </comment>
    <comment ref="N5" authorId="0">
      <text>
        <r>
          <rPr>
            <b/>
            <sz val="9"/>
            <color indexed="81"/>
            <rFont val="宋体"/>
            <family val="3"/>
            <charset val="134"/>
          </rPr>
          <t>租赁成本增加1.9亿
2015 P22</t>
        </r>
      </text>
    </comment>
  </commentList>
</comments>
</file>

<file path=xl/sharedStrings.xml><?xml version="1.0" encoding="utf-8"?>
<sst xmlns="http://schemas.openxmlformats.org/spreadsheetml/2006/main" count="271" uniqueCount="229">
  <si>
    <t>有息负债</t>
    <phoneticPr fontId="1" type="noConversion"/>
  </si>
  <si>
    <t>货币资产</t>
    <phoneticPr fontId="1" type="noConversion"/>
  </si>
  <si>
    <t>应收账款</t>
    <phoneticPr fontId="1" type="noConversion"/>
  </si>
  <si>
    <t>其他应收款</t>
    <phoneticPr fontId="1" type="noConversion"/>
  </si>
  <si>
    <t>存货</t>
    <phoneticPr fontId="1" type="noConversion"/>
  </si>
  <si>
    <t>货币资金</t>
    <phoneticPr fontId="1" type="noConversion"/>
  </si>
  <si>
    <t>固定资产</t>
    <phoneticPr fontId="1" type="noConversion"/>
  </si>
  <si>
    <t>工程物资</t>
    <phoneticPr fontId="1" type="noConversion"/>
  </si>
  <si>
    <t>无形资产</t>
    <phoneticPr fontId="1" type="noConversion"/>
  </si>
  <si>
    <t>商誉</t>
    <phoneticPr fontId="1" type="noConversion"/>
  </si>
  <si>
    <t>递延所得税</t>
    <phoneticPr fontId="1" type="noConversion"/>
  </si>
  <si>
    <t>长期待摊费用</t>
    <phoneticPr fontId="1" type="noConversion"/>
  </si>
  <si>
    <t>资产</t>
    <phoneticPr fontId="1" type="noConversion"/>
  </si>
  <si>
    <t>负债</t>
    <phoneticPr fontId="1" type="noConversion"/>
  </si>
  <si>
    <t>预付款项</t>
    <phoneticPr fontId="1" type="noConversion"/>
  </si>
  <si>
    <t>买入返售金融资产</t>
    <phoneticPr fontId="1" type="noConversion"/>
  </si>
  <si>
    <t>持有到期投资</t>
    <phoneticPr fontId="1" type="noConversion"/>
  </si>
  <si>
    <t>长期股权投资</t>
    <phoneticPr fontId="1" type="noConversion"/>
  </si>
  <si>
    <t>投资性房地产</t>
    <phoneticPr fontId="1" type="noConversion"/>
  </si>
  <si>
    <t>应付账款</t>
    <phoneticPr fontId="1" type="noConversion"/>
  </si>
  <si>
    <t>预收款项</t>
    <phoneticPr fontId="1" type="noConversion"/>
  </si>
  <si>
    <t>应付职工薪酬</t>
    <phoneticPr fontId="1" type="noConversion"/>
  </si>
  <si>
    <t>应交税费</t>
    <phoneticPr fontId="1" type="noConversion"/>
  </si>
  <si>
    <t>应付利息</t>
    <phoneticPr fontId="1" type="noConversion"/>
  </si>
  <si>
    <t>其他应付款</t>
    <phoneticPr fontId="1" type="noConversion"/>
  </si>
  <si>
    <t>吸收存款及同业存放</t>
    <phoneticPr fontId="1" type="noConversion"/>
  </si>
  <si>
    <t>应收利息</t>
    <phoneticPr fontId="1" type="noConversion"/>
  </si>
  <si>
    <t>短期借款</t>
    <phoneticPr fontId="1" type="noConversion"/>
  </si>
  <si>
    <t>无息负债</t>
    <phoneticPr fontId="1" type="noConversion"/>
  </si>
  <si>
    <t>交易性金融资产</t>
    <phoneticPr fontId="1" type="noConversion"/>
  </si>
  <si>
    <t>在建工程</t>
    <phoneticPr fontId="1" type="noConversion"/>
  </si>
  <si>
    <t>银行承兑票据</t>
    <phoneticPr fontId="1" type="noConversion"/>
  </si>
  <si>
    <t>商业承兑票据</t>
    <phoneticPr fontId="1" type="noConversion"/>
  </si>
  <si>
    <t>未分配利润</t>
    <phoneticPr fontId="1" type="noConversion"/>
  </si>
  <si>
    <t>其他综合收益</t>
    <phoneticPr fontId="1" type="noConversion"/>
  </si>
  <si>
    <t>盈余公积</t>
    <phoneticPr fontId="1" type="noConversion"/>
  </si>
  <si>
    <t>所有者权益</t>
    <phoneticPr fontId="1" type="noConversion"/>
  </si>
  <si>
    <t>所有者权益（母公司）</t>
    <phoneticPr fontId="1" type="noConversion"/>
  </si>
  <si>
    <t>少数股东权益</t>
    <phoneticPr fontId="1" type="noConversion"/>
  </si>
  <si>
    <t>所有者权益合计</t>
    <phoneticPr fontId="1" type="noConversion"/>
  </si>
  <si>
    <t>净利润（母公司）</t>
    <phoneticPr fontId="1" type="noConversion"/>
  </si>
  <si>
    <t>合计</t>
    <phoneticPr fontId="1" type="noConversion"/>
  </si>
  <si>
    <t>最高价</t>
    <phoneticPr fontId="1" type="noConversion"/>
  </si>
  <si>
    <t>净利润</t>
    <phoneticPr fontId="1" type="noConversion"/>
  </si>
  <si>
    <t>应收补贴款</t>
    <phoneticPr fontId="1" type="noConversion"/>
  </si>
  <si>
    <t>分红（当年）</t>
    <phoneticPr fontId="1" type="noConversion"/>
  </si>
  <si>
    <t>净利润(承诺)</t>
    <phoneticPr fontId="1" type="noConversion"/>
  </si>
  <si>
    <t>营收(楼宇)</t>
    <phoneticPr fontId="1" type="noConversion"/>
  </si>
  <si>
    <t>营收(影院)</t>
    <phoneticPr fontId="1" type="noConversion"/>
  </si>
  <si>
    <t>应付股利</t>
    <phoneticPr fontId="1" type="noConversion"/>
  </si>
  <si>
    <t>现金流（经营）</t>
    <phoneticPr fontId="1" type="noConversion"/>
  </si>
  <si>
    <t>现金流（投资）</t>
    <phoneticPr fontId="1" type="noConversion"/>
  </si>
  <si>
    <t>现金流（筹资）</t>
    <phoneticPr fontId="1" type="noConversion"/>
  </si>
  <si>
    <t>政府补贴</t>
    <phoneticPr fontId="1" type="noConversion"/>
  </si>
  <si>
    <t>应付票据</t>
    <phoneticPr fontId="1" type="noConversion"/>
  </si>
  <si>
    <t>年份</t>
    <phoneticPr fontId="1" type="noConversion"/>
  </si>
  <si>
    <t>股本</t>
    <phoneticPr fontId="1" type="noConversion"/>
  </si>
  <si>
    <t>最低价</t>
    <phoneticPr fontId="1" type="noConversion"/>
  </si>
  <si>
    <t>最小市值</t>
    <phoneticPr fontId="1" type="noConversion"/>
  </si>
  <si>
    <t>最大市值</t>
    <phoneticPr fontId="1" type="noConversion"/>
  </si>
  <si>
    <t>股本（母公司）</t>
    <phoneticPr fontId="1" type="noConversion"/>
  </si>
  <si>
    <t>资本公积（母公司）</t>
    <phoneticPr fontId="1" type="noConversion"/>
  </si>
  <si>
    <t>营业收入</t>
    <phoneticPr fontId="1" type="noConversion"/>
  </si>
  <si>
    <t>营业成本</t>
    <phoneticPr fontId="1" type="noConversion"/>
  </si>
  <si>
    <t>毛利润</t>
    <phoneticPr fontId="1" type="noConversion"/>
  </si>
  <si>
    <t>本年度分红</t>
    <phoneticPr fontId="1" type="noConversion"/>
  </si>
  <si>
    <t>净利润率</t>
    <phoneticPr fontId="1" type="noConversion"/>
  </si>
  <si>
    <t>银幕(块)</t>
    <phoneticPr fontId="1" type="noConversion"/>
  </si>
  <si>
    <t>影院(家)</t>
    <phoneticPr fontId="1" type="noConversion"/>
  </si>
  <si>
    <t>分红率</t>
    <phoneticPr fontId="1" type="noConversion"/>
  </si>
  <si>
    <t>其他非流动资产</t>
    <phoneticPr fontId="1" type="noConversion"/>
  </si>
  <si>
    <t>长期借款</t>
    <phoneticPr fontId="1" type="noConversion"/>
  </si>
  <si>
    <t>递延收益</t>
    <phoneticPr fontId="1" type="noConversion"/>
  </si>
  <si>
    <t>递延所得税负债</t>
    <phoneticPr fontId="1" type="noConversion"/>
  </si>
  <si>
    <t>其他流动资产</t>
    <phoneticPr fontId="1" type="noConversion"/>
  </si>
  <si>
    <t>年份</t>
    <phoneticPr fontId="1" type="noConversion"/>
  </si>
  <si>
    <t>媒体资产</t>
    <phoneticPr fontId="1" type="noConversion"/>
  </si>
  <si>
    <t>办公设备</t>
    <phoneticPr fontId="1" type="noConversion"/>
  </si>
  <si>
    <t>运输工具及其他</t>
    <phoneticPr fontId="1" type="noConversion"/>
  </si>
  <si>
    <t>房屋建筑物</t>
    <phoneticPr fontId="1" type="noConversion"/>
  </si>
  <si>
    <t>合计</t>
    <phoneticPr fontId="1" type="noConversion"/>
  </si>
  <si>
    <t>2018(3)</t>
    <phoneticPr fontId="1" type="noConversion"/>
  </si>
  <si>
    <t>媒体资产</t>
    <phoneticPr fontId="1" type="noConversion"/>
  </si>
  <si>
    <t>自营视频</t>
    <phoneticPr fontId="1" type="noConversion"/>
  </si>
  <si>
    <t>自营框架</t>
    <phoneticPr fontId="1" type="noConversion"/>
  </si>
  <si>
    <t>加盟楼宇</t>
    <phoneticPr fontId="1" type="noConversion"/>
  </si>
  <si>
    <t>卖场终端视频媒体</t>
    <phoneticPr fontId="1" type="noConversion"/>
  </si>
  <si>
    <t>2018(1)</t>
    <phoneticPr fontId="1" type="noConversion"/>
  </si>
  <si>
    <t>利润预测</t>
    <phoneticPr fontId="1" type="noConversion"/>
  </si>
  <si>
    <t>32.2亿-34.2亿</t>
    <phoneticPr fontId="1" type="noConversion"/>
  </si>
  <si>
    <t>2018(2)</t>
    <phoneticPr fontId="1" type="noConversion"/>
  </si>
  <si>
    <t>2018(3)</t>
    <phoneticPr fontId="1" type="noConversion"/>
  </si>
  <si>
    <t>2018(2)</t>
    <phoneticPr fontId="1" type="noConversion"/>
  </si>
  <si>
    <t>营业成本</t>
    <phoneticPr fontId="1" type="noConversion"/>
  </si>
  <si>
    <t>营业收入</t>
    <phoneticPr fontId="1" type="noConversion"/>
  </si>
  <si>
    <t>58亿-62亿</t>
    <phoneticPr fontId="1" type="noConversion"/>
  </si>
  <si>
    <t>47.5亿-48.5亿</t>
    <phoneticPr fontId="1" type="noConversion"/>
  </si>
  <si>
    <t>实际净利润</t>
    <phoneticPr fontId="1" type="noConversion"/>
  </si>
  <si>
    <t>外购合作电梯海报媒体</t>
    <phoneticPr fontId="1" type="noConversion"/>
  </si>
  <si>
    <t>2018(4)</t>
    <phoneticPr fontId="1" type="noConversion"/>
  </si>
  <si>
    <t>2017(1)</t>
    <phoneticPr fontId="1" type="noConversion"/>
  </si>
  <si>
    <t>2017(2)</t>
    <phoneticPr fontId="1" type="noConversion"/>
  </si>
  <si>
    <t>2017(3)</t>
    <phoneticPr fontId="1" type="noConversion"/>
  </si>
  <si>
    <t>2017(4)</t>
    <phoneticPr fontId="1" type="noConversion"/>
  </si>
  <si>
    <t>24.5-25.5</t>
    <phoneticPr fontId="1" type="noConversion"/>
  </si>
  <si>
    <t>38.3-39.3</t>
    <phoneticPr fontId="1" type="noConversion"/>
  </si>
  <si>
    <t>54.8-55.8</t>
    <phoneticPr fontId="1" type="noConversion"/>
  </si>
  <si>
    <t>合计</t>
    <phoneticPr fontId="1" type="noConversion"/>
  </si>
  <si>
    <t>2017(2)</t>
    <phoneticPr fontId="1" type="noConversion"/>
  </si>
  <si>
    <t>2016(2)</t>
    <phoneticPr fontId="1" type="noConversion"/>
  </si>
  <si>
    <t>月份</t>
    <phoneticPr fontId="1" type="noConversion"/>
  </si>
  <si>
    <t>合计</t>
    <phoneticPr fontId="1" type="noConversion"/>
  </si>
  <si>
    <t>租赁成本</t>
    <phoneticPr fontId="1" type="noConversion"/>
  </si>
  <si>
    <t>其他</t>
    <phoneticPr fontId="1" type="noConversion"/>
  </si>
  <si>
    <t>折旧</t>
    <phoneticPr fontId="1" type="noConversion"/>
  </si>
  <si>
    <t>薪酬</t>
    <phoneticPr fontId="1" type="noConversion"/>
  </si>
  <si>
    <t>视频年租金</t>
    <phoneticPr fontId="1" type="noConversion"/>
  </si>
  <si>
    <t>框架年租金</t>
    <phoneticPr fontId="1" type="noConversion"/>
  </si>
  <si>
    <t>租赁成本</t>
    <phoneticPr fontId="1" type="noConversion"/>
  </si>
  <si>
    <t>平均租赁成本</t>
    <phoneticPr fontId="1" type="noConversion"/>
  </si>
  <si>
    <t>自营框架成本</t>
    <phoneticPr fontId="1" type="noConversion"/>
  </si>
  <si>
    <t>单季度利润</t>
    <phoneticPr fontId="1" type="noConversion"/>
  </si>
  <si>
    <t>2015(1)</t>
    <phoneticPr fontId="1" type="noConversion"/>
  </si>
  <si>
    <t>2015(2)</t>
    <phoneticPr fontId="1" type="noConversion"/>
  </si>
  <si>
    <t>2015(3)</t>
    <phoneticPr fontId="1" type="noConversion"/>
  </si>
  <si>
    <t>2015(4)</t>
    <phoneticPr fontId="1" type="noConversion"/>
  </si>
  <si>
    <t>2016(1)</t>
    <phoneticPr fontId="1" type="noConversion"/>
  </si>
  <si>
    <t>2016(2)</t>
    <phoneticPr fontId="1" type="noConversion"/>
  </si>
  <si>
    <t>2016(3)</t>
    <phoneticPr fontId="1" type="noConversion"/>
  </si>
  <si>
    <t>2016(4)</t>
    <phoneticPr fontId="1" type="noConversion"/>
  </si>
  <si>
    <t>18.5-21</t>
    <phoneticPr fontId="1" type="noConversion"/>
  </si>
  <si>
    <t>30.5-31.5</t>
    <phoneticPr fontId="1" type="noConversion"/>
  </si>
  <si>
    <t>44-45</t>
    <phoneticPr fontId="1" type="noConversion"/>
  </si>
  <si>
    <t>营业收入</t>
    <phoneticPr fontId="1" type="noConversion"/>
  </si>
  <si>
    <t>单季度营业收入</t>
    <phoneticPr fontId="1" type="noConversion"/>
  </si>
  <si>
    <t>营收/月</t>
    <phoneticPr fontId="1" type="noConversion"/>
  </si>
  <si>
    <t>营收</t>
    <phoneticPr fontId="1" type="noConversion"/>
  </si>
  <si>
    <t>合计</t>
    <phoneticPr fontId="1" type="noConversion"/>
  </si>
  <si>
    <t>营业成本</t>
    <phoneticPr fontId="1" type="noConversion"/>
  </si>
  <si>
    <t>楼宇营业成本</t>
    <phoneticPr fontId="1" type="noConversion"/>
  </si>
  <si>
    <t>影院营业成本</t>
    <phoneticPr fontId="1" type="noConversion"/>
  </si>
  <si>
    <t>占比</t>
    <phoneticPr fontId="1" type="noConversion"/>
  </si>
  <si>
    <t>租赁成本</t>
    <phoneticPr fontId="1" type="noConversion"/>
  </si>
  <si>
    <t>薪酬+折旧+其他</t>
    <phoneticPr fontId="1" type="noConversion"/>
  </si>
  <si>
    <t>2018(2)</t>
    <phoneticPr fontId="1" type="noConversion"/>
  </si>
  <si>
    <t>最大营收</t>
    <phoneticPr fontId="1" type="noConversion"/>
  </si>
  <si>
    <t>最小营收</t>
    <phoneticPr fontId="1" type="noConversion"/>
  </si>
  <si>
    <t>最小营收</t>
    <phoneticPr fontId="1" type="noConversion"/>
  </si>
  <si>
    <t>预估</t>
    <phoneticPr fontId="1" type="noConversion"/>
  </si>
  <si>
    <t>实际</t>
    <phoneticPr fontId="1" type="noConversion"/>
  </si>
  <si>
    <t>租赁成本/月</t>
    <phoneticPr fontId="1" type="noConversion"/>
  </si>
  <si>
    <t>租赁成本/月</t>
    <phoneticPr fontId="1" type="noConversion"/>
  </si>
  <si>
    <t>设备数量</t>
    <phoneticPr fontId="1" type="noConversion"/>
  </si>
  <si>
    <t>销售费用</t>
    <phoneticPr fontId="1" type="noConversion"/>
  </si>
  <si>
    <t>管理费用</t>
    <phoneticPr fontId="1" type="noConversion"/>
  </si>
  <si>
    <t>财务费用</t>
    <phoneticPr fontId="1" type="noConversion"/>
  </si>
  <si>
    <t>营业利润</t>
    <phoneticPr fontId="1" type="noConversion"/>
  </si>
  <si>
    <t>销售费用占比</t>
    <phoneticPr fontId="1" type="noConversion"/>
  </si>
  <si>
    <t>管理费用占比</t>
    <phoneticPr fontId="1" type="noConversion"/>
  </si>
  <si>
    <t>营业利润占比</t>
    <phoneticPr fontId="1" type="noConversion"/>
  </si>
  <si>
    <t>2018(3)</t>
    <phoneticPr fontId="1" type="noConversion"/>
  </si>
  <si>
    <t>税金及附加</t>
    <phoneticPr fontId="1" type="noConversion"/>
  </si>
  <si>
    <t>资产减值损失</t>
    <phoneticPr fontId="1" type="noConversion"/>
  </si>
  <si>
    <t>营业成本占比</t>
    <phoneticPr fontId="1" type="noConversion"/>
  </si>
  <si>
    <t>2017(1)</t>
    <phoneticPr fontId="1" type="noConversion"/>
  </si>
  <si>
    <t>2017(3)</t>
    <phoneticPr fontId="1" type="noConversion"/>
  </si>
  <si>
    <t>楼宇营收</t>
    <phoneticPr fontId="1" type="noConversion"/>
  </si>
  <si>
    <t>其他营收</t>
    <phoneticPr fontId="1" type="noConversion"/>
  </si>
  <si>
    <t>影院营收</t>
    <phoneticPr fontId="1" type="noConversion"/>
  </si>
  <si>
    <t>营收</t>
    <phoneticPr fontId="1" type="noConversion"/>
  </si>
  <si>
    <t>设备</t>
    <phoneticPr fontId="1" type="noConversion"/>
  </si>
  <si>
    <t>营业收入</t>
    <phoneticPr fontId="1" type="noConversion"/>
  </si>
  <si>
    <t>租赁成本</t>
    <phoneticPr fontId="1" type="noConversion"/>
  </si>
  <si>
    <t>覆盖城市</t>
    <phoneticPr fontId="1" type="noConversion"/>
  </si>
  <si>
    <t>所得税</t>
    <phoneticPr fontId="1" type="noConversion"/>
  </si>
  <si>
    <t>固定资产</t>
    <phoneticPr fontId="1" type="noConversion"/>
  </si>
  <si>
    <t>年份</t>
    <phoneticPr fontId="1" type="noConversion"/>
  </si>
  <si>
    <t>应收账款</t>
    <phoneticPr fontId="1" type="noConversion"/>
  </si>
  <si>
    <t>占比</t>
    <phoneticPr fontId="1" type="noConversion"/>
  </si>
  <si>
    <t>2018(2)</t>
    <phoneticPr fontId="1" type="noConversion"/>
  </si>
  <si>
    <t>坏账准备</t>
    <phoneticPr fontId="1" type="noConversion"/>
  </si>
  <si>
    <t>计提百分比</t>
    <phoneticPr fontId="1" type="noConversion"/>
  </si>
  <si>
    <t>其他</t>
    <phoneticPr fontId="1" type="noConversion"/>
  </si>
  <si>
    <t>合计</t>
    <phoneticPr fontId="1" type="noConversion"/>
  </si>
  <si>
    <t>应收账款</t>
    <phoneticPr fontId="1" type="noConversion"/>
  </si>
  <si>
    <t>坏账准备</t>
    <phoneticPr fontId="1" type="noConversion"/>
  </si>
  <si>
    <t>391
75%</t>
    <phoneticPr fontId="1" type="noConversion"/>
  </si>
  <si>
    <t>301-390
40%</t>
    <phoneticPr fontId="1" type="noConversion"/>
  </si>
  <si>
    <t>211-300
30%</t>
    <phoneticPr fontId="1" type="noConversion"/>
  </si>
  <si>
    <t xml:space="preserve">0-30
</t>
    <phoneticPr fontId="1" type="noConversion"/>
  </si>
  <si>
    <t>31-210
5%</t>
    <phoneticPr fontId="1" type="noConversion"/>
  </si>
  <si>
    <t>账面余额(账期30-90)</t>
    <phoneticPr fontId="1" type="noConversion"/>
  </si>
  <si>
    <t>有息负债</t>
    <phoneticPr fontId="1" type="noConversion"/>
  </si>
  <si>
    <t>无息负债</t>
    <phoneticPr fontId="1" type="noConversion"/>
  </si>
  <si>
    <t>合计</t>
    <phoneticPr fontId="1" type="noConversion"/>
  </si>
  <si>
    <t>经营相关资产</t>
    <phoneticPr fontId="1" type="noConversion"/>
  </si>
  <si>
    <t>经营相关资产</t>
    <phoneticPr fontId="1" type="noConversion"/>
  </si>
  <si>
    <t>生产相关资产</t>
  </si>
  <si>
    <t>生产相关资产</t>
    <phoneticPr fontId="1" type="noConversion"/>
  </si>
  <si>
    <t>投资相关资产</t>
    <phoneticPr fontId="1" type="noConversion"/>
  </si>
  <si>
    <t>投资相关资产</t>
    <phoneticPr fontId="1" type="noConversion"/>
  </si>
  <si>
    <t>货币资产+理财产品</t>
    <phoneticPr fontId="1" type="noConversion"/>
  </si>
  <si>
    <t>单季营收</t>
    <phoneticPr fontId="1" type="noConversion"/>
  </si>
  <si>
    <t>所有者权益增加+分红</t>
    <phoneticPr fontId="1" type="noConversion"/>
  </si>
  <si>
    <t>投资收益</t>
    <phoneticPr fontId="1" type="noConversion"/>
  </si>
  <si>
    <t>其他收益</t>
    <phoneticPr fontId="1" type="noConversion"/>
  </si>
  <si>
    <t>所得税率</t>
    <phoneticPr fontId="1" type="noConversion"/>
  </si>
  <si>
    <t>合计</t>
    <phoneticPr fontId="1" type="noConversion"/>
  </si>
  <si>
    <t>营业总成本</t>
    <phoneticPr fontId="1" type="noConversion"/>
  </si>
  <si>
    <t>营业外收入</t>
    <phoneticPr fontId="1" type="noConversion"/>
  </si>
  <si>
    <t>营业外支出</t>
    <phoneticPr fontId="1" type="noConversion"/>
  </si>
  <si>
    <t>利润总额</t>
    <phoneticPr fontId="1" type="noConversion"/>
  </si>
  <si>
    <t>研发费用</t>
    <phoneticPr fontId="1" type="noConversion"/>
  </si>
  <si>
    <t>滚动</t>
    <phoneticPr fontId="1" type="noConversion"/>
  </si>
  <si>
    <t>所有者权益+分红</t>
    <phoneticPr fontId="1" type="noConversion"/>
  </si>
  <si>
    <t>可供出售金融资产</t>
    <phoneticPr fontId="1" type="noConversion"/>
  </si>
  <si>
    <t>分红</t>
    <phoneticPr fontId="1" type="noConversion"/>
  </si>
  <si>
    <t>权益</t>
    <phoneticPr fontId="1" type="noConversion"/>
  </si>
  <si>
    <t>权益+累计分红</t>
    <phoneticPr fontId="1" type="noConversion"/>
  </si>
  <si>
    <t>当期利润</t>
    <phoneticPr fontId="1" type="noConversion"/>
  </si>
  <si>
    <t>滚动利润</t>
    <phoneticPr fontId="1" type="noConversion"/>
  </si>
  <si>
    <t>无风险收益</t>
    <phoneticPr fontId="1" type="noConversion"/>
  </si>
  <si>
    <t>利润预测</t>
    <phoneticPr fontId="1" type="noConversion"/>
  </si>
  <si>
    <t>一年内到期的非流动负债</t>
    <phoneticPr fontId="1" type="noConversion"/>
  </si>
  <si>
    <t>其他流动负债</t>
    <phoneticPr fontId="1" type="noConversion"/>
  </si>
  <si>
    <t>应付债券</t>
    <phoneticPr fontId="1" type="noConversion"/>
  </si>
  <si>
    <t>专项应付款</t>
    <phoneticPr fontId="1" type="noConversion"/>
  </si>
  <si>
    <t>其他流动资产</t>
    <phoneticPr fontId="1" type="noConversion"/>
  </si>
  <si>
    <t>开发支出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</si>
</sst>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&quot;.&quot;00,,&quot;亿&quot;"/>
    <numFmt numFmtId="177" formatCode="0\.0,&quot;万&quot;"/>
    <numFmt numFmtId="178" formatCode="0.00_ "/>
    <numFmt numFmtId="179" formatCode="0_ "/>
  </numFmts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176" fontId="2" fillId="0" borderId="1" xfId="0" applyNumberFormat="1" applyFont="1" applyFill="1" applyBorder="1"/>
    <xf numFmtId="176" fontId="3" fillId="0" borderId="1" xfId="0" applyNumberFormat="1" applyFont="1" applyFill="1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76" fontId="0" fillId="0" borderId="1" xfId="0" applyNumberForma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8" fontId="0" fillId="4" borderId="1" xfId="0" applyNumberFormat="1" applyFill="1" applyBorder="1" applyAlignment="1">
      <alignment horizontal="center"/>
    </xf>
    <xf numFmtId="177" fontId="3" fillId="0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9" fontId="3" fillId="4" borderId="1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wrapText="1"/>
    </xf>
    <xf numFmtId="176" fontId="3" fillId="0" borderId="0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10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vertical="center"/>
    </xf>
    <xf numFmtId="176" fontId="3" fillId="4" borderId="1" xfId="0" applyNumberFormat="1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176" fontId="2" fillId="4" borderId="1" xfId="0" applyNumberFormat="1" applyFont="1" applyFill="1" applyBorder="1"/>
    <xf numFmtId="0" fontId="0" fillId="4" borderId="0" xfId="0" applyFill="1"/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57" fontId="2" fillId="0" borderId="1" xfId="0" applyNumberFormat="1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9" fontId="2" fillId="0" borderId="1" xfId="0" applyNumberFormat="1" applyFont="1" applyBorder="1"/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57" fontId="3" fillId="0" borderId="1" xfId="0" applyNumberFormat="1" applyFont="1" applyFill="1" applyBorder="1" applyAlignment="1">
      <alignment horizontal="center" vertical="center"/>
    </xf>
    <xf numFmtId="57" fontId="3" fillId="6" borderId="1" xfId="0" applyNumberFormat="1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6" borderId="1" xfId="0" applyFill="1" applyBorder="1"/>
    <xf numFmtId="57" fontId="0" fillId="6" borderId="1" xfId="0" applyNumberForma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/>
    <xf numFmtId="176" fontId="3" fillId="0" borderId="1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76200</xdr:colOff>
      <xdr:row>26</xdr:row>
      <xdr:rowOff>104775</xdr:rowOff>
    </xdr:to>
    <xdr:pic>
      <xdr:nvPicPr>
        <xdr:cNvPr id="2" name="Picture 4" descr="https://www.focusmedia.cn/uploads/editor/image/20180427/20180427202445_7384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620000" cy="45624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27</xdr:row>
      <xdr:rowOff>76200</xdr:rowOff>
    </xdr:from>
    <xdr:to>
      <xdr:col>9</xdr:col>
      <xdr:colOff>342339</xdr:colOff>
      <xdr:row>46</xdr:row>
      <xdr:rowOff>69476</xdr:rowOff>
    </xdr:to>
    <xdr:pic>
      <xdr:nvPicPr>
        <xdr:cNvPr id="3" name="Picture 13" descr="https://xqimg.imedao.com/15dc075be99110cc3fe80e0e.png!custom66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8600" y="4705350"/>
          <a:ext cx="6285939" cy="32508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zoomScale="90" zoomScaleNormal="90" workbookViewId="0">
      <pane ySplit="1" topLeftCell="A11" activePane="bottomLeft" state="frozen"/>
      <selection pane="bottomLeft" activeCell="E30" sqref="E30"/>
    </sheetView>
  </sheetViews>
  <sheetFormatPr defaultRowHeight="13.5"/>
  <cols>
    <col min="1" max="1" width="24.375" bestFit="1" customWidth="1"/>
    <col min="2" max="2" width="25.5" bestFit="1" customWidth="1"/>
    <col min="3" max="3" width="12.75" customWidth="1"/>
    <col min="4" max="4" width="12.75" bestFit="1" customWidth="1"/>
    <col min="5" max="5" width="12.75" customWidth="1"/>
  </cols>
  <sheetData>
    <row r="1" spans="1:5">
      <c r="A1" s="8"/>
      <c r="B1" s="17"/>
      <c r="C1" s="73">
        <v>42735</v>
      </c>
      <c r="D1" s="73">
        <v>43100</v>
      </c>
      <c r="E1" s="73"/>
    </row>
    <row r="2" spans="1:5">
      <c r="A2" s="90" t="s">
        <v>40</v>
      </c>
      <c r="B2" s="17"/>
      <c r="C2" s="4"/>
      <c r="D2" s="4"/>
      <c r="E2" s="4"/>
    </row>
    <row r="3" spans="1:5">
      <c r="A3" s="9" t="s">
        <v>45</v>
      </c>
      <c r="B3" s="3"/>
      <c r="C3" s="4"/>
      <c r="D3" s="4"/>
      <c r="E3" s="4"/>
    </row>
    <row r="4" spans="1:5">
      <c r="A4" s="66" t="s">
        <v>214</v>
      </c>
      <c r="B4" s="67"/>
      <c r="C4" s="68"/>
      <c r="D4" s="68">
        <f>D14+SUM($B$3:D3)</f>
        <v>11803033408</v>
      </c>
      <c r="E4" s="68"/>
    </row>
    <row r="5" spans="1:5">
      <c r="A5" s="66" t="s">
        <v>203</v>
      </c>
      <c r="B5" s="67"/>
      <c r="C5" s="68"/>
      <c r="D5" s="68"/>
      <c r="E5" s="68"/>
    </row>
    <row r="6" spans="1:5">
      <c r="A6" s="9" t="s">
        <v>50</v>
      </c>
      <c r="B6" s="3"/>
      <c r="C6" s="4"/>
      <c r="D6" s="4"/>
      <c r="E6" s="4"/>
    </row>
    <row r="7" spans="1:5">
      <c r="A7" s="9" t="s">
        <v>51</v>
      </c>
      <c r="B7" s="3"/>
      <c r="C7" s="4"/>
      <c r="D7" s="4"/>
      <c r="E7" s="4"/>
    </row>
    <row r="8" spans="1:5">
      <c r="A8" s="9" t="s">
        <v>52</v>
      </c>
      <c r="B8" s="3"/>
      <c r="C8" s="4"/>
      <c r="D8" s="4"/>
      <c r="E8" s="4"/>
    </row>
    <row r="9" spans="1:5">
      <c r="A9" s="94" t="s">
        <v>36</v>
      </c>
      <c r="B9" s="6" t="s">
        <v>60</v>
      </c>
      <c r="C9" s="5">
        <v>1440000000</v>
      </c>
      <c r="D9" s="5">
        <v>1440000000</v>
      </c>
      <c r="E9" s="5"/>
    </row>
    <row r="10" spans="1:5">
      <c r="A10" s="94"/>
      <c r="B10" s="6" t="s">
        <v>61</v>
      </c>
      <c r="C10" s="5">
        <v>3477300197</v>
      </c>
      <c r="D10" s="5">
        <v>3532100125</v>
      </c>
      <c r="E10" s="5"/>
    </row>
    <row r="11" spans="1:5">
      <c r="A11" s="94"/>
      <c r="B11" s="6" t="s">
        <v>34</v>
      </c>
      <c r="C11" s="5"/>
      <c r="D11" s="5"/>
      <c r="E11" s="5"/>
    </row>
    <row r="12" spans="1:5">
      <c r="A12" s="94"/>
      <c r="B12" s="6" t="s">
        <v>35</v>
      </c>
      <c r="C12" s="5"/>
      <c r="D12" s="5"/>
      <c r="E12" s="5"/>
    </row>
    <row r="13" spans="1:5">
      <c r="A13" s="94"/>
      <c r="B13" s="6" t="s">
        <v>33</v>
      </c>
      <c r="C13" s="5"/>
      <c r="D13" s="5"/>
      <c r="E13" s="5"/>
    </row>
    <row r="14" spans="1:5">
      <c r="A14" s="94"/>
      <c r="B14" s="4" t="s">
        <v>37</v>
      </c>
      <c r="C14" s="4">
        <v>11330204890</v>
      </c>
      <c r="D14" s="4">
        <v>11803033408</v>
      </c>
      <c r="E14" s="4"/>
    </row>
    <row r="15" spans="1:5">
      <c r="A15" s="94"/>
      <c r="B15" s="5" t="s">
        <v>38</v>
      </c>
      <c r="C15" s="5">
        <v>136144086</v>
      </c>
      <c r="D15" s="5">
        <v>179418697</v>
      </c>
      <c r="E15" s="5"/>
    </row>
    <row r="16" spans="1:5">
      <c r="A16" s="94"/>
      <c r="B16" s="68" t="s">
        <v>39</v>
      </c>
      <c r="C16" s="68">
        <f t="shared" ref="C16" si="0">SUM(C14:C15)</f>
        <v>11466348976</v>
      </c>
      <c r="D16" s="68">
        <f t="shared" ref="D16" si="1">SUM(D14:D15)</f>
        <v>11982452105</v>
      </c>
      <c r="E16" s="68"/>
    </row>
    <row r="17" spans="1:5">
      <c r="A17" s="93" t="s">
        <v>13</v>
      </c>
      <c r="B17" s="67" t="s">
        <v>194</v>
      </c>
      <c r="C17" s="68">
        <f t="shared" ref="C17" si="2">SUM(C18:C19)</f>
        <v>0</v>
      </c>
      <c r="D17" s="68">
        <f t="shared" ref="D17" si="3">SUM(D18:D19)</f>
        <v>7418637710</v>
      </c>
      <c r="E17" s="68"/>
    </row>
    <row r="18" spans="1:5">
      <c r="A18" s="93"/>
      <c r="B18" s="62" t="s">
        <v>192</v>
      </c>
      <c r="C18" s="5">
        <f>SUM(C63:C64)</f>
        <v>0</v>
      </c>
      <c r="D18" s="5">
        <f>SUM(D63:D64)</f>
        <v>2928000000</v>
      </c>
      <c r="E18" s="5"/>
    </row>
    <row r="19" spans="1:5">
      <c r="A19" s="93"/>
      <c r="B19" s="6" t="s">
        <v>193</v>
      </c>
      <c r="C19" s="5">
        <f>SUM(C51:C61)</f>
        <v>0</v>
      </c>
      <c r="D19" s="5">
        <f>SUM(D51:D61)</f>
        <v>4490637710</v>
      </c>
      <c r="E19" s="5"/>
    </row>
    <row r="20" spans="1:5" s="2" customFormat="1">
      <c r="A20" s="93" t="s">
        <v>12</v>
      </c>
      <c r="B20" s="3" t="s">
        <v>194</v>
      </c>
      <c r="C20" s="4"/>
      <c r="D20" s="4">
        <v>8849275960.8600006</v>
      </c>
      <c r="E20" s="4"/>
    </row>
    <row r="21" spans="1:5" s="2" customFormat="1">
      <c r="A21" s="93"/>
      <c r="B21" s="63" t="s">
        <v>201</v>
      </c>
      <c r="C21" s="64"/>
      <c r="D21" s="64">
        <f>D25</f>
        <v>1231427266</v>
      </c>
      <c r="E21" s="64"/>
    </row>
    <row r="22" spans="1:5" s="2" customFormat="1">
      <c r="A22" s="93"/>
      <c r="B22" s="65" t="s">
        <v>196</v>
      </c>
      <c r="C22" s="64"/>
      <c r="D22" s="64"/>
      <c r="E22" s="64"/>
    </row>
    <row r="23" spans="1:5" s="2" customFormat="1">
      <c r="A23" s="93"/>
      <c r="B23" s="65" t="s">
        <v>197</v>
      </c>
      <c r="C23" s="64"/>
      <c r="D23" s="64"/>
      <c r="E23" s="64"/>
    </row>
    <row r="24" spans="1:5" s="2" customFormat="1">
      <c r="A24" s="93"/>
      <c r="B24" s="65" t="s">
        <v>200</v>
      </c>
      <c r="C24" s="64"/>
      <c r="D24" s="64"/>
      <c r="E24" s="64"/>
    </row>
    <row r="25" spans="1:5">
      <c r="A25" s="11" t="s">
        <v>1</v>
      </c>
      <c r="B25" s="3" t="s">
        <v>5</v>
      </c>
      <c r="C25" s="4">
        <v>1228045874</v>
      </c>
      <c r="D25" s="4">
        <v>1231427266</v>
      </c>
      <c r="E25" s="4">
        <v>2110860972</v>
      </c>
    </row>
    <row r="26" spans="1:5">
      <c r="A26" s="91" t="s">
        <v>74</v>
      </c>
      <c r="B26" s="3"/>
      <c r="C26" s="4">
        <v>766545996</v>
      </c>
      <c r="D26" s="4">
        <v>1051835351</v>
      </c>
      <c r="E26" s="4"/>
    </row>
    <row r="27" spans="1:5">
      <c r="A27" s="94" t="s">
        <v>195</v>
      </c>
      <c r="B27" s="6" t="s">
        <v>31</v>
      </c>
      <c r="C27" s="5">
        <v>664903962</v>
      </c>
      <c r="D27" s="5">
        <v>1459967398</v>
      </c>
      <c r="E27" s="5"/>
    </row>
    <row r="28" spans="1:5">
      <c r="A28" s="94"/>
      <c r="B28" s="6" t="s">
        <v>32</v>
      </c>
      <c r="C28" s="5"/>
      <c r="D28" s="5"/>
      <c r="E28" s="5"/>
    </row>
    <row r="29" spans="1:5">
      <c r="A29" s="94"/>
      <c r="B29" s="6" t="s">
        <v>2</v>
      </c>
      <c r="C29" s="5">
        <v>3558700031</v>
      </c>
      <c r="D29" s="5">
        <v>4862076913</v>
      </c>
      <c r="E29" s="5"/>
    </row>
    <row r="30" spans="1:5">
      <c r="A30" s="94"/>
      <c r="B30" s="6" t="s">
        <v>14</v>
      </c>
      <c r="C30" s="5">
        <v>276801761</v>
      </c>
      <c r="D30" s="5">
        <v>428638159</v>
      </c>
      <c r="E30" s="5"/>
    </row>
    <row r="31" spans="1:5">
      <c r="A31" s="94"/>
      <c r="B31" s="6" t="s">
        <v>26</v>
      </c>
      <c r="C31" s="5">
        <v>9769097</v>
      </c>
      <c r="D31" s="5">
        <v>11242977</v>
      </c>
      <c r="E31" s="5"/>
    </row>
    <row r="32" spans="1:5">
      <c r="A32" s="94"/>
      <c r="B32" s="6" t="s">
        <v>3</v>
      </c>
      <c r="C32" s="5">
        <v>94357714</v>
      </c>
      <c r="D32" s="5">
        <v>73013175</v>
      </c>
      <c r="E32" s="5"/>
    </row>
    <row r="33" spans="1:5">
      <c r="A33" s="94"/>
      <c r="B33" s="6" t="s">
        <v>4</v>
      </c>
      <c r="C33" s="5">
        <v>2133159443</v>
      </c>
      <c r="D33" s="5">
        <v>2500483830</v>
      </c>
      <c r="E33" s="5"/>
    </row>
    <row r="34" spans="1:5">
      <c r="A34" s="94"/>
      <c r="B34" s="6" t="s">
        <v>44</v>
      </c>
      <c r="C34" s="5"/>
      <c r="D34" s="5"/>
      <c r="E34" s="5"/>
    </row>
    <row r="35" spans="1:5">
      <c r="A35" s="94" t="s">
        <v>198</v>
      </c>
      <c r="B35" s="6" t="s">
        <v>6</v>
      </c>
      <c r="C35" s="5">
        <v>9585755344</v>
      </c>
      <c r="D35" s="5">
        <v>11065168592</v>
      </c>
      <c r="E35" s="5"/>
    </row>
    <row r="36" spans="1:5">
      <c r="A36" s="94"/>
      <c r="B36" s="6" t="s">
        <v>30</v>
      </c>
      <c r="C36" s="107">
        <v>2106219842</v>
      </c>
      <c r="D36" s="5">
        <v>1088992443</v>
      </c>
      <c r="E36" s="107"/>
    </row>
    <row r="37" spans="1:5">
      <c r="A37" s="94"/>
      <c r="B37" s="6" t="s">
        <v>7</v>
      </c>
      <c r="C37" s="5">
        <v>16000</v>
      </c>
      <c r="D37" s="5">
        <v>2729874</v>
      </c>
      <c r="E37" s="5"/>
    </row>
    <row r="38" spans="1:5">
      <c r="A38" s="94"/>
      <c r="B38" s="6" t="s">
        <v>8</v>
      </c>
      <c r="C38" s="5">
        <v>1020799390</v>
      </c>
      <c r="D38" s="5">
        <v>1047036415</v>
      </c>
      <c r="E38" s="5"/>
    </row>
    <row r="39" spans="1:5">
      <c r="A39" s="94"/>
      <c r="B39" s="6" t="s">
        <v>9</v>
      </c>
      <c r="C39" s="5">
        <v>158446323</v>
      </c>
      <c r="D39" s="5">
        <v>158446323</v>
      </c>
      <c r="E39" s="5"/>
    </row>
    <row r="40" spans="1:5">
      <c r="A40" s="94"/>
      <c r="B40" s="6" t="s">
        <v>11</v>
      </c>
      <c r="C40" s="5">
        <v>11391618</v>
      </c>
      <c r="D40" s="5">
        <v>13451638</v>
      </c>
      <c r="E40" s="5"/>
    </row>
    <row r="41" spans="1:5">
      <c r="A41" s="94"/>
      <c r="B41" s="6" t="s">
        <v>10</v>
      </c>
      <c r="C41" s="107">
        <v>195942454</v>
      </c>
      <c r="D41" s="5">
        <v>225329833</v>
      </c>
      <c r="E41" s="107"/>
    </row>
    <row r="42" spans="1:5">
      <c r="A42" s="91"/>
      <c r="B42" s="6" t="s">
        <v>228</v>
      </c>
      <c r="C42" s="5">
        <v>261456667</v>
      </c>
      <c r="D42" s="5">
        <v>335606104</v>
      </c>
      <c r="E42" s="5"/>
    </row>
    <row r="43" spans="1:5">
      <c r="A43" s="94" t="s">
        <v>199</v>
      </c>
      <c r="B43" s="6" t="s">
        <v>29</v>
      </c>
      <c r="C43" s="5"/>
      <c r="D43" s="5"/>
      <c r="E43" s="5"/>
    </row>
    <row r="44" spans="1:5">
      <c r="A44" s="94"/>
      <c r="B44" s="6" t="s">
        <v>16</v>
      </c>
      <c r="C44" s="5"/>
      <c r="D44" s="5"/>
      <c r="E44" s="5"/>
    </row>
    <row r="45" spans="1:5">
      <c r="A45" s="94"/>
      <c r="B45" s="6" t="s">
        <v>215</v>
      </c>
      <c r="C45" s="5"/>
      <c r="D45" s="5"/>
      <c r="E45" s="5"/>
    </row>
    <row r="46" spans="1:5">
      <c r="A46" s="94"/>
      <c r="B46" s="6" t="s">
        <v>15</v>
      </c>
      <c r="C46" s="5"/>
      <c r="D46" s="5"/>
      <c r="E46" s="5"/>
    </row>
    <row r="47" spans="1:5">
      <c r="A47" s="94"/>
      <c r="B47" s="6" t="s">
        <v>17</v>
      </c>
      <c r="C47" s="5">
        <v>31858516</v>
      </c>
      <c r="D47" s="5">
        <v>2137711137</v>
      </c>
      <c r="E47" s="5"/>
    </row>
    <row r="48" spans="1:5">
      <c r="A48" s="94"/>
      <c r="B48" s="6" t="s">
        <v>18</v>
      </c>
      <c r="C48" s="5"/>
      <c r="D48" s="5"/>
      <c r="E48" s="5"/>
    </row>
    <row r="49" spans="1:5">
      <c r="A49" s="91" t="s">
        <v>227</v>
      </c>
      <c r="B49" s="6"/>
      <c r="C49" s="5">
        <v>766545996</v>
      </c>
      <c r="D49" s="5">
        <v>1051835351</v>
      </c>
      <c r="E49" s="5"/>
    </row>
    <row r="50" spans="1:5">
      <c r="A50" s="91" t="s">
        <v>70</v>
      </c>
      <c r="B50" s="3"/>
      <c r="C50" s="4">
        <v>334650219</v>
      </c>
      <c r="D50" s="4">
        <v>295003034</v>
      </c>
      <c r="E50" s="4"/>
    </row>
    <row r="51" spans="1:5">
      <c r="A51" s="93" t="s">
        <v>28</v>
      </c>
      <c r="B51" s="6" t="s">
        <v>25</v>
      </c>
      <c r="C51" s="5"/>
      <c r="D51" s="5">
        <v>0</v>
      </c>
      <c r="E51" s="5"/>
    </row>
    <row r="52" spans="1:5">
      <c r="A52" s="93"/>
      <c r="B52" s="6" t="s">
        <v>19</v>
      </c>
      <c r="C52" s="5"/>
      <c r="D52" s="5">
        <v>1387067294</v>
      </c>
      <c r="E52" s="5"/>
    </row>
    <row r="53" spans="1:5">
      <c r="A53" s="93"/>
      <c r="B53" s="6" t="s">
        <v>54</v>
      </c>
      <c r="C53" s="5"/>
      <c r="D53" s="5">
        <v>0</v>
      </c>
      <c r="E53" s="5"/>
    </row>
    <row r="54" spans="1:5">
      <c r="A54" s="93"/>
      <c r="B54" s="6" t="s">
        <v>20</v>
      </c>
      <c r="C54" s="5"/>
      <c r="D54" s="5">
        <v>210144226</v>
      </c>
      <c r="E54" s="5"/>
    </row>
    <row r="55" spans="1:5">
      <c r="A55" s="93"/>
      <c r="B55" s="6" t="s">
        <v>21</v>
      </c>
      <c r="C55" s="5"/>
      <c r="D55" s="5">
        <v>51424485</v>
      </c>
      <c r="E55" s="5"/>
    </row>
    <row r="56" spans="1:5">
      <c r="A56" s="93"/>
      <c r="B56" s="6" t="s">
        <v>22</v>
      </c>
      <c r="C56" s="5"/>
      <c r="D56" s="5">
        <v>163644822</v>
      </c>
      <c r="E56" s="5"/>
    </row>
    <row r="57" spans="1:5">
      <c r="A57" s="93"/>
      <c r="B57" s="6" t="s">
        <v>23</v>
      </c>
      <c r="C57" s="5"/>
      <c r="D57" s="5">
        <v>228305476</v>
      </c>
      <c r="E57" s="5"/>
    </row>
    <row r="58" spans="1:5" ht="14.25" customHeight="1">
      <c r="A58" s="93"/>
      <c r="B58" s="6" t="s">
        <v>49</v>
      </c>
      <c r="C58" s="5"/>
      <c r="D58" s="5">
        <v>0</v>
      </c>
      <c r="E58" s="5"/>
    </row>
    <row r="59" spans="1:5">
      <c r="A59" s="93"/>
      <c r="B59" s="6" t="s">
        <v>24</v>
      </c>
      <c r="C59" s="5"/>
      <c r="D59" s="5">
        <v>1951475473</v>
      </c>
      <c r="E59" s="5"/>
    </row>
    <row r="60" spans="1:5">
      <c r="A60" s="93"/>
      <c r="B60" s="6" t="s">
        <v>72</v>
      </c>
      <c r="C60" s="5"/>
      <c r="D60" s="5">
        <v>255907089</v>
      </c>
      <c r="E60" s="5"/>
    </row>
    <row r="61" spans="1:5">
      <c r="A61" s="93"/>
      <c r="B61" s="6" t="s">
        <v>73</v>
      </c>
      <c r="C61" s="5"/>
      <c r="D61" s="5">
        <v>242668845</v>
      </c>
      <c r="E61" s="5"/>
    </row>
    <row r="62" spans="1:5">
      <c r="A62" s="93"/>
      <c r="B62" s="6" t="s">
        <v>226</v>
      </c>
      <c r="C62" s="5"/>
      <c r="D62" s="5">
        <v>118856641</v>
      </c>
      <c r="E62" s="5"/>
    </row>
    <row r="63" spans="1:5">
      <c r="A63" s="93" t="s">
        <v>0</v>
      </c>
      <c r="B63" s="5" t="s">
        <v>27</v>
      </c>
      <c r="C63" s="5"/>
      <c r="D63" s="5">
        <v>2720000000</v>
      </c>
      <c r="E63" s="5">
        <v>3020000000</v>
      </c>
    </row>
    <row r="64" spans="1:5">
      <c r="A64" s="93"/>
      <c r="B64" s="5" t="s">
        <v>71</v>
      </c>
      <c r="C64" s="5"/>
      <c r="D64" s="5">
        <v>208000000</v>
      </c>
      <c r="E64" s="5">
        <v>375090886</v>
      </c>
    </row>
    <row r="65" spans="1:5">
      <c r="A65" s="92"/>
      <c r="B65" s="106" t="s">
        <v>223</v>
      </c>
      <c r="C65" s="5"/>
      <c r="D65" s="5">
        <v>1181852856</v>
      </c>
      <c r="E65" s="5"/>
    </row>
    <row r="66" spans="1:5">
      <c r="A66" s="92"/>
      <c r="B66" s="106" t="s">
        <v>224</v>
      </c>
      <c r="C66" s="5"/>
      <c r="D66" s="5">
        <v>3997902343</v>
      </c>
      <c r="E66" s="5"/>
    </row>
    <row r="67" spans="1:5">
      <c r="A67" s="92"/>
      <c r="B67" s="106" t="s">
        <v>225</v>
      </c>
      <c r="C67" s="5"/>
      <c r="D67" s="5">
        <v>3288458807</v>
      </c>
      <c r="E67" s="5"/>
    </row>
  </sheetData>
  <mergeCells count="8">
    <mergeCell ref="A63:A64"/>
    <mergeCell ref="A9:A16"/>
    <mergeCell ref="A27:A34"/>
    <mergeCell ref="A35:A41"/>
    <mergeCell ref="A43:A48"/>
    <mergeCell ref="A17:A19"/>
    <mergeCell ref="A20:A24"/>
    <mergeCell ref="A51:A6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opLeftCell="A19" workbookViewId="0">
      <selection activeCell="K31" sqref="K31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G21" sqref="G21"/>
    </sheetView>
  </sheetViews>
  <sheetFormatPr defaultRowHeight="13.5"/>
  <cols>
    <col min="2" max="2" width="10" bestFit="1" customWidth="1"/>
    <col min="3" max="3" width="9.5" bestFit="1" customWidth="1"/>
    <col min="4" max="4" width="16.125" bestFit="1" customWidth="1"/>
    <col min="5" max="5" width="12.375" bestFit="1" customWidth="1"/>
    <col min="6" max="6" width="11.625" bestFit="1" customWidth="1"/>
  </cols>
  <sheetData>
    <row r="1" spans="1:21" s="2" customFormat="1">
      <c r="A1" s="17" t="s">
        <v>75</v>
      </c>
      <c r="B1" s="17" t="s">
        <v>76</v>
      </c>
      <c r="C1" s="17" t="s">
        <v>77</v>
      </c>
      <c r="D1" s="17" t="s">
        <v>78</v>
      </c>
      <c r="E1" s="17" t="s">
        <v>79</v>
      </c>
      <c r="F1" s="17" t="s">
        <v>80</v>
      </c>
    </row>
    <row r="2" spans="1:21">
      <c r="A2" s="18">
        <v>2016</v>
      </c>
      <c r="B2" s="19">
        <v>240878200.06</v>
      </c>
      <c r="C2" s="19">
        <v>11507183.51</v>
      </c>
      <c r="D2" s="19">
        <v>6330394.1600000001</v>
      </c>
      <c r="E2" s="19">
        <v>7617895.8600000003</v>
      </c>
      <c r="F2" s="19">
        <v>266333673.59</v>
      </c>
    </row>
    <row r="3" spans="1:21">
      <c r="A3" s="18">
        <v>2017</v>
      </c>
      <c r="B3" s="19">
        <v>328928806.74000001</v>
      </c>
      <c r="C3" s="19">
        <v>9131570.1400000006</v>
      </c>
      <c r="D3" s="19">
        <v>5881036.0999999996</v>
      </c>
      <c r="E3" s="19">
        <v>7303425.5800000001</v>
      </c>
      <c r="F3" s="19">
        <v>351244838.56</v>
      </c>
    </row>
    <row r="4" spans="1:21">
      <c r="A4" s="1" t="s">
        <v>81</v>
      </c>
      <c r="B4" s="1"/>
      <c r="C4" s="1"/>
      <c r="D4" s="1"/>
      <c r="E4" s="1"/>
      <c r="F4" s="19">
        <v>1262505531.0599999</v>
      </c>
    </row>
    <row r="10" spans="1:21">
      <c r="A10" s="15" t="s">
        <v>164</v>
      </c>
      <c r="B10" s="14">
        <v>2420414721.9000001</v>
      </c>
      <c r="C10" s="14"/>
      <c r="D10" s="14"/>
      <c r="E10" s="14"/>
      <c r="F10" s="14">
        <v>784242692.42999995</v>
      </c>
      <c r="G10" s="14">
        <v>434543082.31999999</v>
      </c>
      <c r="H10" s="14">
        <v>118936281.39</v>
      </c>
      <c r="I10" s="14">
        <v>-48884817.469999999</v>
      </c>
      <c r="J10" s="14">
        <v>80070862.959999993</v>
      </c>
      <c r="K10" s="14">
        <v>46800626.770000003</v>
      </c>
      <c r="L10" s="14"/>
      <c r="M10" s="14"/>
      <c r="N10" s="30">
        <f>B10-SUM(F10:K10)</f>
        <v>1004705993.5</v>
      </c>
      <c r="O10" s="41">
        <f>F10/B10</f>
        <v>0.32401170152129039</v>
      </c>
      <c r="P10" s="41">
        <f>G10/B10</f>
        <v>0.17953249019196521</v>
      </c>
      <c r="Q10" s="41">
        <f>H10/B10</f>
        <v>4.9138802666278722E-2</v>
      </c>
      <c r="R10" s="41">
        <f>N10/B10</f>
        <v>0.41509662968473288</v>
      </c>
      <c r="S10" s="39"/>
      <c r="T10" s="56"/>
      <c r="U10" s="56"/>
    </row>
    <row r="11" spans="1:21">
      <c r="A11" s="15" t="s">
        <v>165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30"/>
      <c r="O11" s="41"/>
      <c r="P11" s="41"/>
      <c r="Q11" s="41"/>
      <c r="R11" s="41"/>
      <c r="S11" s="39"/>
      <c r="T11" s="56"/>
      <c r="U11" s="56"/>
    </row>
    <row r="12" spans="1:21">
      <c r="A12" s="15" t="s">
        <v>87</v>
      </c>
      <c r="B12" s="14">
        <v>2959582128.6199999</v>
      </c>
      <c r="C12" s="14"/>
      <c r="D12" s="14"/>
      <c r="E12" s="14"/>
      <c r="F12" s="14">
        <v>919258485.72000003</v>
      </c>
      <c r="G12" s="14">
        <v>518097824.73000002</v>
      </c>
      <c r="H12" s="14">
        <v>138264100.5</v>
      </c>
      <c r="I12" s="14">
        <v>28411152.91</v>
      </c>
      <c r="J12" s="14">
        <v>101077809.38</v>
      </c>
      <c r="K12" s="14">
        <v>26883711.289999999</v>
      </c>
      <c r="L12" s="14"/>
      <c r="M12" s="14"/>
      <c r="N12" s="30">
        <f>B12-SUM(F12:K12)</f>
        <v>1227589044.0899997</v>
      </c>
      <c r="O12" s="41">
        <f>F12/B12</f>
        <v>0.31060414807567238</v>
      </c>
      <c r="P12" s="41">
        <f>G12/B12</f>
        <v>0.17505776228334632</v>
      </c>
      <c r="Q12" s="41">
        <f>H12/B12</f>
        <v>4.6717439993621691E-2</v>
      </c>
      <c r="R12" s="41">
        <f>N12/B12</f>
        <v>0.4147845846948679</v>
      </c>
      <c r="S12" s="14"/>
      <c r="T12" s="57"/>
      <c r="U12" s="57"/>
    </row>
    <row r="13" spans="1:21">
      <c r="A13" s="18" t="s">
        <v>160</v>
      </c>
      <c r="B13" s="19">
        <v>10876591720.34</v>
      </c>
      <c r="C13" s="19"/>
      <c r="D13" s="19"/>
      <c r="E13" s="46"/>
      <c r="F13" s="19">
        <v>3345620105.0700002</v>
      </c>
      <c r="G13" s="19">
        <v>1696830021.9000001</v>
      </c>
      <c r="H13" s="19">
        <v>322093626.69</v>
      </c>
      <c r="I13" s="19">
        <v>-80478112.049999997</v>
      </c>
      <c r="J13" s="19">
        <v>311786122.10000002</v>
      </c>
      <c r="K13" s="19">
        <v>120335255.29000001</v>
      </c>
      <c r="L13" s="19"/>
      <c r="M13" s="19"/>
      <c r="N13" s="46">
        <f>B13-SUM(F13:K13)</f>
        <v>5160404701.3400002</v>
      </c>
      <c r="O13" s="47">
        <f>F13/B13</f>
        <v>0.30759820641363717</v>
      </c>
      <c r="P13" s="47">
        <f>G13/B13</f>
        <v>0.15600751278792668</v>
      </c>
      <c r="Q13" s="47">
        <f>H13/B13</f>
        <v>2.9613470374884258E-2</v>
      </c>
      <c r="R13" s="47">
        <f>N13/B13</f>
        <v>0.47445052954315425</v>
      </c>
      <c r="S13" s="19">
        <v>5812854288.9099998</v>
      </c>
      <c r="T13" s="55"/>
      <c r="U13" s="5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="85" zoomScaleNormal="85" workbookViewId="0">
      <pane ySplit="1" topLeftCell="A2" activePane="bottomLeft" state="frozen"/>
      <selection pane="bottomLeft" activeCell="E28" sqref="E28"/>
    </sheetView>
  </sheetViews>
  <sheetFormatPr defaultRowHeight="13.5"/>
  <cols>
    <col min="1" max="1" width="12.625" bestFit="1" customWidth="1"/>
    <col min="2" max="2" width="9.625" bestFit="1" customWidth="1"/>
    <col min="3" max="3" width="9.875" bestFit="1" customWidth="1"/>
    <col min="4" max="4" width="8.5" bestFit="1" customWidth="1"/>
    <col min="5" max="5" width="15.875" bestFit="1" customWidth="1"/>
    <col min="6" max="6" width="10.625" bestFit="1" customWidth="1"/>
    <col min="7" max="7" width="10" bestFit="1" customWidth="1"/>
    <col min="8" max="8" width="10" customWidth="1"/>
    <col min="9" max="10" width="10.375" bestFit="1" customWidth="1"/>
    <col min="13" max="14" width="10.5" bestFit="1" customWidth="1"/>
    <col min="15" max="15" width="11.875" bestFit="1" customWidth="1"/>
    <col min="16" max="16" width="5.125" bestFit="1" customWidth="1"/>
    <col min="18" max="18" width="9.25" customWidth="1"/>
  </cols>
  <sheetData>
    <row r="1" spans="1:16">
      <c r="A1" s="17" t="s">
        <v>55</v>
      </c>
      <c r="B1" s="17" t="s">
        <v>56</v>
      </c>
      <c r="C1" s="17" t="s">
        <v>217</v>
      </c>
      <c r="D1" s="17" t="s">
        <v>216</v>
      </c>
      <c r="E1" s="17" t="s">
        <v>218</v>
      </c>
      <c r="F1" s="77" t="s">
        <v>219</v>
      </c>
      <c r="G1" s="77" t="s">
        <v>220</v>
      </c>
      <c r="H1" s="40" t="s">
        <v>222</v>
      </c>
      <c r="I1" s="40">
        <f>1/(P1*2)</f>
        <v>12.5</v>
      </c>
      <c r="J1" s="40">
        <f>1/P1</f>
        <v>25</v>
      </c>
      <c r="K1" s="17" t="s">
        <v>57</v>
      </c>
      <c r="L1" s="17" t="s">
        <v>42</v>
      </c>
      <c r="M1" s="17" t="s">
        <v>58</v>
      </c>
      <c r="N1" s="17" t="s">
        <v>59</v>
      </c>
      <c r="O1" s="3" t="s">
        <v>221</v>
      </c>
      <c r="P1" s="78">
        <v>0.04</v>
      </c>
    </row>
    <row r="2" spans="1:16">
      <c r="A2" s="82">
        <v>42369</v>
      </c>
      <c r="B2" s="19">
        <v>4368416750</v>
      </c>
      <c r="C2" s="19">
        <v>4598731084.4399996</v>
      </c>
      <c r="D2" s="76"/>
      <c r="E2" s="19">
        <f>C2+SUM(D$2:D2)</f>
        <v>4598731084.4399996</v>
      </c>
      <c r="F2" s="18"/>
      <c r="G2" s="18"/>
      <c r="H2" s="79"/>
      <c r="I2" s="81"/>
      <c r="J2" s="81"/>
      <c r="K2" s="18">
        <v>7.15</v>
      </c>
      <c r="L2" s="18">
        <v>62.34</v>
      </c>
      <c r="M2" s="74">
        <f t="shared" ref="M2:M14" si="0">B2*K2</f>
        <v>31234179762.5</v>
      </c>
      <c r="N2" s="74">
        <f t="shared" ref="N2:N13" si="1">B2*L2</f>
        <v>272327100195</v>
      </c>
      <c r="O2" s="3"/>
      <c r="P2" s="78"/>
    </row>
    <row r="3" spans="1:16">
      <c r="A3" s="82">
        <v>42460</v>
      </c>
      <c r="B3" s="19">
        <f>B2</f>
        <v>4368416750</v>
      </c>
      <c r="C3" s="19">
        <v>5248161777.3900003</v>
      </c>
      <c r="D3" s="19"/>
      <c r="E3" s="19">
        <f>C3+SUM(D$2:D3)</f>
        <v>5248161777.3900003</v>
      </c>
      <c r="F3" s="35">
        <f>E3-E2</f>
        <v>649430692.95000076</v>
      </c>
      <c r="G3" s="18"/>
      <c r="H3" s="79"/>
      <c r="I3" s="81"/>
      <c r="J3" s="81"/>
      <c r="K3" s="18">
        <v>25.2</v>
      </c>
      <c r="L3" s="18">
        <v>42.06</v>
      </c>
      <c r="M3" s="74">
        <f t="shared" si="0"/>
        <v>110084102100</v>
      </c>
      <c r="N3" s="74">
        <f t="shared" si="1"/>
        <v>183735608505</v>
      </c>
    </row>
    <row r="4" spans="1:16">
      <c r="A4" s="82">
        <v>42551</v>
      </c>
      <c r="B4" s="19">
        <f>B2*2</f>
        <v>8736833500</v>
      </c>
      <c r="C4" s="19">
        <v>5415631995.6899996</v>
      </c>
      <c r="D4" s="19">
        <f>B3*0.25</f>
        <v>1092104187.5</v>
      </c>
      <c r="E4" s="19">
        <f>C4+SUM(D$2:D4)</f>
        <v>6507736183.1899996</v>
      </c>
      <c r="F4" s="35">
        <f>E4-E3</f>
        <v>1259574405.7999992</v>
      </c>
      <c r="G4" s="18"/>
      <c r="H4" s="79"/>
      <c r="I4" s="81"/>
      <c r="J4" s="81"/>
      <c r="K4" s="75">
        <v>16.25</v>
      </c>
      <c r="L4" s="75">
        <v>36.58</v>
      </c>
      <c r="M4" s="49">
        <f t="shared" si="0"/>
        <v>141973544375</v>
      </c>
      <c r="N4" s="49">
        <f t="shared" si="1"/>
        <v>319593369430</v>
      </c>
    </row>
    <row r="5" spans="1:16">
      <c r="A5" s="82">
        <v>42643</v>
      </c>
      <c r="B5" s="19">
        <f>B4</f>
        <v>8736833500</v>
      </c>
      <c r="C5" s="19">
        <v>6664618598.2299995</v>
      </c>
      <c r="D5" s="19"/>
      <c r="E5" s="19">
        <f>C5+SUM(D$2:D5)</f>
        <v>7756722785.7299995</v>
      </c>
      <c r="F5" s="35">
        <f>E5-E4</f>
        <v>1248986602.54</v>
      </c>
      <c r="G5" s="18"/>
      <c r="H5" s="79"/>
      <c r="I5" s="81"/>
      <c r="J5" s="81"/>
      <c r="K5" s="18">
        <v>14.11</v>
      </c>
      <c r="L5" s="18">
        <v>17.59</v>
      </c>
      <c r="M5" s="74">
        <f t="shared" si="0"/>
        <v>123276720685</v>
      </c>
      <c r="N5" s="74">
        <f t="shared" si="1"/>
        <v>153680901265</v>
      </c>
    </row>
    <row r="6" spans="1:16">
      <c r="A6" s="82">
        <v>42735</v>
      </c>
      <c r="B6" s="19">
        <f>B5</f>
        <v>8736833500</v>
      </c>
      <c r="C6" s="19">
        <v>7990926198.3999996</v>
      </c>
      <c r="D6" s="76"/>
      <c r="E6" s="19">
        <f>C6+SUM(D$2:D6)</f>
        <v>9083030385.8999996</v>
      </c>
      <c r="F6" s="35">
        <f>E6-E5</f>
        <v>1326307600.1700001</v>
      </c>
      <c r="G6" s="35">
        <f t="shared" ref="G6:G13" si="2">SUM(F3:F6)</f>
        <v>4484299301.46</v>
      </c>
      <c r="H6" s="80"/>
      <c r="I6" s="80"/>
      <c r="J6" s="80"/>
      <c r="K6" s="18">
        <v>13.45</v>
      </c>
      <c r="L6" s="18">
        <v>19.77</v>
      </c>
      <c r="M6" s="74">
        <f t="shared" si="0"/>
        <v>117510410575</v>
      </c>
      <c r="N6" s="74">
        <f t="shared" si="1"/>
        <v>172727198295</v>
      </c>
    </row>
    <row r="7" spans="1:16">
      <c r="A7" s="82">
        <v>42825</v>
      </c>
      <c r="B7" s="19">
        <f>B6</f>
        <v>8736833500</v>
      </c>
      <c r="C7" s="19">
        <v>9065603211.2700005</v>
      </c>
      <c r="D7" s="19"/>
      <c r="E7" s="19">
        <f>C7+SUM(D$2:D7)</f>
        <v>10157707398.77</v>
      </c>
      <c r="F7" s="35">
        <f t="shared" ref="F7:F13" si="3">E7-E6</f>
        <v>1074677012.8700008</v>
      </c>
      <c r="G7" s="35">
        <f t="shared" si="2"/>
        <v>4909545621.3800001</v>
      </c>
      <c r="H7" s="80"/>
      <c r="I7" s="80"/>
      <c r="J7" s="80"/>
      <c r="K7" s="18">
        <v>10.9</v>
      </c>
      <c r="L7" s="18">
        <v>14.83</v>
      </c>
      <c r="M7" s="74">
        <f t="shared" si="0"/>
        <v>95231485150</v>
      </c>
      <c r="N7" s="74">
        <f t="shared" si="1"/>
        <v>129567240805</v>
      </c>
    </row>
    <row r="8" spans="1:16">
      <c r="A8" s="82">
        <v>42916</v>
      </c>
      <c r="B8" s="19">
        <f>B7*1.4</f>
        <v>12231566900</v>
      </c>
      <c r="C8" s="19">
        <v>6918326280.4799995</v>
      </c>
      <c r="D8" s="19">
        <f>B7*0.408</f>
        <v>3564628068</v>
      </c>
      <c r="E8" s="19">
        <f>C8+SUM(D$2:D8)</f>
        <v>11575058535.98</v>
      </c>
      <c r="F8" s="35">
        <f t="shared" si="3"/>
        <v>1417351137.2099991</v>
      </c>
      <c r="G8" s="35">
        <f t="shared" si="2"/>
        <v>5067322352.79</v>
      </c>
      <c r="H8" s="80">
        <f>FORECAST(A8,$G$6:G7,$A$6:A7)</f>
        <v>5339516900.4102478</v>
      </c>
      <c r="I8" s="80">
        <f>H8*I$1/2</f>
        <v>33371980627.564049</v>
      </c>
      <c r="J8" s="80">
        <f>H8*J$1/2</f>
        <v>66743961255.128098</v>
      </c>
      <c r="K8" s="18">
        <v>10.97</v>
      </c>
      <c r="L8" s="18">
        <v>15.19</v>
      </c>
      <c r="M8" s="74">
        <f t="shared" si="0"/>
        <v>134180288893.00002</v>
      </c>
      <c r="N8" s="74">
        <f t="shared" si="1"/>
        <v>185797501211</v>
      </c>
    </row>
    <row r="9" spans="1:16">
      <c r="A9" s="82">
        <v>43008</v>
      </c>
      <c r="B9" s="19">
        <f>B8</f>
        <v>12231566900</v>
      </c>
      <c r="C9" s="19">
        <v>8296082424.5100002</v>
      </c>
      <c r="D9" s="19"/>
      <c r="E9" s="19">
        <f>C9+SUM(D$2:D9)</f>
        <v>12952814680.01</v>
      </c>
      <c r="F9" s="35">
        <f t="shared" si="3"/>
        <v>1377756144.0300007</v>
      </c>
      <c r="G9" s="35">
        <f t="shared" si="2"/>
        <v>5196091894.2800007</v>
      </c>
      <c r="H9" s="80">
        <f>FORECAST(A9,$G$6:G8,$A$6:A8)</f>
        <v>5408277584.7865143</v>
      </c>
      <c r="I9" s="80">
        <f t="shared" ref="I9:I13" si="4">H9*I$1/2</f>
        <v>33801734904.915714</v>
      </c>
      <c r="J9" s="80">
        <f t="shared" ref="J9:J13" si="5">H9*J$1/2</f>
        <v>67603469809.831429</v>
      </c>
      <c r="K9" s="18">
        <v>8.31</v>
      </c>
      <c r="L9" s="18">
        <v>13.88</v>
      </c>
      <c r="M9" s="74">
        <f t="shared" si="0"/>
        <v>101644320939</v>
      </c>
      <c r="N9" s="74">
        <f t="shared" si="1"/>
        <v>169774148572</v>
      </c>
    </row>
    <row r="10" spans="1:16">
      <c r="A10" s="82">
        <v>43100</v>
      </c>
      <c r="B10" s="19">
        <f>B8</f>
        <v>12231566900</v>
      </c>
      <c r="C10" s="19">
        <v>10372574413.65</v>
      </c>
      <c r="D10" s="76"/>
      <c r="E10" s="19">
        <f>C10+SUM(D$2:D10)</f>
        <v>15029306669.15</v>
      </c>
      <c r="F10" s="35">
        <f t="shared" si="3"/>
        <v>2076491989.1399994</v>
      </c>
      <c r="G10" s="35">
        <f t="shared" si="2"/>
        <v>5946276283.25</v>
      </c>
      <c r="H10" s="80">
        <f>FORECAST(A10,$G$6:G9,$A$6:A9)</f>
        <v>5490549560.9762878</v>
      </c>
      <c r="I10" s="80">
        <f t="shared" si="4"/>
        <v>34315934756.101799</v>
      </c>
      <c r="J10" s="80">
        <f t="shared" si="5"/>
        <v>68631869512.203598</v>
      </c>
      <c r="K10" s="18">
        <v>10.119999999999999</v>
      </c>
      <c r="L10" s="18">
        <v>14.35</v>
      </c>
      <c r="M10" s="74">
        <f t="shared" si="0"/>
        <v>123783457027.99998</v>
      </c>
      <c r="N10" s="74">
        <f t="shared" si="1"/>
        <v>175522985015</v>
      </c>
    </row>
    <row r="11" spans="1:16">
      <c r="A11" s="82">
        <v>43190</v>
      </c>
      <c r="B11" s="19">
        <f>B10</f>
        <v>12231566900</v>
      </c>
      <c r="C11" s="19">
        <v>11574654177.1</v>
      </c>
      <c r="D11" s="19"/>
      <c r="E11" s="19">
        <f>C11+SUM(D$2:D11)</f>
        <v>16231386432.6</v>
      </c>
      <c r="F11" s="35">
        <f t="shared" si="3"/>
        <v>1202079763.4500008</v>
      </c>
      <c r="G11" s="35">
        <f t="shared" si="2"/>
        <v>6073679033.8299999</v>
      </c>
      <c r="H11" s="80">
        <f>FORECAST(A11,$G$6:G10,$A$6:A10)</f>
        <v>6081789879.808136</v>
      </c>
      <c r="I11" s="80">
        <f t="shared" si="4"/>
        <v>38011186748.80085</v>
      </c>
      <c r="J11" s="80">
        <f t="shared" si="5"/>
        <v>76022373497.6017</v>
      </c>
      <c r="K11" s="18">
        <v>12.31</v>
      </c>
      <c r="L11" s="18">
        <v>15.55</v>
      </c>
      <c r="M11" s="74">
        <f t="shared" si="0"/>
        <v>150570588539</v>
      </c>
      <c r="N11" s="74">
        <f t="shared" si="1"/>
        <v>190200865295</v>
      </c>
    </row>
    <row r="12" spans="1:16">
      <c r="A12" s="82">
        <v>43281</v>
      </c>
      <c r="B12" s="19">
        <f>B10*1.2</f>
        <v>14677880280</v>
      </c>
      <c r="C12" s="19">
        <v>12502956081.780001</v>
      </c>
      <c r="D12" s="19">
        <f>B11*0.1</f>
        <v>1223156690</v>
      </c>
      <c r="E12" s="19">
        <f>C12+SUM(D$2:D12)</f>
        <v>18382845027.279999</v>
      </c>
      <c r="F12" s="35">
        <f t="shared" si="3"/>
        <v>2151458594.6799984</v>
      </c>
      <c r="G12" s="35">
        <f t="shared" si="2"/>
        <v>6807786491.2999992</v>
      </c>
      <c r="H12" s="80">
        <f>FORECAST(A12,$G$6:G11,$A$6:A11)</f>
        <v>6396521808.3469849</v>
      </c>
      <c r="I12" s="80">
        <f t="shared" si="4"/>
        <v>39978261302.168655</v>
      </c>
      <c r="J12" s="80">
        <f t="shared" si="5"/>
        <v>79956522604.337311</v>
      </c>
      <c r="K12" s="18">
        <v>9</v>
      </c>
      <c r="L12" s="18">
        <v>13.27</v>
      </c>
      <c r="M12" s="74">
        <f t="shared" si="0"/>
        <v>132100922520</v>
      </c>
      <c r="N12" s="74">
        <f t="shared" si="1"/>
        <v>194775471315.60001</v>
      </c>
    </row>
    <row r="13" spans="1:16">
      <c r="A13" s="82">
        <v>43373</v>
      </c>
      <c r="B13" s="19">
        <f>B10*1.2</f>
        <v>14677880280</v>
      </c>
      <c r="C13" s="19">
        <v>13529267764.67</v>
      </c>
      <c r="D13" s="76"/>
      <c r="E13" s="19">
        <f>C13+SUM(D$2:D13)</f>
        <v>19409156710.169998</v>
      </c>
      <c r="F13" s="35">
        <f t="shared" si="3"/>
        <v>1026311682.8899994</v>
      </c>
      <c r="G13" s="35">
        <f t="shared" si="2"/>
        <v>6456342030.1599979</v>
      </c>
      <c r="H13" s="80">
        <f>FORECAST(A13,$G$6:G12,$A$6:A12)</f>
        <v>6954097412.0878296</v>
      </c>
      <c r="I13" s="80">
        <f t="shared" si="4"/>
        <v>43463108825.548935</v>
      </c>
      <c r="J13" s="80">
        <f t="shared" si="5"/>
        <v>86926217651.09787</v>
      </c>
      <c r="K13" s="18">
        <v>7.13</v>
      </c>
      <c r="L13" s="18">
        <v>11.6</v>
      </c>
      <c r="M13" s="74">
        <f t="shared" si="0"/>
        <v>104653286396.39999</v>
      </c>
      <c r="N13" s="74">
        <f t="shared" si="1"/>
        <v>170263411248</v>
      </c>
    </row>
    <row r="14" spans="1:16">
      <c r="A14" s="83">
        <v>43465</v>
      </c>
      <c r="B14" s="84">
        <f>B10*1.2</f>
        <v>14677880280</v>
      </c>
      <c r="C14" s="84"/>
      <c r="D14" s="86"/>
      <c r="E14" s="84"/>
      <c r="F14" s="87"/>
      <c r="G14" s="87">
        <v>6000000000</v>
      </c>
      <c r="H14" s="87">
        <f>FORECAST(A14,$G$6:G13,$A$6:A13)</f>
        <v>7071414416.7328796</v>
      </c>
      <c r="I14" s="87">
        <f t="shared" ref="I14:I17" si="6">H14*I$1</f>
        <v>88392680209.160995</v>
      </c>
      <c r="J14" s="87">
        <f t="shared" ref="J14:J17" si="7">H14*J$1</f>
        <v>176785360418.32199</v>
      </c>
      <c r="K14" s="85">
        <v>5.5</v>
      </c>
      <c r="L14" s="85"/>
      <c r="M14" s="84">
        <f t="shared" si="0"/>
        <v>80728341540</v>
      </c>
      <c r="N14" s="84"/>
    </row>
    <row r="15" spans="1:16">
      <c r="A15" s="83">
        <v>43646</v>
      </c>
      <c r="B15" s="84">
        <f>B14</f>
        <v>14677880280</v>
      </c>
      <c r="C15" s="84"/>
      <c r="D15" s="86"/>
      <c r="E15" s="84"/>
      <c r="F15" s="87"/>
      <c r="G15" s="87"/>
      <c r="H15" s="87">
        <f>FORECAST(A15,$G$6:G14,$A$6:A14)</f>
        <v>7163051880.2140961</v>
      </c>
      <c r="I15" s="87">
        <f t="shared" si="6"/>
        <v>89538148502.676208</v>
      </c>
      <c r="J15" s="87">
        <f t="shared" si="7"/>
        <v>179076297005.35242</v>
      </c>
      <c r="K15" s="85"/>
      <c r="L15" s="85"/>
      <c r="M15" s="84"/>
      <c r="N15" s="84"/>
    </row>
    <row r="16" spans="1:16">
      <c r="A16" s="83">
        <v>43830</v>
      </c>
      <c r="B16" s="84">
        <f>B14</f>
        <v>14677880280</v>
      </c>
      <c r="C16" s="85"/>
      <c r="D16" s="85"/>
      <c r="E16" s="84"/>
      <c r="F16" s="87"/>
      <c r="G16" s="88"/>
      <c r="H16" s="87">
        <f>FORECAST(A16,$G$6:G14,$A$6:A14)</f>
        <v>7668804125.7088623</v>
      </c>
      <c r="I16" s="87">
        <f t="shared" si="6"/>
        <v>95860051571.360779</v>
      </c>
      <c r="J16" s="87">
        <f t="shared" si="7"/>
        <v>191720103142.72156</v>
      </c>
      <c r="K16" s="85"/>
      <c r="L16" s="85"/>
      <c r="M16" s="85"/>
      <c r="N16" s="85"/>
    </row>
    <row r="17" spans="1:14">
      <c r="A17" s="89">
        <v>44196</v>
      </c>
      <c r="B17" s="84">
        <f>B16</f>
        <v>14677880280</v>
      </c>
      <c r="C17" s="85"/>
      <c r="D17" s="85"/>
      <c r="E17" s="84"/>
      <c r="F17" s="87"/>
      <c r="G17" s="88"/>
      <c r="H17" s="87">
        <f>FORECAST(A17,$G$6:G16,$A$6:A16)</f>
        <v>8674811309.6821442</v>
      </c>
      <c r="I17" s="87">
        <f t="shared" si="6"/>
        <v>108435141371.02679</v>
      </c>
      <c r="J17" s="87">
        <f t="shared" si="7"/>
        <v>216870282742.05359</v>
      </c>
      <c r="K17" s="85"/>
      <c r="L17" s="85"/>
      <c r="M17" s="85"/>
      <c r="N17" s="85"/>
    </row>
    <row r="18" spans="1:14">
      <c r="A18" s="89">
        <v>44561</v>
      </c>
      <c r="B18" s="84">
        <f>B17</f>
        <v>14677880280</v>
      </c>
      <c r="C18" s="85"/>
      <c r="D18" s="85"/>
      <c r="E18" s="84"/>
      <c r="F18" s="87"/>
      <c r="G18" s="88"/>
      <c r="H18" s="87">
        <f>FORECAST(A18,$G$6:G17,$A$6:A17)</f>
        <v>9678069840.1472931</v>
      </c>
      <c r="I18" s="87">
        <f>H18*I$1</f>
        <v>120975873001.84116</v>
      </c>
      <c r="J18" s="87">
        <f>H18*J$1</f>
        <v>241951746003.68231</v>
      </c>
      <c r="K18" s="85"/>
      <c r="L18" s="85"/>
      <c r="M18" s="85"/>
      <c r="N18" s="85"/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B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zoomScale="115" zoomScaleNormal="115" workbookViewId="0">
      <pane ySplit="1" topLeftCell="A2" activePane="bottomLeft" state="frozen"/>
      <selection pane="bottomLeft" activeCell="A16" sqref="A16:XFD16"/>
    </sheetView>
  </sheetViews>
  <sheetFormatPr defaultRowHeight="13.5"/>
  <cols>
    <col min="2" max="2" width="14.75" bestFit="1" customWidth="1"/>
    <col min="3" max="3" width="11.875" bestFit="1" customWidth="1"/>
    <col min="4" max="4" width="11.75" bestFit="1" customWidth="1"/>
    <col min="5" max="5" width="9.75" bestFit="1" customWidth="1"/>
    <col min="6" max="6" width="16.125" bestFit="1" customWidth="1"/>
  </cols>
  <sheetData>
    <row r="1" spans="1:6">
      <c r="A1" s="17" t="s">
        <v>55</v>
      </c>
      <c r="B1" s="17" t="s">
        <v>88</v>
      </c>
      <c r="C1" s="17" t="s">
        <v>97</v>
      </c>
      <c r="D1" s="17" t="s">
        <v>121</v>
      </c>
      <c r="E1" s="36" t="s">
        <v>133</v>
      </c>
      <c r="F1" s="36" t="s">
        <v>134</v>
      </c>
    </row>
    <row r="2" spans="1:6">
      <c r="A2" s="18" t="s">
        <v>122</v>
      </c>
      <c r="B2" s="18"/>
      <c r="C2" s="19"/>
      <c r="D2" s="35">
        <v>466031031.19</v>
      </c>
      <c r="E2" s="35"/>
      <c r="F2" s="35">
        <v>1629606031.4400001</v>
      </c>
    </row>
    <row r="3" spans="1:6">
      <c r="A3" s="18" t="s">
        <v>123</v>
      </c>
      <c r="B3" s="18"/>
      <c r="C3" s="19"/>
      <c r="D3" s="35">
        <v>1072443334.38</v>
      </c>
      <c r="E3" s="35"/>
      <c r="F3" s="35">
        <v>2395534147.3099999</v>
      </c>
    </row>
    <row r="4" spans="1:6">
      <c r="A4" s="18" t="s">
        <v>124</v>
      </c>
      <c r="B4" s="18"/>
      <c r="C4" s="19"/>
      <c r="D4" s="35">
        <v>949561377.74000001</v>
      </c>
      <c r="E4" s="35"/>
      <c r="F4" s="35">
        <v>2323545596.7600002</v>
      </c>
    </row>
    <row r="5" spans="1:6">
      <c r="A5" s="18" t="s">
        <v>125</v>
      </c>
      <c r="B5" s="18"/>
      <c r="C5" s="19"/>
      <c r="D5" s="35">
        <v>901106280.63</v>
      </c>
      <c r="E5" s="35">
        <v>8627411561.6100006</v>
      </c>
      <c r="F5" s="35">
        <v>2278725786.0999999</v>
      </c>
    </row>
    <row r="6" spans="1:6">
      <c r="A6" s="18" t="s">
        <v>126</v>
      </c>
      <c r="C6" s="19">
        <v>649430692.95000005</v>
      </c>
      <c r="D6" s="35">
        <v>649430692.95000005</v>
      </c>
      <c r="E6" s="35">
        <v>2104858386.9300001</v>
      </c>
      <c r="F6" s="35">
        <v>2104858386.9300001</v>
      </c>
    </row>
    <row r="7" spans="1:6">
      <c r="A7" s="18" t="s">
        <v>127</v>
      </c>
      <c r="B7" s="18" t="s">
        <v>130</v>
      </c>
      <c r="C7" s="19">
        <v>1901171499.2</v>
      </c>
      <c r="D7" s="35">
        <f>C7-C6</f>
        <v>1251740806.25</v>
      </c>
      <c r="E7" s="35">
        <v>4926942439.8800001</v>
      </c>
      <c r="F7" s="35">
        <f>E7-E6</f>
        <v>2822084052.9499998</v>
      </c>
    </row>
    <row r="8" spans="1:6">
      <c r="A8" s="18" t="s">
        <v>128</v>
      </c>
      <c r="B8" s="18" t="s">
        <v>131</v>
      </c>
      <c r="C8" s="19">
        <v>3147047756.6100001</v>
      </c>
      <c r="D8" s="35">
        <f>C8-C7</f>
        <v>1245876257.4100001</v>
      </c>
      <c r="E8" s="35">
        <v>7542151931.46</v>
      </c>
      <c r="F8" s="35">
        <f>E8-E7</f>
        <v>2615209491.5799999</v>
      </c>
    </row>
    <row r="9" spans="1:6">
      <c r="A9" s="18" t="s">
        <v>129</v>
      </c>
      <c r="B9" s="18" t="s">
        <v>132</v>
      </c>
      <c r="C9" s="19">
        <v>4451211722.6099997</v>
      </c>
      <c r="D9" s="35">
        <f>C9-C8</f>
        <v>1304163965.9999995</v>
      </c>
      <c r="E9" s="35">
        <v>10213134291.73</v>
      </c>
      <c r="F9" s="35">
        <f>E9-E8</f>
        <v>2670982360.2699995</v>
      </c>
    </row>
    <row r="10" spans="1:6">
      <c r="A10" s="18" t="s">
        <v>100</v>
      </c>
      <c r="B10" s="18"/>
      <c r="C10" s="19">
        <v>1106761395.54</v>
      </c>
      <c r="D10" s="35">
        <v>1106761395.54</v>
      </c>
      <c r="E10" s="35">
        <v>2420414721.9000001</v>
      </c>
      <c r="F10" s="35">
        <v>2420414721.9000001</v>
      </c>
    </row>
    <row r="11" spans="1:6">
      <c r="A11" s="18" t="s">
        <v>101</v>
      </c>
      <c r="B11" s="18" t="s">
        <v>104</v>
      </c>
      <c r="C11" s="19">
        <v>2532954868.98</v>
      </c>
      <c r="D11" s="35">
        <f>C11-C10</f>
        <v>1426193473.4400001</v>
      </c>
      <c r="E11" s="35">
        <v>5640666497.8400002</v>
      </c>
      <c r="F11" s="35">
        <f t="shared" ref="F11:F16" si="0">E11-E10</f>
        <v>3220251775.9400001</v>
      </c>
    </row>
    <row r="12" spans="1:6">
      <c r="A12" s="18" t="s">
        <v>102</v>
      </c>
      <c r="B12" s="18" t="s">
        <v>105</v>
      </c>
      <c r="C12" s="19">
        <v>3916537571.27</v>
      </c>
      <c r="D12" s="35">
        <f>C12-C11</f>
        <v>1383582702.29</v>
      </c>
      <c r="E12" s="14">
        <v>8729576790.7700005</v>
      </c>
      <c r="F12" s="14">
        <f t="shared" si="0"/>
        <v>3088910292.9300003</v>
      </c>
    </row>
    <row r="13" spans="1:6">
      <c r="A13" s="18" t="s">
        <v>103</v>
      </c>
      <c r="B13" s="18" t="s">
        <v>106</v>
      </c>
      <c r="C13" s="19">
        <v>6004706786.0799999</v>
      </c>
      <c r="D13" s="35">
        <f>C13-C12</f>
        <v>2088169214.8099999</v>
      </c>
      <c r="E13" s="14">
        <v>12013553185.42</v>
      </c>
      <c r="F13" s="14">
        <f t="shared" si="0"/>
        <v>3283976394.6499996</v>
      </c>
    </row>
    <row r="14" spans="1:6">
      <c r="A14" s="18" t="s">
        <v>87</v>
      </c>
      <c r="B14" s="18"/>
      <c r="C14" s="19">
        <v>1207460164</v>
      </c>
      <c r="D14" s="19">
        <v>1207460164</v>
      </c>
      <c r="E14" s="14">
        <v>2959582128.6199999</v>
      </c>
      <c r="F14" s="14">
        <v>2959582128.6199999</v>
      </c>
    </row>
    <row r="15" spans="1:6">
      <c r="A15" s="18" t="s">
        <v>90</v>
      </c>
      <c r="B15" s="19" t="s">
        <v>89</v>
      </c>
      <c r="C15" s="19">
        <v>3346960032.4219999</v>
      </c>
      <c r="D15" s="35">
        <f>C15-C14</f>
        <v>2139499868.4219999</v>
      </c>
      <c r="E15" s="14">
        <v>7109975615.1800003</v>
      </c>
      <c r="F15" s="14">
        <f t="shared" si="0"/>
        <v>4150393486.5600004</v>
      </c>
    </row>
    <row r="16" spans="1:6">
      <c r="A16" s="18" t="s">
        <v>91</v>
      </c>
      <c r="B16" s="19" t="s">
        <v>96</v>
      </c>
      <c r="C16" s="19">
        <v>4809760827.29</v>
      </c>
      <c r="D16" s="35">
        <f>C16-C15</f>
        <v>1462800794.868</v>
      </c>
      <c r="E16" s="14">
        <v>10876591720.34</v>
      </c>
      <c r="F16" s="14">
        <f t="shared" si="0"/>
        <v>3766616105.1599998</v>
      </c>
    </row>
    <row r="17" spans="1:6">
      <c r="A17" s="34" t="s">
        <v>99</v>
      </c>
      <c r="B17" s="18" t="s">
        <v>95</v>
      </c>
      <c r="C17" s="19"/>
      <c r="D17" s="18"/>
      <c r="E17" s="14"/>
      <c r="F1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6"/>
  <sheetViews>
    <sheetView zoomScale="70" zoomScaleNormal="70" workbookViewId="0">
      <pane ySplit="1" topLeftCell="A2" activePane="bottomLeft" state="frozen"/>
      <selection pane="bottomLeft" activeCell="A22" sqref="A22:XFD22"/>
    </sheetView>
  </sheetViews>
  <sheetFormatPr defaultRowHeight="13.5"/>
  <cols>
    <col min="1" max="1" width="15.625" bestFit="1" customWidth="1"/>
    <col min="2" max="2" width="14.5" bestFit="1" customWidth="1"/>
    <col min="3" max="5" width="13.5" bestFit="1" customWidth="1"/>
    <col min="6" max="8" width="12.25" bestFit="1" customWidth="1"/>
    <col min="9" max="9" width="13.5" bestFit="1" customWidth="1"/>
    <col min="10" max="12" width="12.25" bestFit="1" customWidth="1"/>
    <col min="13" max="16" width="13.5" bestFit="1" customWidth="1"/>
    <col min="17" max="17" width="10.25" bestFit="1" customWidth="1"/>
    <col min="18" max="18" width="10.625" bestFit="1" customWidth="1"/>
    <col min="19" max="22" width="14.125" bestFit="1" customWidth="1"/>
    <col min="23" max="23" width="10.75" bestFit="1" customWidth="1"/>
    <col min="24" max="25" width="10.75" customWidth="1"/>
    <col min="26" max="26" width="13.875" bestFit="1" customWidth="1"/>
  </cols>
  <sheetData>
    <row r="1" spans="1:16" s="2" customFormat="1">
      <c r="A1" s="17"/>
      <c r="B1" s="17"/>
      <c r="C1" s="73">
        <v>42004</v>
      </c>
      <c r="D1" s="73">
        <v>42369</v>
      </c>
      <c r="E1" s="73">
        <v>42735</v>
      </c>
      <c r="F1" s="73">
        <v>42825</v>
      </c>
      <c r="G1" s="73">
        <v>42916</v>
      </c>
      <c r="H1" s="73">
        <v>43008</v>
      </c>
      <c r="I1" s="73">
        <v>43100</v>
      </c>
      <c r="J1" s="73">
        <v>43190</v>
      </c>
      <c r="K1" s="73">
        <v>43281</v>
      </c>
      <c r="L1" s="73">
        <v>43373</v>
      </c>
      <c r="M1" s="73">
        <v>43465</v>
      </c>
      <c r="N1" s="73">
        <v>43830</v>
      </c>
      <c r="O1" s="73">
        <v>44196</v>
      </c>
      <c r="P1" s="73">
        <v>44561</v>
      </c>
    </row>
    <row r="2" spans="1:16">
      <c r="A2" s="95" t="s">
        <v>62</v>
      </c>
      <c r="B2" s="17" t="s">
        <v>207</v>
      </c>
      <c r="C2" s="70">
        <v>7497256418.79</v>
      </c>
      <c r="D2" s="70">
        <v>8627411561.6100006</v>
      </c>
      <c r="E2" s="70">
        <v>10213134291.73</v>
      </c>
      <c r="F2" s="70">
        <v>2420414721.9000001</v>
      </c>
      <c r="G2" s="70">
        <v>5640666497.8400002</v>
      </c>
      <c r="H2" s="70">
        <v>8729576790.7700005</v>
      </c>
      <c r="I2" s="70">
        <v>12013553185.42</v>
      </c>
      <c r="J2" s="70">
        <v>2959582128.6199999</v>
      </c>
      <c r="K2" s="70">
        <v>7109975615.1800003</v>
      </c>
      <c r="L2" s="71">
        <v>10876591720.34</v>
      </c>
      <c r="M2" s="70">
        <f>FORECAST(M1,D2:L2,D1:L1)</f>
        <v>7868079847.428566</v>
      </c>
    </row>
    <row r="3" spans="1:16">
      <c r="A3" s="96"/>
      <c r="B3" s="17" t="s">
        <v>213</v>
      </c>
      <c r="C3" s="70">
        <v>7497256418.79</v>
      </c>
      <c r="D3" s="70">
        <v>8627411561.6100006</v>
      </c>
      <c r="E3" s="70">
        <v>10213134291.73</v>
      </c>
      <c r="F3" s="70"/>
      <c r="G3" s="70"/>
      <c r="H3" s="70"/>
      <c r="I3" s="70">
        <v>12013553185.42</v>
      </c>
      <c r="J3" s="70">
        <f>J2+I2-F2</f>
        <v>12552720592.140001</v>
      </c>
      <c r="K3" s="70">
        <f>K2+I2-G2</f>
        <v>13482862302.759998</v>
      </c>
      <c r="L3" s="71">
        <f>L2+I2-H2</f>
        <v>14160568114.990002</v>
      </c>
    </row>
    <row r="4" spans="1:16">
      <c r="A4" s="96"/>
      <c r="B4" s="13" t="s">
        <v>166</v>
      </c>
      <c r="C4" s="19">
        <v>6155923431.2700005</v>
      </c>
      <c r="D4" s="19">
        <v>6945208130.6999998</v>
      </c>
      <c r="E4" s="19">
        <f>7847007319.59</f>
        <v>7847007319.5900002</v>
      </c>
      <c r="F4" s="19"/>
      <c r="G4" s="19">
        <v>4426927684.7299995</v>
      </c>
      <c r="H4" s="19"/>
      <c r="I4" s="19">
        <f>9383457076.5</f>
        <v>9383457076.5</v>
      </c>
      <c r="J4" s="19"/>
      <c r="K4" s="19">
        <v>5775804576.8199997</v>
      </c>
      <c r="L4" s="49"/>
    </row>
    <row r="5" spans="1:16">
      <c r="A5" s="96"/>
      <c r="B5" s="13" t="s">
        <v>168</v>
      </c>
      <c r="C5" s="19">
        <v>956099210.65999997</v>
      </c>
      <c r="D5" s="19">
        <v>1353174988.1400001</v>
      </c>
      <c r="E5" s="19">
        <f>2044164023.29</f>
        <v>2044164023.29</v>
      </c>
      <c r="F5" s="19"/>
      <c r="G5" s="19">
        <v>1005909701.97</v>
      </c>
      <c r="H5" s="19"/>
      <c r="I5" s="19">
        <f>2333135373.83</f>
        <v>2333135373.8299999</v>
      </c>
      <c r="J5" s="19"/>
      <c r="K5" s="19">
        <v>1196404933.74</v>
      </c>
      <c r="L5" s="49"/>
    </row>
    <row r="6" spans="1:16" s="69" customFormat="1">
      <c r="A6" s="97"/>
      <c r="B6" s="72" t="s">
        <v>167</v>
      </c>
      <c r="C6" s="46">
        <f t="shared" ref="C6:K6" si="0">C2-C4-C5</f>
        <v>385233776.85999954</v>
      </c>
      <c r="D6" s="46">
        <f t="shared" si="0"/>
        <v>329028442.7700007</v>
      </c>
      <c r="E6" s="46">
        <f t="shared" si="0"/>
        <v>321962948.84999943</v>
      </c>
      <c r="F6" s="46"/>
      <c r="G6" s="46">
        <f t="shared" si="0"/>
        <v>207829111.14000058</v>
      </c>
      <c r="H6" s="46"/>
      <c r="I6" s="46">
        <f t="shared" si="0"/>
        <v>296960735.09000015</v>
      </c>
      <c r="J6" s="46"/>
      <c r="K6" s="46">
        <f t="shared" si="0"/>
        <v>137766104.6200006</v>
      </c>
      <c r="L6" s="46"/>
    </row>
    <row r="7" spans="1:16">
      <c r="A7" s="98" t="s">
        <v>208</v>
      </c>
      <c r="B7" s="13" t="s">
        <v>63</v>
      </c>
      <c r="C7" s="19">
        <v>2234473955.6199999</v>
      </c>
      <c r="D7" s="19">
        <v>2539763220.9099998</v>
      </c>
      <c r="E7" s="19">
        <v>3019106728.3400002</v>
      </c>
      <c r="F7" s="19"/>
      <c r="G7" s="19">
        <v>1646610224.0799999</v>
      </c>
      <c r="H7" s="19"/>
      <c r="I7" s="19">
        <v>3276730966.1999998</v>
      </c>
      <c r="J7" s="19"/>
      <c r="K7" s="19">
        <v>2003923116.5899999</v>
      </c>
      <c r="L7" s="19">
        <v>3345620105.0700002</v>
      </c>
    </row>
    <row r="8" spans="1:16">
      <c r="A8" s="99"/>
      <c r="B8" s="13" t="s">
        <v>153</v>
      </c>
      <c r="C8" s="19">
        <v>1901801646.9400001</v>
      </c>
      <c r="D8" s="19">
        <v>1729332379.2</v>
      </c>
      <c r="E8" s="19">
        <v>1944385090.4000001</v>
      </c>
      <c r="F8" s="19"/>
      <c r="G8" s="19">
        <v>1015211973.87</v>
      </c>
      <c r="H8" s="19"/>
      <c r="I8" s="19">
        <v>1997531387.8499999</v>
      </c>
      <c r="J8" s="19"/>
      <c r="K8" s="19">
        <v>1196167824.1700001</v>
      </c>
      <c r="L8" s="19">
        <v>1696830021.9000001</v>
      </c>
    </row>
    <row r="9" spans="1:16">
      <c r="A9" s="99"/>
      <c r="B9" s="13" t="s">
        <v>154</v>
      </c>
      <c r="C9" s="19">
        <v>539307920.46000004</v>
      </c>
      <c r="D9" s="19">
        <v>436324004.60000002</v>
      </c>
      <c r="E9" s="19">
        <v>469217823.33999997</v>
      </c>
      <c r="F9" s="19"/>
      <c r="G9" s="19">
        <v>243595069.63</v>
      </c>
      <c r="H9" s="19"/>
      <c r="I9" s="19">
        <v>525970044.69</v>
      </c>
      <c r="J9" s="19"/>
      <c r="K9" s="19">
        <v>293382896.63</v>
      </c>
      <c r="L9" s="19">
        <v>322093626.69</v>
      </c>
    </row>
    <row r="10" spans="1:16">
      <c r="A10" s="99"/>
      <c r="B10" s="13" t="s">
        <v>155</v>
      </c>
      <c r="C10" s="19">
        <v>-177407116.83000001</v>
      </c>
      <c r="D10" s="19">
        <f>-129330393.9</f>
        <v>-129330393.90000001</v>
      </c>
      <c r="E10" s="19">
        <v>-142063223.63</v>
      </c>
      <c r="F10" s="19"/>
      <c r="G10" s="19">
        <v>-112817911.45</v>
      </c>
      <c r="H10" s="19"/>
      <c r="I10" s="19">
        <v>-128343374.78</v>
      </c>
      <c r="J10" s="19"/>
      <c r="K10" s="19">
        <v>-55938982.880000003</v>
      </c>
      <c r="L10" s="19">
        <v>-80478112.049999997</v>
      </c>
    </row>
    <row r="11" spans="1:16">
      <c r="A11" s="99"/>
      <c r="B11" s="13" t="s">
        <v>212</v>
      </c>
      <c r="C11" s="19">
        <v>0</v>
      </c>
      <c r="D11" s="19">
        <v>0</v>
      </c>
      <c r="E11" s="19">
        <v>0</v>
      </c>
      <c r="F11" s="19"/>
      <c r="G11" s="19">
        <v>0</v>
      </c>
      <c r="H11" s="19"/>
      <c r="I11" s="19">
        <v>0</v>
      </c>
      <c r="J11" s="19"/>
      <c r="K11" s="19">
        <v>0</v>
      </c>
      <c r="L11" s="19">
        <v>119904331.90000001</v>
      </c>
    </row>
    <row r="12" spans="1:16">
      <c r="A12" s="99"/>
      <c r="B12" s="13" t="s">
        <v>161</v>
      </c>
      <c r="C12" s="19">
        <v>269945051.95999998</v>
      </c>
      <c r="D12" s="19">
        <v>310465362.11000001</v>
      </c>
      <c r="E12" s="19">
        <v>359170361.47000003</v>
      </c>
      <c r="F12" s="19"/>
      <c r="G12" s="19">
        <v>182302780</v>
      </c>
      <c r="H12" s="19"/>
      <c r="I12" s="19">
        <v>398232001.35000002</v>
      </c>
      <c r="J12" s="19"/>
      <c r="K12" s="19">
        <v>217611483.88</v>
      </c>
      <c r="L12" s="19">
        <v>311786122.10000002</v>
      </c>
    </row>
    <row r="13" spans="1:16">
      <c r="A13" s="100"/>
      <c r="B13" s="13" t="s">
        <v>162</v>
      </c>
      <c r="C13" s="19">
        <v>153898984.88999999</v>
      </c>
      <c r="D13" s="19">
        <v>242597490.44999999</v>
      </c>
      <c r="E13" s="19">
        <v>260927694</v>
      </c>
      <c r="F13" s="19"/>
      <c r="G13" s="19">
        <v>104349198.97</v>
      </c>
      <c r="H13" s="19"/>
      <c r="I13" s="19">
        <v>181003449.90000001</v>
      </c>
      <c r="J13" s="19"/>
      <c r="K13" s="19">
        <v>62511662.850000001</v>
      </c>
      <c r="L13" s="19">
        <v>120335255.29000001</v>
      </c>
    </row>
    <row r="14" spans="1:16">
      <c r="A14" s="17" t="s">
        <v>204</v>
      </c>
      <c r="B14" s="17"/>
      <c r="C14" s="19">
        <v>0</v>
      </c>
      <c r="D14" s="19">
        <v>-657407.87</v>
      </c>
      <c r="E14" s="19">
        <v>73972.14</v>
      </c>
      <c r="F14" s="19"/>
      <c r="G14" s="19">
        <v>5292364.51</v>
      </c>
      <c r="H14" s="19"/>
      <c r="I14" s="19">
        <v>748797400.50999999</v>
      </c>
      <c r="J14" s="19"/>
      <c r="K14" s="19">
        <v>149940561.49000001</v>
      </c>
      <c r="L14" s="19">
        <v>169785415.05000001</v>
      </c>
    </row>
    <row r="15" spans="1:16">
      <c r="A15" s="17" t="s">
        <v>205</v>
      </c>
      <c r="B15" s="17"/>
      <c r="C15" s="19">
        <v>0</v>
      </c>
      <c r="D15" s="19">
        <v>0</v>
      </c>
      <c r="E15" s="19">
        <v>0</v>
      </c>
      <c r="F15" s="19"/>
      <c r="G15" s="19">
        <v>522801844.62</v>
      </c>
      <c r="H15" s="19"/>
      <c r="I15" s="19">
        <v>735607758.11000001</v>
      </c>
      <c r="J15" s="19"/>
      <c r="K15" s="19">
        <v>525782908.43000001</v>
      </c>
      <c r="L15" s="19">
        <v>610727616.63</v>
      </c>
    </row>
    <row r="16" spans="1:16" s="69" customFormat="1">
      <c r="A16" s="40" t="s">
        <v>156</v>
      </c>
      <c r="B16" s="40"/>
      <c r="C16" s="46">
        <f t="shared" ref="C16:G16" si="1">C2-SUM(C7:C13)+C14+C15</f>
        <v>2575235975.749999</v>
      </c>
      <c r="D16" s="46">
        <f t="shared" si="1"/>
        <v>3497602090.3700008</v>
      </c>
      <c r="E16" s="46">
        <f t="shared" si="1"/>
        <v>4302463789.9499998</v>
      </c>
      <c r="F16" s="46"/>
      <c r="G16" s="46">
        <f t="shared" si="1"/>
        <v>3089509371.8700004</v>
      </c>
      <c r="H16" s="46"/>
      <c r="I16" s="46">
        <f>I2-SUM(I7:I13)+I14+I15</f>
        <v>7246833868.8300009</v>
      </c>
      <c r="J16" s="46"/>
      <c r="K16" s="46">
        <f>K2-SUM(K7:K13)+K14+K15</f>
        <v>4068041083.8600001</v>
      </c>
      <c r="L16" s="46">
        <f>L2-SUM(L7:L13)+L14+L15</f>
        <v>5821013401.1200008</v>
      </c>
    </row>
    <row r="17" spans="1:12">
      <c r="A17" s="17" t="s">
        <v>209</v>
      </c>
      <c r="B17" s="17"/>
      <c r="C17" s="19">
        <v>384303225.20999998</v>
      </c>
      <c r="D17" s="19">
        <v>477214197.95999998</v>
      </c>
      <c r="E17" s="48">
        <v>1039636152.66</v>
      </c>
      <c r="F17" s="48"/>
      <c r="G17" s="48">
        <v>4949190.62</v>
      </c>
      <c r="H17" s="48"/>
      <c r="I17" s="19">
        <v>3853461.45</v>
      </c>
      <c r="J17" s="19"/>
      <c r="K17" s="19">
        <v>1068886.54</v>
      </c>
      <c r="L17" s="19">
        <v>6760174.4900000002</v>
      </c>
    </row>
    <row r="18" spans="1:12">
      <c r="A18" s="17" t="s">
        <v>210</v>
      </c>
      <c r="B18" s="17"/>
      <c r="C18" s="19">
        <v>-11251242.68</v>
      </c>
      <c r="D18" s="19">
        <v>-6860603.9400000004</v>
      </c>
      <c r="E18" s="48">
        <v>-23986320.18</v>
      </c>
      <c r="F18" s="48"/>
      <c r="G18" s="48">
        <v>-16533734.82</v>
      </c>
      <c r="H18" s="48"/>
      <c r="I18" s="19">
        <v>-16273125.59</v>
      </c>
      <c r="J18" s="19"/>
      <c r="K18" s="19">
        <v>-7391852.8700000001</v>
      </c>
      <c r="L18" s="19">
        <v>-9847069.25</v>
      </c>
    </row>
    <row r="19" spans="1:12">
      <c r="A19" s="40" t="s">
        <v>211</v>
      </c>
      <c r="B19" s="40"/>
      <c r="C19" s="46">
        <f t="shared" ref="C19" si="2">SUM(C16:C18)</f>
        <v>2948287958.2799993</v>
      </c>
      <c r="D19" s="46">
        <f>SUM(D16:D18)</f>
        <v>3967955684.3900008</v>
      </c>
      <c r="E19" s="46">
        <f t="shared" ref="E19:L19" si="3">SUM(E16:E18)</f>
        <v>5318113622.4299994</v>
      </c>
      <c r="F19" s="46"/>
      <c r="G19" s="46">
        <f t="shared" si="3"/>
        <v>3077924827.6700001</v>
      </c>
      <c r="H19" s="46"/>
      <c r="I19" s="46">
        <f t="shared" si="3"/>
        <v>7234414204.6900005</v>
      </c>
      <c r="J19" s="46"/>
      <c r="K19" s="46">
        <f t="shared" si="3"/>
        <v>4061718117.5300002</v>
      </c>
      <c r="L19" s="46">
        <f t="shared" si="3"/>
        <v>5817926506.3600006</v>
      </c>
    </row>
    <row r="20" spans="1:12">
      <c r="A20" s="17" t="s">
        <v>174</v>
      </c>
      <c r="B20" s="17"/>
      <c r="C20" s="19">
        <v>531169769.85000002</v>
      </c>
      <c r="D20" s="19">
        <v>582182844.01999998</v>
      </c>
      <c r="E20" s="48">
        <v>868404108.02999997</v>
      </c>
      <c r="F20" s="48"/>
      <c r="G20" s="19">
        <v>554505472.49000001</v>
      </c>
      <c r="H20" s="19"/>
      <c r="I20" s="19">
        <v>1258329392.71</v>
      </c>
      <c r="J20" s="19"/>
      <c r="K20" s="19">
        <v>724004097.94000006</v>
      </c>
      <c r="L20" s="19">
        <v>1021160546.04</v>
      </c>
    </row>
    <row r="21" spans="1:12" s="69" customFormat="1">
      <c r="A21" s="40" t="s">
        <v>206</v>
      </c>
      <c r="B21" s="40"/>
      <c r="C21" s="47">
        <f t="shared" ref="C21" si="4">C20/C19</f>
        <v>0.18016210674342645</v>
      </c>
      <c r="D21" s="47">
        <f>D20/D19</f>
        <v>0.14672110535667429</v>
      </c>
      <c r="E21" s="47">
        <f t="shared" ref="E21:L21" si="5">E20/E19</f>
        <v>0.16329175525084044</v>
      </c>
      <c r="F21" s="47"/>
      <c r="G21" s="47">
        <f t="shared" si="5"/>
        <v>0.18015562547372627</v>
      </c>
      <c r="H21" s="47"/>
      <c r="I21" s="47">
        <f t="shared" si="5"/>
        <v>0.17393659764383373</v>
      </c>
      <c r="J21" s="47"/>
      <c r="K21" s="47">
        <f t="shared" si="5"/>
        <v>0.17825070007080632</v>
      </c>
      <c r="L21" s="47">
        <f t="shared" si="5"/>
        <v>0.17551967095557064</v>
      </c>
    </row>
    <row r="22" spans="1:12" s="69" customFormat="1">
      <c r="A22" s="40" t="s">
        <v>43</v>
      </c>
      <c r="B22" s="40"/>
      <c r="C22" s="46">
        <f t="shared" ref="C22" si="6">C19-C20</f>
        <v>2417118188.4299994</v>
      </c>
      <c r="D22" s="46">
        <f>D19-D20</f>
        <v>3385772840.3700008</v>
      </c>
      <c r="E22" s="46">
        <f t="shared" ref="E22:L22" si="7">E19-E20</f>
        <v>4449709514.3999996</v>
      </c>
      <c r="F22" s="46"/>
      <c r="G22" s="46">
        <f t="shared" si="7"/>
        <v>2523419355.1800003</v>
      </c>
      <c r="H22" s="46"/>
      <c r="I22" s="46">
        <f t="shared" si="7"/>
        <v>5976084811.9800005</v>
      </c>
      <c r="J22" s="46"/>
      <c r="K22" s="46">
        <f t="shared" si="7"/>
        <v>3337714019.5900002</v>
      </c>
      <c r="L22" s="46">
        <f t="shared" si="7"/>
        <v>4796765960.3200006</v>
      </c>
    </row>
    <row r="23" spans="1:12" s="69" customFormat="1">
      <c r="A23" s="40" t="s">
        <v>163</v>
      </c>
      <c r="B23" s="40"/>
      <c r="C23" s="47">
        <f t="shared" ref="C23:L23" si="8">C7/C2</f>
        <v>0.29803888660121713</v>
      </c>
      <c r="D23" s="47">
        <f t="shared" si="8"/>
        <v>0.29438299109449728</v>
      </c>
      <c r="E23" s="47">
        <f t="shared" si="8"/>
        <v>0.29561020565299889</v>
      </c>
      <c r="F23" s="47"/>
      <c r="G23" s="47">
        <f t="shared" si="8"/>
        <v>0.29191767049346778</v>
      </c>
      <c r="H23" s="47"/>
      <c r="I23" s="47">
        <f t="shared" si="8"/>
        <v>0.27275285801179427</v>
      </c>
      <c r="J23" s="47"/>
      <c r="K23" s="47">
        <f t="shared" si="8"/>
        <v>0.28184669330110879</v>
      </c>
      <c r="L23" s="47">
        <f t="shared" si="8"/>
        <v>0.30759820641363717</v>
      </c>
    </row>
    <row r="24" spans="1:12" s="69" customFormat="1">
      <c r="A24" s="40" t="s">
        <v>157</v>
      </c>
      <c r="B24" s="40"/>
      <c r="C24" s="47">
        <f t="shared" ref="C24:L24" si="9">C8/C2</f>
        <v>0.25366634682169992</v>
      </c>
      <c r="D24" s="47">
        <f t="shared" si="9"/>
        <v>0.20044625979072703</v>
      </c>
      <c r="E24" s="47">
        <f t="shared" si="9"/>
        <v>0.1903808404805222</v>
      </c>
      <c r="F24" s="47"/>
      <c r="G24" s="47">
        <f t="shared" si="9"/>
        <v>0.17998085408147399</v>
      </c>
      <c r="H24" s="47"/>
      <c r="I24" s="47">
        <f t="shared" si="9"/>
        <v>0.16627315474611312</v>
      </c>
      <c r="J24" s="47"/>
      <c r="K24" s="47">
        <f t="shared" si="9"/>
        <v>0.16823796436321775</v>
      </c>
      <c r="L24" s="47">
        <f t="shared" si="9"/>
        <v>0.15600751278792668</v>
      </c>
    </row>
    <row r="25" spans="1:12" s="69" customFormat="1">
      <c r="A25" s="40" t="s">
        <v>158</v>
      </c>
      <c r="B25" s="40"/>
      <c r="C25" s="47">
        <f t="shared" ref="C25:L25" si="10">C9/C2</f>
        <v>7.193403697762818E-2</v>
      </c>
      <c r="D25" s="47">
        <f t="shared" si="10"/>
        <v>5.0574149788047855E-2</v>
      </c>
      <c r="E25" s="47">
        <f t="shared" si="10"/>
        <v>4.5942588233657634E-2</v>
      </c>
      <c r="F25" s="47"/>
      <c r="G25" s="47">
        <f t="shared" si="10"/>
        <v>4.3185511804904736E-2</v>
      </c>
      <c r="H25" s="47"/>
      <c r="I25" s="47">
        <f t="shared" si="10"/>
        <v>4.3781388950633909E-2</v>
      </c>
      <c r="J25" s="47"/>
      <c r="K25" s="47">
        <f t="shared" si="10"/>
        <v>4.1263558767152334E-2</v>
      </c>
      <c r="L25" s="47">
        <f t="shared" si="10"/>
        <v>2.9613470374884258E-2</v>
      </c>
    </row>
    <row r="26" spans="1:12" s="69" customFormat="1">
      <c r="A26" s="40" t="s">
        <v>159</v>
      </c>
      <c r="B26" s="40"/>
      <c r="C26" s="47">
        <f t="shared" ref="C26:L26" si="11">C16/C2</f>
        <v>0.34349044929233224</v>
      </c>
      <c r="D26" s="47">
        <f t="shared" si="11"/>
        <v>0.40540573095336341</v>
      </c>
      <c r="E26" s="47">
        <f t="shared" si="11"/>
        <v>0.42126771929689438</v>
      </c>
      <c r="F26" s="47"/>
      <c r="G26" s="47">
        <f t="shared" si="11"/>
        <v>0.54772062362720375</v>
      </c>
      <c r="H26" s="47"/>
      <c r="I26" s="47">
        <f t="shared" si="11"/>
        <v>0.60322152463810375</v>
      </c>
      <c r="J26" s="47"/>
      <c r="K26" s="47">
        <f t="shared" si="11"/>
        <v>0.57215963936284342</v>
      </c>
      <c r="L26" s="47">
        <f t="shared" si="11"/>
        <v>0.53518726737110967</v>
      </c>
    </row>
  </sheetData>
  <mergeCells count="2">
    <mergeCell ref="A2:A6"/>
    <mergeCell ref="A7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"/>
  <sheetViews>
    <sheetView zoomScale="85" zoomScaleNormal="85" workbookViewId="0">
      <selection activeCell="D13" sqref="D13"/>
    </sheetView>
  </sheetViews>
  <sheetFormatPr defaultRowHeight="13.5"/>
  <cols>
    <col min="2" max="2" width="14.75" bestFit="1" customWidth="1"/>
    <col min="3" max="3" width="9.75" bestFit="1" customWidth="1"/>
    <col min="4" max="4" width="9.5" bestFit="1" customWidth="1"/>
    <col min="5" max="5" width="12.375" bestFit="1" customWidth="1"/>
    <col min="6" max="6" width="9.75" bestFit="1" customWidth="1"/>
    <col min="7" max="8" width="12.5" bestFit="1" customWidth="1"/>
    <col min="9" max="10" width="9.5" customWidth="1"/>
    <col min="11" max="11" width="14.375" bestFit="1" customWidth="1"/>
    <col min="12" max="12" width="9.5" bestFit="1" customWidth="1"/>
    <col min="13" max="14" width="8.5" customWidth="1"/>
  </cols>
  <sheetData>
    <row r="1" spans="1:14" s="7" customFormat="1">
      <c r="A1" s="17" t="s">
        <v>55</v>
      </c>
      <c r="B1" s="17" t="s">
        <v>88</v>
      </c>
      <c r="C1" s="20" t="s">
        <v>53</v>
      </c>
      <c r="D1" s="17" t="s">
        <v>56</v>
      </c>
      <c r="E1" s="17" t="s">
        <v>65</v>
      </c>
      <c r="F1" s="17" t="s">
        <v>62</v>
      </c>
      <c r="G1" s="20" t="s">
        <v>47</v>
      </c>
      <c r="H1" s="20" t="s">
        <v>48</v>
      </c>
      <c r="I1" s="17" t="s">
        <v>63</v>
      </c>
      <c r="J1" s="17" t="s">
        <v>64</v>
      </c>
      <c r="K1" s="3" t="s">
        <v>46</v>
      </c>
      <c r="L1" s="17" t="s">
        <v>43</v>
      </c>
      <c r="M1" s="17" t="s">
        <v>66</v>
      </c>
      <c r="N1" s="17" t="s">
        <v>69</v>
      </c>
    </row>
    <row r="2" spans="1:14" s="10" customFormat="1">
      <c r="A2" s="13">
        <v>2014</v>
      </c>
      <c r="B2" s="13"/>
      <c r="C2" s="14">
        <v>367938563.30000001</v>
      </c>
      <c r="D2" s="14">
        <v>302335116</v>
      </c>
      <c r="E2" s="14"/>
      <c r="F2" s="14">
        <v>7497256418.79</v>
      </c>
      <c r="G2" s="14">
        <f>G3/1.1282</f>
        <v>6156007915.883708</v>
      </c>
      <c r="H2" s="14">
        <f>H3/1.4353</f>
        <v>942781988.53201425</v>
      </c>
      <c r="I2" s="14"/>
      <c r="J2" s="14"/>
      <c r="K2" s="5"/>
      <c r="L2" s="14">
        <v>2414829929.04</v>
      </c>
      <c r="M2" s="16">
        <f>L2/F2</f>
        <v>0.32209514976543047</v>
      </c>
      <c r="N2" s="16"/>
    </row>
    <row r="3" spans="1:14">
      <c r="A3" s="15">
        <v>2015</v>
      </c>
      <c r="B3" s="15"/>
      <c r="C3" s="14">
        <v>470427666.35000002</v>
      </c>
      <c r="D3" s="14">
        <v>4368416750</v>
      </c>
      <c r="E3" s="14">
        <f>D3*0.25</f>
        <v>1092104187.5</v>
      </c>
      <c r="F3" s="14">
        <v>8627411561.6100006</v>
      </c>
      <c r="G3" s="14">
        <v>6945208130.6999998</v>
      </c>
      <c r="H3" s="14">
        <v>1353174988.1400001</v>
      </c>
      <c r="I3" s="14">
        <v>2539763220.9099998</v>
      </c>
      <c r="J3" s="16">
        <f>1-I3/F3</f>
        <v>0.70561700890550272</v>
      </c>
      <c r="K3" s="5">
        <v>2957722600</v>
      </c>
      <c r="L3" s="14">
        <v>3389142023.9400001</v>
      </c>
      <c r="M3" s="16">
        <f>L3/F3</f>
        <v>0.39283416581410158</v>
      </c>
      <c r="N3" s="16">
        <f>E3/L3</f>
        <v>0.32223618242778429</v>
      </c>
    </row>
    <row r="4" spans="1:14">
      <c r="A4" s="15">
        <v>2016</v>
      </c>
      <c r="B4" s="15"/>
      <c r="C4" s="14">
        <v>1036645852.3200001</v>
      </c>
      <c r="D4" s="14">
        <f>D3*2</f>
        <v>8736833500</v>
      </c>
      <c r="E4" s="14">
        <f>D4*0.408</f>
        <v>3564628068</v>
      </c>
      <c r="F4" s="14">
        <v>10213134291.73</v>
      </c>
      <c r="G4" s="14"/>
      <c r="H4" s="14"/>
      <c r="I4" s="14">
        <v>3019106728.3400002</v>
      </c>
      <c r="J4" s="16">
        <f>1-I4/F4</f>
        <v>0.70438979434700111</v>
      </c>
      <c r="K4" s="5">
        <v>3421626400</v>
      </c>
      <c r="L4" s="14">
        <v>4451211722.6099997</v>
      </c>
      <c r="M4" s="16">
        <f>L4/F4</f>
        <v>0.43583209575676796</v>
      </c>
      <c r="N4" s="16">
        <f>E4/L4</f>
        <v>0.80082195369261266</v>
      </c>
    </row>
    <row r="5" spans="1:14">
      <c r="A5" s="15">
        <v>2017</v>
      </c>
      <c r="B5" s="15"/>
      <c r="C5" s="14">
        <v>735607758.11000001</v>
      </c>
      <c r="D5" s="14">
        <f>D4*1.4</f>
        <v>12231566900</v>
      </c>
      <c r="E5" s="14">
        <f>D5*0.1</f>
        <v>1223156690</v>
      </c>
      <c r="F5" s="14">
        <v>12013553185.42</v>
      </c>
      <c r="G5" s="14">
        <v>9380000000</v>
      </c>
      <c r="H5" s="14">
        <v>2330000000</v>
      </c>
      <c r="I5" s="14">
        <v>3276730966.1999998</v>
      </c>
      <c r="J5" s="16">
        <f>1-I5/F5</f>
        <v>0.72724714198820573</v>
      </c>
      <c r="K5" s="5">
        <v>3922950100</v>
      </c>
      <c r="L5" s="14">
        <v>6004706786.0799999</v>
      </c>
      <c r="M5" s="16">
        <f>L5/F5</f>
        <v>0.49982771070323206</v>
      </c>
      <c r="N5" s="16">
        <f>E5/L5</f>
        <v>0.2036996532179555</v>
      </c>
    </row>
    <row r="6" spans="1:14">
      <c r="A6" s="15" t="s">
        <v>87</v>
      </c>
      <c r="B6" s="14" t="s">
        <v>89</v>
      </c>
      <c r="C6" s="14">
        <v>171552407.31</v>
      </c>
      <c r="D6" s="14"/>
      <c r="E6" s="14"/>
      <c r="F6" s="14"/>
      <c r="G6" s="14"/>
      <c r="H6" s="14"/>
      <c r="I6" s="14"/>
      <c r="J6" s="16"/>
      <c r="K6" s="5"/>
      <c r="L6" s="14"/>
      <c r="M6" s="16"/>
      <c r="N6" s="16"/>
    </row>
    <row r="7" spans="1:14">
      <c r="A7" s="15" t="s">
        <v>92</v>
      </c>
      <c r="B7" s="14" t="s">
        <v>96</v>
      </c>
      <c r="C7" s="14">
        <v>525782908.43000001</v>
      </c>
      <c r="D7" s="14"/>
      <c r="E7" s="14"/>
      <c r="F7" s="14">
        <v>7109975615.1800003</v>
      </c>
      <c r="G7" s="14"/>
      <c r="H7" s="14"/>
      <c r="I7" s="14"/>
      <c r="J7" s="16"/>
      <c r="K7" s="5"/>
      <c r="L7" s="14">
        <v>3346960032.4200001</v>
      </c>
      <c r="M7" s="16"/>
      <c r="N7" s="16"/>
    </row>
    <row r="8" spans="1:14">
      <c r="A8" s="15" t="s">
        <v>91</v>
      </c>
      <c r="B8" s="15" t="s">
        <v>95</v>
      </c>
      <c r="C8" s="14"/>
      <c r="D8" s="14">
        <f>D5*1.2</f>
        <v>14677880280</v>
      </c>
      <c r="E8" s="14"/>
      <c r="F8" s="14">
        <v>10876591720.34</v>
      </c>
      <c r="G8" s="14"/>
      <c r="H8" s="14"/>
      <c r="I8" s="14">
        <v>3345620105.0700002</v>
      </c>
      <c r="J8" s="16">
        <f>1-I8/F8</f>
        <v>0.69240179358636289</v>
      </c>
      <c r="K8" s="14"/>
      <c r="L8" s="14">
        <v>4809760827.29</v>
      </c>
      <c r="M8" s="14"/>
      <c r="N8" s="1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K7" sqref="K7"/>
    </sheetView>
  </sheetViews>
  <sheetFormatPr defaultRowHeight="13.5"/>
  <cols>
    <col min="1" max="1" width="8.5" bestFit="1" customWidth="1"/>
    <col min="2" max="2" width="10" bestFit="1" customWidth="1"/>
    <col min="3" max="3" width="8.5" bestFit="1" customWidth="1"/>
    <col min="4" max="4" width="10" bestFit="1" customWidth="1"/>
    <col min="5" max="5" width="9.375" bestFit="1" customWidth="1"/>
    <col min="6" max="7" width="7.5" bestFit="1" customWidth="1"/>
    <col min="8" max="9" width="10" customWidth="1"/>
    <col min="10" max="10" width="12.375" bestFit="1" customWidth="1"/>
    <col min="11" max="12" width="10" bestFit="1" customWidth="1"/>
  </cols>
  <sheetData>
    <row r="1" spans="1:13" s="2" customFormat="1">
      <c r="A1" s="17" t="s">
        <v>176</v>
      </c>
      <c r="B1" s="101" t="s">
        <v>191</v>
      </c>
      <c r="C1" s="102"/>
      <c r="D1" s="102"/>
      <c r="E1" s="102"/>
      <c r="F1" s="102"/>
      <c r="G1" s="102"/>
      <c r="H1" s="103"/>
      <c r="I1" s="17" t="s">
        <v>180</v>
      </c>
      <c r="J1" s="17" t="s">
        <v>181</v>
      </c>
      <c r="K1" s="17" t="s">
        <v>177</v>
      </c>
      <c r="L1" s="17" t="s">
        <v>202</v>
      </c>
      <c r="M1" s="17" t="s">
        <v>178</v>
      </c>
    </row>
    <row r="2" spans="1:13" s="59" customFormat="1" ht="27">
      <c r="A2" s="17"/>
      <c r="B2" s="21" t="s">
        <v>189</v>
      </c>
      <c r="C2" s="61" t="s">
        <v>190</v>
      </c>
      <c r="D2" s="61" t="s">
        <v>188</v>
      </c>
      <c r="E2" s="61" t="s">
        <v>187</v>
      </c>
      <c r="F2" s="61" t="s">
        <v>186</v>
      </c>
      <c r="G2" s="17" t="s">
        <v>182</v>
      </c>
      <c r="H2" s="17" t="s">
        <v>183</v>
      </c>
      <c r="I2" s="17"/>
      <c r="J2" s="17"/>
      <c r="K2" s="17"/>
      <c r="L2" s="17"/>
      <c r="M2" s="17"/>
    </row>
    <row r="3" spans="1:13">
      <c r="A3" s="18">
        <v>2014</v>
      </c>
      <c r="B3" s="5"/>
      <c r="C3" s="5"/>
      <c r="D3" s="5"/>
      <c r="E3" s="5"/>
      <c r="F3" s="5"/>
      <c r="G3" s="5"/>
      <c r="H3" s="5"/>
      <c r="I3" s="5"/>
      <c r="J3" s="5"/>
      <c r="K3" s="18"/>
      <c r="L3" s="19">
        <v>7497256418.79</v>
      </c>
      <c r="M3" s="18"/>
    </row>
    <row r="4" spans="1:13">
      <c r="A4" s="18">
        <v>2015</v>
      </c>
      <c r="B4" s="5"/>
      <c r="C4" s="5"/>
      <c r="D4" s="5"/>
      <c r="E4" s="5"/>
      <c r="F4" s="5"/>
      <c r="G4" s="5"/>
      <c r="H4" s="5"/>
      <c r="I4" s="5"/>
      <c r="J4" s="5"/>
      <c r="K4" s="5">
        <v>2181654487.9499998</v>
      </c>
      <c r="L4" s="19">
        <v>8627411561.6100006</v>
      </c>
      <c r="M4" s="38">
        <f>K4/L4</f>
        <v>0.2528747437595143</v>
      </c>
    </row>
    <row r="5" spans="1:13">
      <c r="A5" s="18">
        <v>2016</v>
      </c>
      <c r="B5" s="5">
        <v>819110828.97000003</v>
      </c>
      <c r="C5" s="5">
        <v>1126495355.55</v>
      </c>
      <c r="D5" s="5">
        <v>224480404.72999999</v>
      </c>
      <c r="E5" s="5">
        <v>77047896.709999993</v>
      </c>
      <c r="F5" s="5">
        <v>276466647.26999998</v>
      </c>
      <c r="G5" s="5">
        <v>437976121.24000001</v>
      </c>
      <c r="H5" s="5">
        <v>2961577254.4699998</v>
      </c>
      <c r="I5" s="5">
        <v>799814154.62</v>
      </c>
      <c r="J5" s="38">
        <f>I5/H5</f>
        <v>0.27006357960536598</v>
      </c>
      <c r="K5" s="5">
        <v>2161763099.8499999</v>
      </c>
      <c r="L5" s="19">
        <v>10213134291.73</v>
      </c>
      <c r="M5" s="38">
        <f>K5/L5</f>
        <v>0.21166500293650986</v>
      </c>
    </row>
    <row r="6" spans="1:13">
      <c r="A6" s="18">
        <v>2017</v>
      </c>
      <c r="B6" s="5">
        <v>1129070531.22</v>
      </c>
      <c r="C6" s="5">
        <v>1615469576.48</v>
      </c>
      <c r="D6" s="5">
        <v>255789656.43000001</v>
      </c>
      <c r="E6" s="5">
        <v>109799384.09999999</v>
      </c>
      <c r="F6" s="5">
        <v>286185772.81999999</v>
      </c>
      <c r="G6" s="5">
        <v>413794407.94</v>
      </c>
      <c r="H6" s="5">
        <v>3810109328.9899998</v>
      </c>
      <c r="I6" s="5">
        <v>829863866.95000005</v>
      </c>
      <c r="J6" s="38">
        <f>I6/H6</f>
        <v>0.21780578857299718</v>
      </c>
      <c r="K6" s="5">
        <v>2980245462.04</v>
      </c>
      <c r="L6" s="19">
        <v>12013553185.42</v>
      </c>
      <c r="M6" s="38">
        <f>K6/L6</f>
        <v>0.24807360620477489</v>
      </c>
    </row>
    <row r="7" spans="1:13">
      <c r="A7" s="18" t="s">
        <v>179</v>
      </c>
      <c r="B7" s="5">
        <v>1616292134.22</v>
      </c>
      <c r="C7" s="5">
        <v>2911601140.4000001</v>
      </c>
      <c r="D7" s="5">
        <v>207441315.03</v>
      </c>
      <c r="E7" s="5">
        <v>73467180.599999994</v>
      </c>
      <c r="F7" s="5">
        <v>374695197.38</v>
      </c>
      <c r="G7" s="5">
        <v>370867144.48000002</v>
      </c>
      <c r="H7" s="5">
        <v>5554364112.1099997</v>
      </c>
      <c r="I7" s="5">
        <v>889087866.27999997</v>
      </c>
      <c r="J7" s="38">
        <f>I7/H7</f>
        <v>0.16007014454481847</v>
      </c>
      <c r="K7" s="5">
        <v>4665276245.8299999</v>
      </c>
      <c r="L7" s="19">
        <f>7109975615.18-2959582128.62</f>
        <v>4150393486.5600004</v>
      </c>
      <c r="M7" s="38">
        <f>K7/L7</f>
        <v>1.1240563722300829</v>
      </c>
    </row>
    <row r="9" spans="1:13" s="2" customFormat="1">
      <c r="A9" s="3"/>
      <c r="B9" s="3" t="s">
        <v>184</v>
      </c>
      <c r="C9" s="3" t="s">
        <v>178</v>
      </c>
      <c r="D9" s="3" t="s">
        <v>185</v>
      </c>
      <c r="E9" s="3" t="s">
        <v>178</v>
      </c>
      <c r="F9" s="3"/>
      <c r="G9" s="3"/>
      <c r="H9" s="3"/>
      <c r="I9" s="3"/>
    </row>
    <row r="10" spans="1:13">
      <c r="A10" s="58">
        <v>1</v>
      </c>
      <c r="B10" s="5">
        <v>347450532.48000002</v>
      </c>
      <c r="C10" s="38">
        <f>B10/$H$7</f>
        <v>6.2554511275640878E-2</v>
      </c>
      <c r="D10" s="5">
        <v>20743442.27</v>
      </c>
      <c r="E10" s="38">
        <f>D10/B10</f>
        <v>5.9701857763576852E-2</v>
      </c>
      <c r="F10" s="5"/>
      <c r="G10" s="5"/>
      <c r="H10" s="5"/>
      <c r="I10" s="5"/>
    </row>
    <row r="11" spans="1:13">
      <c r="A11" s="58">
        <v>2</v>
      </c>
      <c r="B11" s="5">
        <v>221859988.15000001</v>
      </c>
      <c r="C11" s="38">
        <f t="shared" ref="C11:C15" si="0">B11/$H$7</f>
        <v>3.9943364113686007E-2</v>
      </c>
      <c r="D11" s="5">
        <v>12144148.359999999</v>
      </c>
      <c r="E11" s="38">
        <f t="shared" ref="E11:E15" si="1">D11/B11</f>
        <v>5.4737893304985283E-2</v>
      </c>
      <c r="F11" s="5"/>
      <c r="G11" s="5"/>
      <c r="H11" s="5"/>
      <c r="I11" s="5"/>
    </row>
    <row r="12" spans="1:13">
      <c r="A12" s="58">
        <v>3</v>
      </c>
      <c r="B12" s="5">
        <v>210862420.13999999</v>
      </c>
      <c r="C12" s="38">
        <f t="shared" si="0"/>
        <v>3.7963377244257988E-2</v>
      </c>
      <c r="D12" s="5">
        <v>19976352.789999999</v>
      </c>
      <c r="E12" s="38">
        <f t="shared" si="1"/>
        <v>9.4736429453559812E-2</v>
      </c>
      <c r="F12" s="5"/>
      <c r="G12" s="5"/>
      <c r="H12" s="5"/>
      <c r="I12" s="5"/>
    </row>
    <row r="13" spans="1:13">
      <c r="A13" s="58">
        <v>4</v>
      </c>
      <c r="B13" s="5">
        <v>190020083.15000001</v>
      </c>
      <c r="C13" s="38">
        <f t="shared" si="0"/>
        <v>3.4210951841580822E-2</v>
      </c>
      <c r="D13" s="5">
        <v>23499963.329999998</v>
      </c>
      <c r="E13" s="38">
        <f t="shared" si="1"/>
        <v>0.12367094540975102</v>
      </c>
      <c r="F13" s="5"/>
      <c r="G13" s="5"/>
      <c r="H13" s="5"/>
      <c r="I13" s="5"/>
    </row>
    <row r="14" spans="1:13">
      <c r="A14" s="58">
        <v>5</v>
      </c>
      <c r="B14" s="5">
        <v>110778809.55</v>
      </c>
      <c r="C14" s="38">
        <f t="shared" si="0"/>
        <v>1.9944463004950029E-2</v>
      </c>
      <c r="D14" s="5">
        <v>37683330.219999999</v>
      </c>
      <c r="E14" s="38">
        <f t="shared" si="1"/>
        <v>0.34016731514876619</v>
      </c>
      <c r="F14" s="5"/>
      <c r="G14" s="5"/>
      <c r="H14" s="5"/>
      <c r="I14" s="5"/>
    </row>
    <row r="15" spans="1:13">
      <c r="A15" s="58"/>
      <c r="B15" s="5">
        <v>1080971833.47</v>
      </c>
      <c r="C15" s="38">
        <f t="shared" si="0"/>
        <v>0.19461666748011572</v>
      </c>
      <c r="D15" s="5">
        <v>114047236.97</v>
      </c>
      <c r="E15" s="38">
        <f t="shared" si="1"/>
        <v>0.10550435583867147</v>
      </c>
      <c r="F15" s="5"/>
      <c r="G15" s="5"/>
      <c r="H15" s="5"/>
      <c r="I15" s="5"/>
    </row>
    <row r="16" spans="1:13">
      <c r="C16" s="60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"/>
  <sheetViews>
    <sheetView zoomScale="85" zoomScaleNormal="85" workbookViewId="0">
      <selection activeCell="A8" activeCellId="1" sqref="A7:XFD7 A8:XFD8"/>
    </sheetView>
  </sheetViews>
  <sheetFormatPr defaultRowHeight="13.5"/>
  <cols>
    <col min="1" max="1" width="8.5" bestFit="1" customWidth="1"/>
    <col min="2" max="2" width="5.75" bestFit="1" customWidth="1"/>
    <col min="3" max="3" width="10" bestFit="1" customWidth="1"/>
    <col min="4" max="4" width="10" customWidth="1"/>
    <col min="5" max="5" width="10.625" bestFit="1" customWidth="1"/>
    <col min="6" max="9" width="10" customWidth="1"/>
    <col min="10" max="10" width="8.5" bestFit="1" customWidth="1"/>
    <col min="11" max="11" width="9.75" bestFit="1" customWidth="1"/>
    <col min="12" max="12" width="8.5" customWidth="1"/>
    <col min="13" max="13" width="9.875" customWidth="1"/>
    <col min="14" max="14" width="9.75" bestFit="1" customWidth="1"/>
    <col min="15" max="15" width="9.75" customWidth="1"/>
    <col min="16" max="16" width="8.5" bestFit="1" customWidth="1"/>
    <col min="17" max="17" width="13.5" bestFit="1" customWidth="1"/>
    <col min="18" max="18" width="8.5" bestFit="1" customWidth="1"/>
    <col min="20" max="21" width="7.375" bestFit="1" customWidth="1"/>
  </cols>
  <sheetData>
    <row r="1" spans="1:21" s="2" customFormat="1">
      <c r="A1" s="33"/>
      <c r="B1" s="33" t="s">
        <v>110</v>
      </c>
      <c r="C1" s="33" t="s">
        <v>94</v>
      </c>
      <c r="D1" s="33" t="s">
        <v>138</v>
      </c>
      <c r="E1" s="44" t="s">
        <v>175</v>
      </c>
      <c r="F1" s="104" t="s">
        <v>152</v>
      </c>
      <c r="G1" s="104"/>
      <c r="H1" s="104"/>
      <c r="I1" s="42"/>
      <c r="J1" s="104" t="s">
        <v>133</v>
      </c>
      <c r="K1" s="104"/>
      <c r="L1" s="104"/>
      <c r="M1" s="104"/>
      <c r="N1" s="104"/>
      <c r="O1" s="33"/>
      <c r="P1" s="104" t="s">
        <v>138</v>
      </c>
      <c r="Q1" s="104"/>
      <c r="R1" s="104"/>
      <c r="S1" s="105"/>
      <c r="T1" s="105"/>
      <c r="U1" s="105"/>
    </row>
    <row r="2" spans="1:21" s="2" customFormat="1">
      <c r="A2" s="33"/>
      <c r="B2" s="33"/>
      <c r="C2" s="33"/>
      <c r="D2" s="33"/>
      <c r="E2" s="44"/>
      <c r="F2" s="21" t="s">
        <v>83</v>
      </c>
      <c r="G2" s="21" t="s">
        <v>84</v>
      </c>
      <c r="H2" s="21" t="s">
        <v>107</v>
      </c>
      <c r="I2" s="21" t="s">
        <v>173</v>
      </c>
      <c r="J2" s="33" t="s">
        <v>136</v>
      </c>
      <c r="K2" s="21" t="s">
        <v>135</v>
      </c>
      <c r="L2" s="33" t="s">
        <v>146</v>
      </c>
      <c r="M2" s="33" t="s">
        <v>147</v>
      </c>
      <c r="N2" s="33" t="s">
        <v>145</v>
      </c>
      <c r="O2" s="33"/>
      <c r="P2" s="104" t="s">
        <v>142</v>
      </c>
      <c r="Q2" s="104"/>
      <c r="R2" s="104"/>
      <c r="S2" s="3"/>
      <c r="T2" s="3"/>
      <c r="U2" s="3"/>
    </row>
    <row r="3" spans="1:21" s="2" customFormat="1">
      <c r="A3" s="33"/>
      <c r="B3" s="33"/>
      <c r="C3" s="33"/>
      <c r="D3" s="33"/>
      <c r="E3" s="14"/>
      <c r="F3" s="21"/>
      <c r="G3" s="21"/>
      <c r="H3" s="21"/>
      <c r="I3" s="21"/>
      <c r="J3" s="33"/>
      <c r="K3" s="21"/>
      <c r="L3" s="33"/>
      <c r="M3" s="33"/>
      <c r="N3" s="33"/>
      <c r="O3" s="33" t="s">
        <v>41</v>
      </c>
      <c r="P3" s="33" t="s">
        <v>149</v>
      </c>
      <c r="Q3" s="33" t="s">
        <v>150</v>
      </c>
      <c r="R3" s="33" t="s">
        <v>148</v>
      </c>
      <c r="S3" s="33" t="s">
        <v>115</v>
      </c>
      <c r="T3" s="33" t="s">
        <v>114</v>
      </c>
      <c r="U3" s="33" t="s">
        <v>113</v>
      </c>
    </row>
    <row r="4" spans="1:21" s="12" customFormat="1" ht="14.25" customHeight="1">
      <c r="A4" s="15">
        <v>2014</v>
      </c>
      <c r="B4" s="15">
        <v>12</v>
      </c>
      <c r="C4" s="14">
        <v>7497256418.79</v>
      </c>
      <c r="D4" s="14"/>
      <c r="E4" s="14"/>
      <c r="F4" s="24">
        <v>174000</v>
      </c>
      <c r="G4" s="24">
        <v>920000</v>
      </c>
      <c r="H4" s="25">
        <f t="shared" ref="H4:H5" si="0">F4+G4</f>
        <v>1094000</v>
      </c>
      <c r="I4" s="25"/>
      <c r="J4" s="14">
        <v>6155923431.2700005</v>
      </c>
      <c r="K4" s="26">
        <f t="shared" ref="K4:K10" si="1">J4/H4/B4</f>
        <v>468.91555692184647</v>
      </c>
      <c r="L4" s="30"/>
      <c r="M4" s="30"/>
      <c r="N4" s="30"/>
      <c r="O4" s="14">
        <v>1620583897.23</v>
      </c>
      <c r="P4" s="31">
        <v>993432149.25</v>
      </c>
      <c r="Q4" s="26">
        <f t="shared" ref="Q4:Q11" si="2">P4/H4/B4</f>
        <v>75.672771880712972</v>
      </c>
      <c r="R4" s="30"/>
      <c r="S4" s="31">
        <v>334859677.23000002</v>
      </c>
      <c r="T4" s="31">
        <v>142491438.41999999</v>
      </c>
      <c r="U4" s="31">
        <v>149800675.44</v>
      </c>
    </row>
    <row r="5" spans="1:21">
      <c r="A5" s="15">
        <v>2015</v>
      </c>
      <c r="B5" s="15">
        <v>12</v>
      </c>
      <c r="C5" s="14">
        <v>8627411561.6100006</v>
      </c>
      <c r="D5" s="14"/>
      <c r="E5" s="14"/>
      <c r="F5" s="24">
        <f>189000+34000</f>
        <v>223000</v>
      </c>
      <c r="G5" s="24">
        <f>1118000-34000</f>
        <v>1084000</v>
      </c>
      <c r="H5" s="25">
        <f t="shared" si="0"/>
        <v>1307000</v>
      </c>
      <c r="I5" s="25"/>
      <c r="J5" s="14">
        <v>6945208130.6999998</v>
      </c>
      <c r="K5" s="26">
        <f t="shared" si="1"/>
        <v>442.82122741009948</v>
      </c>
      <c r="L5" s="30">
        <f t="shared" ref="L5:L11" si="3">K4*H4*B5</f>
        <v>6155923431.2700005</v>
      </c>
      <c r="M5" s="30">
        <f t="shared" ref="M5:M11" si="4">H5*K4*B5</f>
        <v>7354471594.7622395</v>
      </c>
      <c r="N5" s="30">
        <f>H5*MAX($K$4:K4)*B5</f>
        <v>7354471594.7622395</v>
      </c>
      <c r="O5" s="14">
        <v>1808363187.01</v>
      </c>
      <c r="P5" s="31">
        <v>1223725829.79</v>
      </c>
      <c r="Q5" s="26">
        <f t="shared" si="2"/>
        <v>78.02383510520275</v>
      </c>
      <c r="R5" s="30">
        <f>H5*MAX($Q$4:Q4)*B5</f>
        <v>1186851754.1771023</v>
      </c>
      <c r="S5" s="31">
        <v>339618859.61000001</v>
      </c>
      <c r="T5" s="31">
        <v>109955544.44</v>
      </c>
      <c r="U5" s="31">
        <v>135062953.16999999</v>
      </c>
    </row>
    <row r="6" spans="1:21" ht="12.75" customHeight="1">
      <c r="A6" s="15" t="s">
        <v>109</v>
      </c>
      <c r="B6" s="15">
        <v>6</v>
      </c>
      <c r="C6" s="14">
        <v>4926942439.8800001</v>
      </c>
      <c r="D6" s="14"/>
      <c r="E6" s="14"/>
      <c r="F6" s="24">
        <v>192000</v>
      </c>
      <c r="G6" s="24">
        <v>1210000</v>
      </c>
      <c r="H6" s="25">
        <f>F6+G6</f>
        <v>1402000</v>
      </c>
      <c r="I6" s="25"/>
      <c r="J6" s="14">
        <v>3874945853.8899999</v>
      </c>
      <c r="K6" s="26">
        <f t="shared" si="1"/>
        <v>460.64501353899192</v>
      </c>
      <c r="L6" s="30">
        <f t="shared" si="3"/>
        <v>3472604065.3500004</v>
      </c>
      <c r="M6" s="30">
        <f t="shared" si="4"/>
        <v>3725012164.9737568</v>
      </c>
      <c r="N6" s="30">
        <f>H6*MAX($K$4:K5)*B6</f>
        <v>3944517664.8265724</v>
      </c>
      <c r="O6" s="14">
        <v>1016902997.08</v>
      </c>
      <c r="P6" s="31"/>
      <c r="Q6" s="26">
        <f t="shared" si="2"/>
        <v>0</v>
      </c>
      <c r="R6" s="30">
        <f>H6*MAX($Q$4:Q5)*B6</f>
        <v>656336500.90496552</v>
      </c>
      <c r="S6" s="1"/>
      <c r="T6" s="1"/>
      <c r="U6" s="1"/>
    </row>
    <row r="7" spans="1:21">
      <c r="A7" s="15">
        <v>2016</v>
      </c>
      <c r="B7" s="15">
        <v>6</v>
      </c>
      <c r="C7" s="14">
        <f>10213134291.73-C6</f>
        <v>5286191851.8499994</v>
      </c>
      <c r="D7" s="14"/>
      <c r="E7" s="14">
        <v>266333673.59</v>
      </c>
      <c r="F7" s="24">
        <v>225000</v>
      </c>
      <c r="G7" s="24">
        <v>1158000</v>
      </c>
      <c r="H7" s="25">
        <f>F7+G7</f>
        <v>1383000</v>
      </c>
      <c r="I7" s="25"/>
      <c r="J7" s="14">
        <f>7847007319.59-J6</f>
        <v>3972061465.7000003</v>
      </c>
      <c r="K7" s="26">
        <f t="shared" si="1"/>
        <v>478.67696622077614</v>
      </c>
      <c r="L7" s="30">
        <f t="shared" si="3"/>
        <v>3874945853.8900003</v>
      </c>
      <c r="M7" s="30">
        <f t="shared" si="4"/>
        <v>3822432322.3465548</v>
      </c>
      <c r="N7" s="30">
        <f>H7*MAX($K$4:K6)*B7</f>
        <v>3891061291.3374815</v>
      </c>
      <c r="O7" s="14">
        <f>2001344061.82</f>
        <v>2001344061.8199999</v>
      </c>
      <c r="P7" s="31">
        <f>(P5+131908000)</f>
        <v>1355633829.79</v>
      </c>
      <c r="Q7" s="26">
        <f t="shared" si="2"/>
        <v>163.36874304531213</v>
      </c>
      <c r="R7" s="30">
        <f>H7*MAX($Q$4:Q6)*B7</f>
        <v>647441783.70297241</v>
      </c>
      <c r="S7" s="31"/>
      <c r="T7" s="31"/>
      <c r="U7" s="31"/>
    </row>
    <row r="8" spans="1:21">
      <c r="A8" s="15" t="s">
        <v>108</v>
      </c>
      <c r="B8" s="15">
        <v>6</v>
      </c>
      <c r="C8" s="14">
        <v>5640666497.8400002</v>
      </c>
      <c r="D8" s="14"/>
      <c r="E8" s="14">
        <v>297254351.19999999</v>
      </c>
      <c r="F8" s="24">
        <v>225000</v>
      </c>
      <c r="G8" s="24">
        <v>1145000</v>
      </c>
      <c r="H8" s="25">
        <f>F8+G8</f>
        <v>1370000</v>
      </c>
      <c r="I8" s="25"/>
      <c r="J8" s="14">
        <v>4426927684.7299995</v>
      </c>
      <c r="K8" s="26">
        <f t="shared" si="1"/>
        <v>538.55567940754247</v>
      </c>
      <c r="L8" s="30">
        <f t="shared" si="3"/>
        <v>3972061465.7000008</v>
      </c>
      <c r="M8" s="30">
        <f t="shared" si="4"/>
        <v>3934724662.3347797</v>
      </c>
      <c r="N8" s="30">
        <f>H8*MAX($K$4:K7)*B8</f>
        <v>3934724662.3347797</v>
      </c>
      <c r="O8" s="14">
        <v>1049013975.28</v>
      </c>
      <c r="P8" s="31"/>
      <c r="Q8" s="26">
        <f t="shared" si="2"/>
        <v>0</v>
      </c>
      <c r="R8" s="30">
        <f>H8*MAX($Q$4:Q7)*B8</f>
        <v>1342891067.8324656</v>
      </c>
      <c r="S8" s="31"/>
      <c r="T8" s="31"/>
      <c r="U8" s="31"/>
    </row>
    <row r="9" spans="1:21">
      <c r="A9" s="15">
        <v>2017</v>
      </c>
      <c r="B9" s="15">
        <v>6</v>
      </c>
      <c r="C9" s="14">
        <f>12013553185.42-C8</f>
        <v>6372886687.5799999</v>
      </c>
      <c r="D9" s="14"/>
      <c r="E9" s="14">
        <v>351244838.56</v>
      </c>
      <c r="F9" s="24">
        <v>304000</v>
      </c>
      <c r="G9" s="24">
        <v>1211000</v>
      </c>
      <c r="H9" s="25">
        <f>F9+G9</f>
        <v>1515000</v>
      </c>
      <c r="I9" s="25"/>
      <c r="J9" s="14">
        <f>9383457076.5-J8</f>
        <v>4956529391.7700005</v>
      </c>
      <c r="K9" s="26">
        <f t="shared" si="1"/>
        <v>545.27276037073716</v>
      </c>
      <c r="L9" s="30">
        <f t="shared" si="3"/>
        <v>4426927684.7299995</v>
      </c>
      <c r="M9" s="30">
        <f t="shared" si="4"/>
        <v>4895471125.8145609</v>
      </c>
      <c r="N9" s="30">
        <f>H9*MAX($K$4:K8)*B9</f>
        <v>4895471125.8145609</v>
      </c>
      <c r="O9" s="14">
        <f>2186118987.56</f>
        <v>2186118987.5599999</v>
      </c>
      <c r="P9" s="1"/>
      <c r="Q9" s="26">
        <f t="shared" si="2"/>
        <v>0</v>
      </c>
      <c r="R9" s="30">
        <f>H9*MAX($Q$4:Q8)*B9</f>
        <v>1485021874.2818873</v>
      </c>
      <c r="S9" s="1"/>
      <c r="T9" s="1"/>
      <c r="U9" s="1"/>
    </row>
    <row r="10" spans="1:21">
      <c r="A10" s="15" t="s">
        <v>90</v>
      </c>
      <c r="B10" s="15">
        <v>6</v>
      </c>
      <c r="C10" s="14">
        <v>7109975615.1800003</v>
      </c>
      <c r="D10" s="14"/>
      <c r="E10" s="14">
        <v>572042507.19000006</v>
      </c>
      <c r="F10" s="27"/>
      <c r="G10" s="27"/>
      <c r="H10" s="25">
        <v>2167000</v>
      </c>
      <c r="I10" s="54">
        <f>201+15</f>
        <v>216</v>
      </c>
      <c r="J10" s="14">
        <v>5775804576.8199997</v>
      </c>
      <c r="K10" s="26">
        <f t="shared" si="1"/>
        <v>444.22431755268417</v>
      </c>
      <c r="L10" s="30">
        <f t="shared" si="3"/>
        <v>4956529391.7700005</v>
      </c>
      <c r="M10" s="30">
        <f t="shared" si="4"/>
        <v>7089636430.3403244</v>
      </c>
      <c r="N10" s="30">
        <f>H10*MAX($K$4:K9)*B10</f>
        <v>7089636430.3403244</v>
      </c>
      <c r="O10" s="31"/>
      <c r="P10" s="1"/>
      <c r="Q10" s="26">
        <f t="shared" si="2"/>
        <v>0</v>
      </c>
      <c r="R10" s="30">
        <f>H10*MAX($Q$4:Q9)*B10</f>
        <v>2124120397.0751486</v>
      </c>
      <c r="S10" s="1"/>
      <c r="T10" s="1"/>
      <c r="U10" s="1"/>
    </row>
    <row r="11" spans="1:21" ht="12.75" customHeight="1">
      <c r="A11" s="15">
        <v>2018</v>
      </c>
      <c r="B11" s="15">
        <v>6</v>
      </c>
      <c r="C11" s="14"/>
      <c r="D11" s="14"/>
      <c r="E11" s="14"/>
      <c r="F11" s="15"/>
      <c r="G11" s="15"/>
      <c r="H11" s="25">
        <v>2167000</v>
      </c>
      <c r="I11" s="25"/>
      <c r="J11" s="14"/>
      <c r="K11" s="25"/>
      <c r="L11" s="30">
        <f t="shared" si="3"/>
        <v>5775804576.8199997</v>
      </c>
      <c r="M11" s="30">
        <f t="shared" si="4"/>
        <v>5775804576.8199997</v>
      </c>
      <c r="N11" s="30">
        <f>H11*MAX($K$4:K10)*B11</f>
        <v>7089636430.3403244</v>
      </c>
      <c r="O11" s="31"/>
      <c r="P11" s="1"/>
      <c r="Q11" s="26">
        <f t="shared" si="2"/>
        <v>0</v>
      </c>
      <c r="R11" s="30">
        <f>H11*MAX($Q$4:Q10)*B11</f>
        <v>2124120397.0751486</v>
      </c>
      <c r="S11" s="1"/>
      <c r="T11" s="1"/>
      <c r="U11" s="1"/>
    </row>
  </sheetData>
  <mergeCells count="4">
    <mergeCell ref="J1:N1"/>
    <mergeCell ref="P1:U1"/>
    <mergeCell ref="P2:R2"/>
    <mergeCell ref="F1:H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"/>
  <sheetViews>
    <sheetView zoomScaleNormal="100" workbookViewId="0">
      <selection activeCell="E13" sqref="E13"/>
    </sheetView>
  </sheetViews>
  <sheetFormatPr defaultRowHeight="13.5"/>
  <cols>
    <col min="2" max="2" width="5.75" bestFit="1" customWidth="1"/>
    <col min="3" max="4" width="10.75" bestFit="1" customWidth="1"/>
    <col min="5" max="5" width="8.875" bestFit="1" customWidth="1"/>
    <col min="6" max="6" width="11" bestFit="1" customWidth="1"/>
    <col min="7" max="7" width="10" bestFit="1" customWidth="1"/>
    <col min="8" max="8" width="17.125" bestFit="1" customWidth="1"/>
    <col min="9" max="9" width="7.5" bestFit="1" customWidth="1"/>
    <col min="10" max="10" width="7.5" customWidth="1"/>
    <col min="11" max="11" width="18.125" bestFit="1" customWidth="1"/>
    <col min="12" max="12" width="9.5" bestFit="1" customWidth="1"/>
  </cols>
  <sheetData>
    <row r="1" spans="1:12">
      <c r="A1" s="42"/>
      <c r="B1" s="42" t="s">
        <v>110</v>
      </c>
      <c r="C1" s="104" t="s">
        <v>170</v>
      </c>
      <c r="D1" s="104"/>
      <c r="E1" s="104" t="s">
        <v>171</v>
      </c>
      <c r="F1" s="104"/>
      <c r="G1" s="104" t="s">
        <v>93</v>
      </c>
      <c r="H1" s="104"/>
      <c r="I1" s="104"/>
      <c r="J1" s="104"/>
      <c r="K1" s="104"/>
      <c r="L1" s="43"/>
    </row>
    <row r="2" spans="1:12">
      <c r="A2" s="42"/>
      <c r="B2" s="42"/>
      <c r="C2" s="42" t="s">
        <v>68</v>
      </c>
      <c r="D2" s="42" t="s">
        <v>67</v>
      </c>
      <c r="E2" s="42" t="s">
        <v>169</v>
      </c>
      <c r="F2" s="53" t="s">
        <v>135</v>
      </c>
      <c r="G2" s="42" t="s">
        <v>142</v>
      </c>
      <c r="H2" s="3" t="s">
        <v>143</v>
      </c>
      <c r="I2" s="3" t="s">
        <v>137</v>
      </c>
      <c r="J2" s="3"/>
      <c r="K2" s="53" t="s">
        <v>151</v>
      </c>
      <c r="L2" s="53" t="s">
        <v>172</v>
      </c>
    </row>
    <row r="3" spans="1:12">
      <c r="A3" s="15">
        <v>2014</v>
      </c>
      <c r="B3" s="15">
        <v>12</v>
      </c>
      <c r="C3" s="22">
        <v>772</v>
      </c>
      <c r="D3" s="22">
        <v>5000</v>
      </c>
      <c r="E3" s="14">
        <v>956099210.65999997</v>
      </c>
      <c r="F3" s="26">
        <f>E3/D3/B3</f>
        <v>15934.986844333333</v>
      </c>
      <c r="G3" s="14">
        <v>371089321.87</v>
      </c>
      <c r="H3" s="14">
        <f>12856532.98+740779.4+9695775.57</f>
        <v>23293087.950000003</v>
      </c>
      <c r="I3" s="14">
        <v>394382422.18000001</v>
      </c>
      <c r="J3" s="16">
        <f>H3/I3</f>
        <v>5.9062185939333801E-2</v>
      </c>
      <c r="K3" s="26">
        <f t="shared" ref="K3:K10" si="0">G3/D3/B3</f>
        <v>6184.8220311666664</v>
      </c>
      <c r="L3" s="30" t="e">
        <f t="shared" ref="L3" si="1">K2*D3*B3</f>
        <v>#VALUE!</v>
      </c>
    </row>
    <row r="4" spans="1:12">
      <c r="A4" s="15">
        <v>2015</v>
      </c>
      <c r="B4" s="15">
        <v>12</v>
      </c>
      <c r="C4" s="15">
        <v>1000</v>
      </c>
      <c r="D4" s="15">
        <v>6500</v>
      </c>
      <c r="E4" s="14">
        <v>1353174988.1400001</v>
      </c>
      <c r="F4" s="26">
        <f t="shared" ref="F4:F9" si="2">E4/D4/B4</f>
        <v>17348.397283846156</v>
      </c>
      <c r="G4" s="14">
        <v>478084793.00999999</v>
      </c>
      <c r="H4" s="14">
        <f>9613042.47+940139.8+22963380.14</f>
        <v>33516562.410000004</v>
      </c>
      <c r="I4" s="14">
        <v>511601355.42000002</v>
      </c>
      <c r="J4" s="16">
        <f>H4/I4</f>
        <v>6.5513044590127259E-2</v>
      </c>
      <c r="K4" s="26">
        <f t="shared" si="0"/>
        <v>6129.2922180769228</v>
      </c>
      <c r="L4" s="30">
        <f>MAX($K$3:K3)*D4*B4</f>
        <v>482416118.43099999</v>
      </c>
    </row>
    <row r="5" spans="1:12">
      <c r="A5" s="15" t="s">
        <v>109</v>
      </c>
      <c r="B5" s="15">
        <v>6</v>
      </c>
      <c r="C5" s="15">
        <v>1270</v>
      </c>
      <c r="D5" s="15">
        <v>8300</v>
      </c>
      <c r="E5" s="14">
        <v>885396970.64999998</v>
      </c>
      <c r="F5" s="26">
        <f t="shared" si="2"/>
        <v>17779.055635542169</v>
      </c>
      <c r="G5" s="14"/>
      <c r="H5" s="14"/>
      <c r="I5" s="14">
        <v>382844847.38</v>
      </c>
      <c r="J5" s="14"/>
      <c r="K5" s="26">
        <f t="shared" si="0"/>
        <v>0</v>
      </c>
      <c r="L5" s="30">
        <f>MAX($K$3:K4)*D5*B5</f>
        <v>308004137.15209997</v>
      </c>
    </row>
    <row r="6" spans="1:12">
      <c r="A6" s="15">
        <v>2016</v>
      </c>
      <c r="B6" s="15">
        <v>12</v>
      </c>
      <c r="C6" s="15">
        <v>1530</v>
      </c>
      <c r="D6" s="15">
        <v>10000</v>
      </c>
      <c r="E6" s="14">
        <f>2044164023.29</f>
        <v>2044164023.29</v>
      </c>
      <c r="F6" s="26">
        <f t="shared" si="2"/>
        <v>17034.700194083332</v>
      </c>
      <c r="G6" s="14">
        <f>G4+281541000</f>
        <v>759625793.00999999</v>
      </c>
      <c r="H6" s="14">
        <f>I6-G6</f>
        <v>46311496.090000033</v>
      </c>
      <c r="I6" s="14">
        <v>805937289.10000002</v>
      </c>
      <c r="J6" s="16">
        <f>H6/I6</f>
        <v>5.7462902779590513E-2</v>
      </c>
      <c r="K6" s="26">
        <f t="shared" si="0"/>
        <v>6330.2149417500004</v>
      </c>
      <c r="L6" s="30">
        <f>MAX($K$3:K5)*D6*B6</f>
        <v>742178643.74000001</v>
      </c>
    </row>
    <row r="7" spans="1:12">
      <c r="A7" s="15" t="s">
        <v>101</v>
      </c>
      <c r="B7" s="15">
        <v>6</v>
      </c>
      <c r="C7" s="15">
        <v>1610</v>
      </c>
      <c r="D7" s="15">
        <v>10600</v>
      </c>
      <c r="E7" s="14">
        <v>1005909701.97</v>
      </c>
      <c r="F7" s="26">
        <f t="shared" si="2"/>
        <v>15816.19028254717</v>
      </c>
      <c r="G7" s="14"/>
      <c r="H7" s="14"/>
      <c r="I7" s="14">
        <v>484276557.54000002</v>
      </c>
      <c r="J7" s="14"/>
      <c r="K7" s="26">
        <f t="shared" si="0"/>
        <v>0</v>
      </c>
      <c r="L7" s="30">
        <f>MAX($K$3:K6)*D7*B7</f>
        <v>402601670.29530001</v>
      </c>
    </row>
    <row r="8" spans="1:12">
      <c r="A8" s="15">
        <v>2017</v>
      </c>
      <c r="B8" s="15">
        <v>12</v>
      </c>
      <c r="C8" s="15">
        <v>1750</v>
      </c>
      <c r="D8" s="15">
        <v>11700</v>
      </c>
      <c r="E8" s="14">
        <f>2333135373.83</f>
        <v>2333135373.8299999</v>
      </c>
      <c r="F8" s="26">
        <f t="shared" si="2"/>
        <v>16617.773317877491</v>
      </c>
      <c r="G8" s="14"/>
      <c r="H8" s="14"/>
      <c r="I8" s="14">
        <v>988860266.53999996</v>
      </c>
      <c r="J8" s="14"/>
      <c r="K8" s="26">
        <f t="shared" si="0"/>
        <v>0</v>
      </c>
      <c r="L8" s="30">
        <f>MAX($K$3:K7)*D8*B8</f>
        <v>888762177.8217001</v>
      </c>
    </row>
    <row r="9" spans="1:12">
      <c r="A9" s="15" t="s">
        <v>90</v>
      </c>
      <c r="B9" s="15">
        <v>6</v>
      </c>
      <c r="C9" s="23">
        <v>1900</v>
      </c>
      <c r="D9" s="15">
        <v>12600</v>
      </c>
      <c r="E9" s="14">
        <v>1196404933.74</v>
      </c>
      <c r="F9" s="26">
        <f t="shared" si="2"/>
        <v>15825.462086507936</v>
      </c>
      <c r="G9" s="14"/>
      <c r="H9" s="14"/>
      <c r="I9" s="14"/>
      <c r="J9" s="14"/>
      <c r="K9" s="26">
        <f t="shared" si="0"/>
        <v>0</v>
      </c>
      <c r="L9" s="30">
        <f>MAX($K$3:K8)*D9*B9</f>
        <v>478564249.59630007</v>
      </c>
    </row>
    <row r="10" spans="1:12">
      <c r="A10" s="50">
        <v>2018</v>
      </c>
      <c r="B10" s="50">
        <v>12</v>
      </c>
      <c r="C10" s="50">
        <v>1900</v>
      </c>
      <c r="D10" s="50">
        <v>12600</v>
      </c>
      <c r="E10" s="45">
        <f>D10*F8*B10</f>
        <v>2512607325.6630769</v>
      </c>
      <c r="F10" s="50"/>
      <c r="G10" s="51"/>
      <c r="H10" s="49"/>
      <c r="I10" s="50"/>
      <c r="J10" s="50"/>
      <c r="K10" s="52">
        <f t="shared" si="0"/>
        <v>0</v>
      </c>
      <c r="L10" s="43"/>
    </row>
  </sheetData>
  <mergeCells count="3">
    <mergeCell ref="C1:D1"/>
    <mergeCell ref="E1:F1"/>
    <mergeCell ref="G1:K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5"/>
  <sheetViews>
    <sheetView zoomScale="55" zoomScaleNormal="55" workbookViewId="0">
      <selection activeCell="L39" sqref="L39"/>
    </sheetView>
  </sheetViews>
  <sheetFormatPr defaultRowHeight="13.5"/>
  <cols>
    <col min="1" max="1" width="8.875" style="2"/>
    <col min="2" max="2" width="9.75" bestFit="1" customWidth="1"/>
    <col min="3" max="3" width="14.125" bestFit="1" customWidth="1"/>
    <col min="4" max="4" width="10.25" bestFit="1" customWidth="1"/>
    <col min="5" max="5" width="14.625" bestFit="1" customWidth="1"/>
    <col min="6" max="7" width="13.125" bestFit="1" customWidth="1"/>
    <col min="8" max="8" width="17.625" bestFit="1" customWidth="1"/>
    <col min="9" max="9" width="14.625" customWidth="1"/>
    <col min="10" max="11" width="7.75" bestFit="1" customWidth="1"/>
    <col min="13" max="14" width="10.75" bestFit="1" customWidth="1"/>
    <col min="15" max="15" width="10.75" customWidth="1"/>
    <col min="16" max="16" width="13.125" customWidth="1"/>
    <col min="17" max="18" width="13.125" bestFit="1" customWidth="1"/>
    <col min="20" max="20" width="10.75" bestFit="1" customWidth="1"/>
    <col min="21" max="21" width="8.5" bestFit="1" customWidth="1"/>
    <col min="22" max="22" width="27" bestFit="1" customWidth="1"/>
    <col min="23" max="23" width="20.5" bestFit="1" customWidth="1"/>
    <col min="24" max="25" width="10.625" bestFit="1" customWidth="1"/>
  </cols>
  <sheetData>
    <row r="1" spans="1:25">
      <c r="A1" s="28"/>
      <c r="B1" s="28" t="s">
        <v>110</v>
      </c>
      <c r="C1" s="104" t="s">
        <v>93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21" t="s">
        <v>86</v>
      </c>
      <c r="X1" s="28" t="s">
        <v>6</v>
      </c>
      <c r="Y1" s="28" t="s">
        <v>82</v>
      </c>
    </row>
    <row r="2" spans="1:25" ht="27">
      <c r="A2" s="28"/>
      <c r="B2" s="28"/>
      <c r="C2" s="28" t="s">
        <v>118</v>
      </c>
      <c r="D2" s="28" t="s">
        <v>115</v>
      </c>
      <c r="E2" s="28" t="s">
        <v>114</v>
      </c>
      <c r="F2" s="28" t="s">
        <v>113</v>
      </c>
      <c r="G2" s="29" t="s">
        <v>41</v>
      </c>
      <c r="H2" s="104" t="s">
        <v>93</v>
      </c>
      <c r="I2" s="104"/>
      <c r="J2" s="104"/>
      <c r="K2" s="104"/>
      <c r="L2" s="104"/>
      <c r="M2" s="21" t="s">
        <v>83</v>
      </c>
      <c r="N2" s="21" t="s">
        <v>84</v>
      </c>
      <c r="O2" s="21" t="s">
        <v>137</v>
      </c>
      <c r="P2" s="21" t="s">
        <v>120</v>
      </c>
      <c r="Q2" s="21" t="s">
        <v>116</v>
      </c>
      <c r="R2" s="21" t="s">
        <v>117</v>
      </c>
      <c r="S2" s="21" t="s">
        <v>80</v>
      </c>
      <c r="T2" s="21" t="s">
        <v>119</v>
      </c>
      <c r="U2" s="21" t="s">
        <v>85</v>
      </c>
      <c r="V2" s="21" t="s">
        <v>98</v>
      </c>
      <c r="W2" s="21"/>
      <c r="X2" s="28"/>
      <c r="Y2" s="28"/>
    </row>
    <row r="3" spans="1:25">
      <c r="A3" s="28"/>
      <c r="B3" s="28"/>
      <c r="C3" s="28"/>
      <c r="D3" s="28"/>
      <c r="E3" s="28"/>
      <c r="F3" s="28"/>
      <c r="G3" s="29"/>
      <c r="H3" s="28" t="s">
        <v>112</v>
      </c>
      <c r="I3" s="28" t="s">
        <v>115</v>
      </c>
      <c r="J3" s="28" t="s">
        <v>114</v>
      </c>
      <c r="K3" s="28" t="s">
        <v>113</v>
      </c>
      <c r="L3" s="28" t="s">
        <v>111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8"/>
      <c r="Y3" s="28"/>
    </row>
    <row r="4" spans="1:25">
      <c r="A4" s="28">
        <v>2014</v>
      </c>
      <c r="B4" s="15">
        <v>12</v>
      </c>
      <c r="C4" s="14"/>
      <c r="D4" s="14"/>
      <c r="E4" s="14"/>
      <c r="F4" s="14"/>
      <c r="G4" s="14">
        <v>2234473955.6199999</v>
      </c>
      <c r="H4" s="31">
        <v>993432149.25</v>
      </c>
      <c r="I4" s="31">
        <v>334859677.23000002</v>
      </c>
      <c r="J4" s="31">
        <v>142491438.41999999</v>
      </c>
      <c r="K4" s="31">
        <v>149800675.44</v>
      </c>
      <c r="L4" s="14">
        <v>1620583897.23</v>
      </c>
      <c r="M4" s="24">
        <v>174000</v>
      </c>
      <c r="N4" s="24">
        <v>920000</v>
      </c>
      <c r="O4" s="24">
        <f>M4+N4</f>
        <v>1094000</v>
      </c>
      <c r="P4" s="32"/>
      <c r="Q4" s="24"/>
      <c r="R4" s="24"/>
      <c r="S4" s="25">
        <f>M4+N4</f>
        <v>1094000</v>
      </c>
      <c r="T4" s="26">
        <f>C4/S4</f>
        <v>0</v>
      </c>
      <c r="U4" s="22"/>
      <c r="V4" s="24"/>
      <c r="W4" s="24"/>
      <c r="X4" s="14"/>
      <c r="Y4" s="14"/>
    </row>
    <row r="5" spans="1:25">
      <c r="A5" s="28">
        <v>2015</v>
      </c>
      <c r="B5" s="15">
        <v>12</v>
      </c>
      <c r="C5" s="14">
        <f>1223725829.79+478084793.01+174421866.67</f>
        <v>1876232489.47</v>
      </c>
      <c r="D5" s="14">
        <f>339618859.61+9613042.47+9226506.96</f>
        <v>358458409.04000002</v>
      </c>
      <c r="E5" s="14">
        <f>109955544.44+940139.8+14288125.5</f>
        <v>125183809.73999999</v>
      </c>
      <c r="F5" s="14">
        <f>135062953.17+22963380.14+21862179.35</f>
        <v>179888512.66</v>
      </c>
      <c r="G5" s="14">
        <v>2539763220.9099998</v>
      </c>
      <c r="H5" s="31">
        <v>1223725829.79</v>
      </c>
      <c r="I5" s="31">
        <v>339618859.61000001</v>
      </c>
      <c r="J5" s="31">
        <v>109955544.44</v>
      </c>
      <c r="K5" s="31">
        <v>135062953.16999999</v>
      </c>
      <c r="L5" s="14">
        <v>1808363187.01</v>
      </c>
      <c r="M5" s="24">
        <f>189000+34000</f>
        <v>223000</v>
      </c>
      <c r="N5" s="24">
        <f>1118000-34000</f>
        <v>1084000</v>
      </c>
      <c r="O5" s="24">
        <f>M5+N5</f>
        <v>1307000</v>
      </c>
      <c r="P5" s="32">
        <f>(M5*H4-M5*H5)/(M5*N4-M5*N5)</f>
        <v>1404.229759390244</v>
      </c>
      <c r="Q5" s="32">
        <f>40000000/(M5-M4)</f>
        <v>816.32653061224494</v>
      </c>
      <c r="R5" s="32">
        <f>190000000/(N5-N4)</f>
        <v>1158.5365853658536</v>
      </c>
      <c r="S5" s="25">
        <f>M5+N5</f>
        <v>1307000</v>
      </c>
      <c r="T5" s="26">
        <f>C5/S5</f>
        <v>1435.5260057153787</v>
      </c>
      <c r="U5" s="22"/>
      <c r="V5" s="24"/>
      <c r="W5" s="24">
        <v>59000</v>
      </c>
      <c r="X5" s="14"/>
      <c r="Y5" s="14"/>
    </row>
    <row r="6" spans="1:25">
      <c r="A6" s="28">
        <v>2016</v>
      </c>
      <c r="B6" s="15">
        <v>12</v>
      </c>
      <c r="C6" s="31">
        <v>2274212527.3299999</v>
      </c>
      <c r="D6" s="31">
        <v>400603405.88</v>
      </c>
      <c r="E6" s="31">
        <v>117326914.13</v>
      </c>
      <c r="F6" s="31">
        <v>226963881</v>
      </c>
      <c r="G6" s="14">
        <v>3019106728.3400002</v>
      </c>
      <c r="H6" s="31">
        <f>H5+131908000</f>
        <v>1355633829.79</v>
      </c>
      <c r="I6" s="1"/>
      <c r="J6" s="1"/>
      <c r="K6" s="1"/>
      <c r="L6" s="14">
        <v>2001344061.8199999</v>
      </c>
      <c r="M6" s="24">
        <v>225000</v>
      </c>
      <c r="N6" s="24">
        <v>1158000</v>
      </c>
      <c r="O6" s="24">
        <f>M6+N6</f>
        <v>1383000</v>
      </c>
      <c r="P6" s="32">
        <f>(M6*H5-M6*H6)/(M6*N5-M6*N6)</f>
        <v>1782.5405405405406</v>
      </c>
      <c r="Q6" s="32"/>
      <c r="R6" s="32"/>
      <c r="S6" s="25">
        <f>M6+N6</f>
        <v>1383000</v>
      </c>
      <c r="T6" s="26">
        <f>C6/S6</f>
        <v>1644.4052981417208</v>
      </c>
      <c r="U6" s="24">
        <v>11000</v>
      </c>
      <c r="V6" s="24">
        <v>328000</v>
      </c>
      <c r="W6" s="24">
        <v>54000</v>
      </c>
      <c r="X6" s="19">
        <v>266333673.59</v>
      </c>
      <c r="Y6" s="19">
        <v>240878200.06</v>
      </c>
    </row>
    <row r="7" spans="1:25">
      <c r="A7" s="28">
        <v>2017</v>
      </c>
      <c r="B7" s="15">
        <v>12</v>
      </c>
      <c r="C7" s="14">
        <v>2466359245.1399999</v>
      </c>
      <c r="D7" s="14">
        <v>428730685.38999999</v>
      </c>
      <c r="E7" s="14">
        <v>119380639.75</v>
      </c>
      <c r="F7" s="14">
        <v>262260395.91999999</v>
      </c>
      <c r="G7" s="14">
        <v>3276730966.1999998</v>
      </c>
      <c r="H7" s="31"/>
      <c r="I7" s="31"/>
      <c r="J7" s="31"/>
      <c r="K7" s="31"/>
      <c r="L7" s="14">
        <v>2186118987.5599999</v>
      </c>
      <c r="M7" s="24">
        <v>304000</v>
      </c>
      <c r="N7" s="24">
        <v>1211000</v>
      </c>
      <c r="O7" s="24">
        <f>M7+N7</f>
        <v>1515000</v>
      </c>
      <c r="P7" s="24"/>
      <c r="Q7" s="24"/>
      <c r="R7" s="24"/>
      <c r="S7" s="25">
        <f>M7+N7</f>
        <v>1515000</v>
      </c>
      <c r="T7" s="26">
        <f>C7/S7</f>
        <v>1627.9598977821781</v>
      </c>
      <c r="U7" s="24">
        <v>11000</v>
      </c>
      <c r="V7" s="24"/>
      <c r="W7" s="24"/>
      <c r="X7" s="19">
        <v>351244838.56</v>
      </c>
      <c r="Y7" s="19">
        <v>328928806.74000001</v>
      </c>
    </row>
    <row r="8" spans="1:25">
      <c r="A8" s="28">
        <v>2018</v>
      </c>
      <c r="B8" s="15">
        <v>12</v>
      </c>
      <c r="C8" s="14"/>
      <c r="D8" s="14"/>
      <c r="E8" s="14"/>
      <c r="F8" s="14"/>
      <c r="G8" s="14"/>
      <c r="H8" s="31"/>
      <c r="I8" s="31"/>
      <c r="J8" s="31"/>
      <c r="K8" s="31"/>
      <c r="L8" s="14"/>
      <c r="M8" s="15"/>
      <c r="N8" s="15"/>
      <c r="O8" s="15"/>
      <c r="P8" s="15"/>
      <c r="Q8" s="15"/>
      <c r="R8" s="15"/>
      <c r="S8" s="25"/>
      <c r="T8" s="26"/>
      <c r="U8" s="15"/>
      <c r="V8" s="24"/>
      <c r="W8" s="24"/>
      <c r="X8" s="19"/>
      <c r="Y8" s="15"/>
    </row>
    <row r="11" spans="1:25" s="2" customFormat="1">
      <c r="A11" s="17"/>
      <c r="B11" s="17" t="s">
        <v>138</v>
      </c>
      <c r="C11" s="17" t="s">
        <v>139</v>
      </c>
      <c r="D11" s="17" t="s">
        <v>141</v>
      </c>
      <c r="E11" s="17" t="s">
        <v>140</v>
      </c>
      <c r="F11" s="17" t="s">
        <v>141</v>
      </c>
    </row>
    <row r="12" spans="1:25">
      <c r="A12" s="17">
        <v>2014</v>
      </c>
      <c r="B12" s="19">
        <v>2234473955.6199999</v>
      </c>
      <c r="C12" s="19">
        <v>1620583897.23</v>
      </c>
      <c r="D12" s="38">
        <f>C12/B12</f>
        <v>0.7252641692931866</v>
      </c>
      <c r="E12" s="19">
        <v>394382422.18000001</v>
      </c>
      <c r="F12" s="38">
        <f>E12/B12</f>
        <v>0.17649900156055776</v>
      </c>
    </row>
    <row r="13" spans="1:25">
      <c r="A13" s="17">
        <v>2015</v>
      </c>
      <c r="B13" s="19">
        <v>2539763220.9099998</v>
      </c>
      <c r="C13" s="19">
        <v>1808363187.01</v>
      </c>
      <c r="D13" s="38">
        <f t="shared" ref="D13:D15" si="0">C13/B13</f>
        <v>0.71202038525546552</v>
      </c>
      <c r="E13" s="19">
        <v>511601355.42000002</v>
      </c>
      <c r="F13" s="38">
        <f>E13/B13</f>
        <v>0.20143663441062537</v>
      </c>
    </row>
    <row r="14" spans="1:25">
      <c r="A14" s="17">
        <v>2016</v>
      </c>
      <c r="B14" s="19">
        <v>3019106728.3400002</v>
      </c>
      <c r="C14" s="19">
        <v>2001344061.8199999</v>
      </c>
      <c r="D14" s="38">
        <f t="shared" si="0"/>
        <v>0.66289278316450972</v>
      </c>
      <c r="E14" s="19">
        <v>805937289.10000002</v>
      </c>
      <c r="F14" s="38">
        <f>E14/B14</f>
        <v>0.26694561061215932</v>
      </c>
    </row>
    <row r="15" spans="1:25">
      <c r="A15" s="17">
        <v>2017</v>
      </c>
      <c r="B15" s="19">
        <v>3276730966.1999998</v>
      </c>
      <c r="C15" s="19">
        <v>2186118987.5599999</v>
      </c>
      <c r="D15" s="38">
        <f t="shared" si="0"/>
        <v>0.66716462538736454</v>
      </c>
      <c r="E15" s="19">
        <v>988860266.53999996</v>
      </c>
      <c r="F15" s="38">
        <f>E15/B15</f>
        <v>0.30178256217561056</v>
      </c>
    </row>
    <row r="16" spans="1:25">
      <c r="A16" s="17" t="s">
        <v>144</v>
      </c>
      <c r="B16" s="19">
        <v>2003923116.5899999</v>
      </c>
      <c r="C16" s="18"/>
      <c r="D16" s="18"/>
      <c r="E16" s="18"/>
      <c r="F16" s="18"/>
    </row>
    <row r="18" spans="1:9">
      <c r="A18" s="3"/>
    </row>
    <row r="19" spans="1:9">
      <c r="A19" s="3"/>
      <c r="I19" s="37"/>
    </row>
    <row r="20" spans="1:9">
      <c r="A20" s="3"/>
    </row>
    <row r="21" spans="1:9">
      <c r="A21" s="33"/>
    </row>
    <row r="22" spans="1:9">
      <c r="A22" s="33"/>
      <c r="I22" s="14"/>
    </row>
    <row r="23" spans="1:9">
      <c r="A23" s="33"/>
    </row>
    <row r="24" spans="1:9">
      <c r="A24" s="33"/>
    </row>
    <row r="25" spans="1:9">
      <c r="A25" s="33"/>
    </row>
  </sheetData>
  <mergeCells count="3">
    <mergeCell ref="C1:G1"/>
    <mergeCell ref="H1:V1"/>
    <mergeCell ref="H2:L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资产负债表</vt:lpstr>
      <vt:lpstr>估值模型</vt:lpstr>
      <vt:lpstr>经营业绩预测</vt:lpstr>
      <vt:lpstr>利润表分析</vt:lpstr>
      <vt:lpstr>利润分析</vt:lpstr>
      <vt:lpstr>应收</vt:lpstr>
      <vt:lpstr>楼宇媒体</vt:lpstr>
      <vt:lpstr>影院业务</vt:lpstr>
      <vt:lpstr>营业成本分析</vt:lpstr>
      <vt:lpstr>Sheet1</vt:lpstr>
      <vt:lpstr>分众固定资产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2019-02-09T13:53:14Z</dcterms:modified>
</cp:coreProperties>
</file>