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6.xml" ContentType="application/vnd.openxmlformats-officedocument.spreadsheetml.comments+xml"/>
  <Default Extension="jpeg" ContentType="image/jpeg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945" windowWidth="14805" windowHeight="7170" tabRatio="730" firstSheet="4" activeTab="12"/>
  </bookViews>
  <sheets>
    <sheet name="汇总" sheetId="11" r:id="rId1"/>
    <sheet name="杜邦分析" sheetId="19" r:id="rId2"/>
    <sheet name="图标分析" sheetId="18" r:id="rId3"/>
    <sheet name="资产负债表" sheetId="13" r:id="rId4"/>
    <sheet name="利润表" sheetId="14" r:id="rId5"/>
    <sheet name="现金流" sheetId="17" r:id="rId6"/>
    <sheet name="资产负债表分析" sheetId="20" r:id="rId7"/>
    <sheet name="销售数据" sheetId="25" r:id="rId8"/>
    <sheet name="茅台" sheetId="23" r:id="rId9"/>
    <sheet name="茅台（简化）" sheetId="24" r:id="rId10"/>
    <sheet name="分众资产" sheetId="27" r:id="rId11"/>
    <sheet name="分众设备" sheetId="26" r:id="rId12"/>
    <sheet name="简化模型" sheetId="28" r:id="rId13"/>
    <sheet name="Sheet1" sheetId="22" r:id="rId14"/>
    <sheet name="长盛轴承" sheetId="21" r:id="rId15"/>
  </sheets>
  <calcPr calcId="125725"/>
</workbook>
</file>

<file path=xl/calcChain.xml><?xml version="1.0" encoding="utf-8"?>
<calcChain xmlns="http://schemas.openxmlformats.org/spreadsheetml/2006/main">
  <c r="G11" i="27"/>
  <c r="G52"/>
  <c r="G39"/>
  <c r="D4"/>
  <c r="E4"/>
  <c r="F4"/>
  <c r="F52" l="1"/>
  <c r="E46"/>
  <c r="F46"/>
  <c r="E39"/>
  <c r="F39"/>
  <c r="E31"/>
  <c r="F31"/>
  <c r="C3" i="28"/>
  <c r="J3" s="1"/>
  <c r="F5" l="1"/>
  <c r="F4"/>
  <c r="F3"/>
  <c r="I5"/>
  <c r="I4"/>
  <c r="I3"/>
  <c r="I2"/>
  <c r="B4" l="1"/>
  <c r="L6"/>
  <c r="K6"/>
  <c r="L5"/>
  <c r="K5"/>
  <c r="L4"/>
  <c r="K4"/>
  <c r="L3"/>
  <c r="K3"/>
  <c r="L2"/>
  <c r="K2"/>
  <c r="P3"/>
  <c r="O3"/>
  <c r="P2"/>
  <c r="O2"/>
  <c r="B5" l="1"/>
  <c r="C5" s="1"/>
  <c r="J5" s="1"/>
  <c r="C4"/>
  <c r="J4" s="1"/>
  <c r="P5"/>
  <c r="O4"/>
  <c r="B6"/>
  <c r="O5"/>
  <c r="P4"/>
  <c r="D2" i="26"/>
  <c r="C2"/>
  <c r="D16" i="20"/>
  <c r="E16"/>
  <c r="E51"/>
  <c r="D51"/>
  <c r="C36"/>
  <c r="D36"/>
  <c r="E36"/>
  <c r="O6" i="28" l="1"/>
  <c r="P6"/>
  <c r="E28" i="20" l="1"/>
  <c r="D28"/>
  <c r="C28"/>
  <c r="E8" l="1"/>
  <c r="E3" s="1"/>
  <c r="D3"/>
  <c r="F8" l="1"/>
  <c r="E21" i="24"/>
  <c r="G21" s="1"/>
  <c r="E20"/>
  <c r="E19"/>
  <c r="E18"/>
  <c r="E17"/>
  <c r="G17" s="1"/>
  <c r="E16"/>
  <c r="E15"/>
  <c r="E14"/>
  <c r="E13"/>
  <c r="G13" s="1"/>
  <c r="E12"/>
  <c r="E11"/>
  <c r="E10"/>
  <c r="E9"/>
  <c r="E8"/>
  <c r="E7"/>
  <c r="E6"/>
  <c r="E5"/>
  <c r="I13" l="1"/>
  <c r="H13"/>
  <c r="I17"/>
  <c r="H17"/>
  <c r="I21"/>
  <c r="H21"/>
  <c r="G6"/>
  <c r="G10"/>
  <c r="G14"/>
  <c r="G18"/>
  <c r="G11"/>
  <c r="G15"/>
  <c r="G19"/>
  <c r="G12"/>
  <c r="G16"/>
  <c r="G20"/>
  <c r="P21"/>
  <c r="M21"/>
  <c r="P20"/>
  <c r="M20"/>
  <c r="P19"/>
  <c r="M19"/>
  <c r="P18"/>
  <c r="M18"/>
  <c r="P17"/>
  <c r="M17"/>
  <c r="P16"/>
  <c r="M16"/>
  <c r="P15"/>
  <c r="M15"/>
  <c r="P14"/>
  <c r="M14"/>
  <c r="P13"/>
  <c r="M13"/>
  <c r="P12"/>
  <c r="M12"/>
  <c r="P11"/>
  <c r="M11"/>
  <c r="P10"/>
  <c r="M10"/>
  <c r="O10"/>
  <c r="P9"/>
  <c r="M9"/>
  <c r="F9"/>
  <c r="G9" s="1"/>
  <c r="O9"/>
  <c r="P8"/>
  <c r="M8"/>
  <c r="F8"/>
  <c r="G8" s="1"/>
  <c r="O8"/>
  <c r="P7"/>
  <c r="M7"/>
  <c r="F7"/>
  <c r="O21" s="1"/>
  <c r="O7"/>
  <c r="P6"/>
  <c r="M6"/>
  <c r="O6"/>
  <c r="M5"/>
  <c r="K18" i="23"/>
  <c r="K17"/>
  <c r="K16"/>
  <c r="K15"/>
  <c r="K14"/>
  <c r="K13"/>
  <c r="K12"/>
  <c r="K11"/>
  <c r="K10"/>
  <c r="K9"/>
  <c r="K8"/>
  <c r="K7"/>
  <c r="K3"/>
  <c r="I8"/>
  <c r="I17"/>
  <c r="I9"/>
  <c r="I10"/>
  <c r="I11"/>
  <c r="I12"/>
  <c r="I13"/>
  <c r="I14"/>
  <c r="I15"/>
  <c r="I16"/>
  <c r="I18"/>
  <c r="I7"/>
  <c r="I6"/>
  <c r="I5"/>
  <c r="I4"/>
  <c r="I3"/>
  <c r="I8" i="24" l="1"/>
  <c r="H8"/>
  <c r="I9"/>
  <c r="H9"/>
  <c r="I20"/>
  <c r="H20"/>
  <c r="I15"/>
  <c r="H15"/>
  <c r="I10"/>
  <c r="H10"/>
  <c r="I16"/>
  <c r="H16"/>
  <c r="I11"/>
  <c r="H11"/>
  <c r="I12"/>
  <c r="H12"/>
  <c r="I18"/>
  <c r="H18"/>
  <c r="I19"/>
  <c r="H19"/>
  <c r="I14"/>
  <c r="H14"/>
  <c r="I6"/>
  <c r="H6"/>
  <c r="G7"/>
  <c r="N9"/>
  <c r="N21"/>
  <c r="N11"/>
  <c r="N14"/>
  <c r="N10"/>
  <c r="N13"/>
  <c r="N16"/>
  <c r="N12"/>
  <c r="N18"/>
  <c r="N17"/>
  <c r="N6"/>
  <c r="N8"/>
  <c r="N15"/>
  <c r="N20"/>
  <c r="N19"/>
  <c r="O12"/>
  <c r="O16"/>
  <c r="O20"/>
  <c r="O11"/>
  <c r="O15"/>
  <c r="O19"/>
  <c r="O14"/>
  <c r="O18"/>
  <c r="O13"/>
  <c r="O17"/>
  <c r="L3" i="23"/>
  <c r="L2"/>
  <c r="G5"/>
  <c r="G4"/>
  <c r="G6"/>
  <c r="G7"/>
  <c r="J6"/>
  <c r="K6" s="1"/>
  <c r="J5"/>
  <c r="J4"/>
  <c r="K4" s="1"/>
  <c r="I7" i="24" l="1"/>
  <c r="H7"/>
  <c r="N7"/>
  <c r="L14" i="23"/>
  <c r="R14" s="1"/>
  <c r="K5"/>
  <c r="L4"/>
  <c r="R4" s="1"/>
  <c r="L6"/>
  <c r="R6" s="1"/>
  <c r="L5"/>
  <c r="R5" s="1"/>
  <c r="L10"/>
  <c r="L7"/>
  <c r="R7" s="1"/>
  <c r="L17"/>
  <c r="L18"/>
  <c r="R18" s="1"/>
  <c r="L11"/>
  <c r="R11" s="1"/>
  <c r="L15"/>
  <c r="R15" s="1"/>
  <c r="L8"/>
  <c r="R8" s="1"/>
  <c r="L12"/>
  <c r="R12" s="1"/>
  <c r="L16"/>
  <c r="R16" s="1"/>
  <c r="L9"/>
  <c r="R9" s="1"/>
  <c r="L13"/>
  <c r="R10"/>
  <c r="R17"/>
  <c r="R3"/>
  <c r="R13"/>
  <c r="S18"/>
  <c r="S17"/>
  <c r="S16"/>
  <c r="S15"/>
  <c r="S14"/>
  <c r="S13"/>
  <c r="S12"/>
  <c r="S11"/>
  <c r="S10"/>
  <c r="S9"/>
  <c r="S8"/>
  <c r="S7"/>
  <c r="S6"/>
  <c r="S5"/>
  <c r="S4"/>
  <c r="S3"/>
  <c r="P18"/>
  <c r="Q18" s="1"/>
  <c r="P17"/>
  <c r="Q17" s="1"/>
  <c r="P16"/>
  <c r="Q16" s="1"/>
  <c r="P15"/>
  <c r="Q15" s="1"/>
  <c r="P14"/>
  <c r="Q14" s="1"/>
  <c r="P13"/>
  <c r="Q13" s="1"/>
  <c r="P12"/>
  <c r="Q12" s="1"/>
  <c r="P11"/>
  <c r="Q11" s="1"/>
  <c r="P10"/>
  <c r="Q10" s="1"/>
  <c r="P9"/>
  <c r="Q9" s="1"/>
  <c r="P8"/>
  <c r="Q8" s="1"/>
  <c r="P7"/>
  <c r="Q7" s="1"/>
  <c r="P6"/>
  <c r="Q6" s="1"/>
  <c r="P5"/>
  <c r="Q5" s="1"/>
  <c r="P4"/>
  <c r="Q4" s="1"/>
  <c r="P3"/>
  <c r="Q3" s="1"/>
  <c r="P2"/>
  <c r="Q43" i="20" l="1"/>
  <c r="O43"/>
  <c r="M43"/>
  <c r="K43"/>
  <c r="I43"/>
  <c r="H43"/>
  <c r="G43"/>
  <c r="H35" l="1"/>
  <c r="H34"/>
  <c r="H33"/>
  <c r="H32"/>
  <c r="H31"/>
  <c r="H30"/>
  <c r="H29"/>
  <c r="I36"/>
  <c r="G36"/>
  <c r="Q36"/>
  <c r="O36"/>
  <c r="M36"/>
  <c r="N36" s="1"/>
  <c r="K36"/>
  <c r="Q28"/>
  <c r="O28"/>
  <c r="M28"/>
  <c r="N28" s="1"/>
  <c r="K28"/>
  <c r="I28"/>
  <c r="G28"/>
  <c r="H26"/>
  <c r="H25"/>
  <c r="H24"/>
  <c r="H23"/>
  <c r="H22"/>
  <c r="H21"/>
  <c r="H20"/>
  <c r="H19"/>
  <c r="J28" l="1"/>
  <c r="L28"/>
  <c r="L36"/>
  <c r="H36"/>
  <c r="J36"/>
  <c r="H28"/>
  <c r="P28"/>
  <c r="P36"/>
  <c r="K6" i="22"/>
  <c r="J6"/>
  <c r="I6"/>
  <c r="H6"/>
  <c r="G6"/>
  <c r="K5"/>
  <c r="J5"/>
  <c r="I5"/>
  <c r="H5"/>
  <c r="G5"/>
  <c r="K4"/>
  <c r="J4"/>
  <c r="I4"/>
  <c r="H4"/>
  <c r="G4"/>
  <c r="K3"/>
  <c r="J3"/>
  <c r="I3"/>
  <c r="H3"/>
  <c r="G3"/>
  <c r="K2"/>
  <c r="J2"/>
  <c r="I2"/>
  <c r="H2"/>
  <c r="G2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D19" i="21" l="1"/>
  <c r="D18"/>
  <c r="D17"/>
  <c r="D16"/>
  <c r="D13" l="1"/>
  <c r="D12"/>
  <c r="D11"/>
  <c r="D10"/>
  <c r="D9"/>
  <c r="D8"/>
  <c r="D7"/>
  <c r="D6"/>
  <c r="D5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4"/>
  <c r="F15"/>
  <c r="F14"/>
  <c r="F13"/>
  <c r="F12"/>
  <c r="F9"/>
  <c r="F8"/>
  <c r="F7"/>
  <c r="F6"/>
  <c r="F5"/>
  <c r="F11"/>
  <c r="F10"/>
  <c r="H18" i="20"/>
  <c r="H17"/>
  <c r="H16"/>
  <c r="H15"/>
  <c r="H14"/>
  <c r="H13"/>
  <c r="H12"/>
  <c r="H11"/>
  <c r="H10"/>
  <c r="H9"/>
  <c r="H8"/>
  <c r="H4"/>
  <c r="P4"/>
  <c r="P16"/>
  <c r="P15"/>
  <c r="P14"/>
  <c r="P13"/>
  <c r="P12"/>
  <c r="P11"/>
  <c r="P10"/>
  <c r="P9"/>
  <c r="P8"/>
  <c r="N16" l="1"/>
  <c r="N15"/>
  <c r="N14"/>
  <c r="N13"/>
  <c r="N12"/>
  <c r="N11"/>
  <c r="N10"/>
  <c r="N9"/>
  <c r="N8"/>
  <c r="N4"/>
  <c r="L4"/>
  <c r="J4"/>
  <c r="L16"/>
  <c r="L8"/>
  <c r="L9"/>
  <c r="L10"/>
  <c r="L11"/>
  <c r="L12"/>
  <c r="L13"/>
  <c r="L14"/>
  <c r="L15"/>
  <c r="J15" l="1"/>
  <c r="J14"/>
  <c r="J12"/>
  <c r="J11"/>
  <c r="J10"/>
  <c r="J9"/>
  <c r="J8"/>
  <c r="J13"/>
  <c r="J16"/>
  <c r="J53" l="1"/>
  <c r="J52"/>
  <c r="J51"/>
  <c r="J49"/>
  <c r="J48"/>
  <c r="J47"/>
  <c r="J46"/>
  <c r="J45"/>
  <c r="J44"/>
  <c r="J17"/>
  <c r="J42"/>
  <c r="J41"/>
  <c r="J40"/>
  <c r="J39"/>
  <c r="J38"/>
  <c r="J37"/>
  <c r="J35"/>
  <c r="J34"/>
  <c r="J33"/>
  <c r="J32"/>
  <c r="J31"/>
  <c r="J30"/>
  <c r="J29"/>
  <c r="J26"/>
  <c r="J25"/>
  <c r="J24"/>
  <c r="J23"/>
  <c r="J22"/>
  <c r="J21"/>
  <c r="J20"/>
  <c r="J19"/>
  <c r="J18"/>
  <c r="L53"/>
  <c r="L52"/>
  <c r="L51"/>
  <c r="L49"/>
  <c r="L48"/>
  <c r="L47"/>
  <c r="L46"/>
  <c r="L45"/>
  <c r="L44"/>
  <c r="P21"/>
  <c r="N21"/>
  <c r="L21"/>
  <c r="L42"/>
  <c r="L41"/>
  <c r="L40"/>
  <c r="L39"/>
  <c r="L38"/>
  <c r="L37"/>
  <c r="L35"/>
  <c r="L34"/>
  <c r="L33"/>
  <c r="L32"/>
  <c r="L31"/>
  <c r="L30"/>
  <c r="L29"/>
  <c r="L26"/>
  <c r="L25"/>
  <c r="L24"/>
  <c r="L23"/>
  <c r="L22"/>
  <c r="L20"/>
  <c r="L19"/>
  <c r="L17"/>
  <c r="L18"/>
  <c r="P53"/>
  <c r="N53"/>
  <c r="N44"/>
  <c r="N52"/>
  <c r="N51"/>
  <c r="N49"/>
  <c r="N48"/>
  <c r="N47"/>
  <c r="N46"/>
  <c r="N45"/>
  <c r="N17"/>
  <c r="N42"/>
  <c r="N41"/>
  <c r="N40"/>
  <c r="N39"/>
  <c r="N38"/>
  <c r="N37"/>
  <c r="N35"/>
  <c r="N34"/>
  <c r="N33"/>
  <c r="N32"/>
  <c r="N31"/>
  <c r="N30"/>
  <c r="N29"/>
  <c r="N26"/>
  <c r="N25"/>
  <c r="N24"/>
  <c r="N23"/>
  <c r="N22"/>
  <c r="N20"/>
  <c r="L43" l="1"/>
  <c r="J43"/>
  <c r="N43"/>
  <c r="N19"/>
  <c r="N18"/>
  <c r="P52"/>
  <c r="P51"/>
  <c r="P49"/>
  <c r="P48"/>
  <c r="P47"/>
  <c r="P46"/>
  <c r="P45"/>
  <c r="P44"/>
  <c r="P42"/>
  <c r="P41"/>
  <c r="P40"/>
  <c r="P39"/>
  <c r="P38"/>
  <c r="P37"/>
  <c r="P35"/>
  <c r="P34"/>
  <c r="P33"/>
  <c r="P32"/>
  <c r="P31"/>
  <c r="P30"/>
  <c r="P29"/>
  <c r="P18"/>
  <c r="P17"/>
  <c r="P26"/>
  <c r="P25"/>
  <c r="P23"/>
  <c r="P22"/>
  <c r="P20"/>
  <c r="P19"/>
  <c r="P43" l="1"/>
  <c r="D21" i="1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21"/>
  <c r="E21" s="1"/>
  <c r="B20"/>
  <c r="B19"/>
  <c r="E19" s="1"/>
  <c r="B18"/>
  <c r="E18" s="1"/>
  <c r="B17"/>
  <c r="E17" s="1"/>
  <c r="B16"/>
  <c r="E16" s="1"/>
  <c r="B15"/>
  <c r="E15" s="1"/>
  <c r="B14"/>
  <c r="E14" s="1"/>
  <c r="B13"/>
  <c r="E13" s="1"/>
  <c r="B12"/>
  <c r="E12" s="1"/>
  <c r="B11"/>
  <c r="E11" s="1"/>
  <c r="B10"/>
  <c r="E10" s="1"/>
  <c r="B9"/>
  <c r="E9" s="1"/>
  <c r="B8"/>
  <c r="E8" s="1"/>
  <c r="B7"/>
  <c r="E7" s="1"/>
  <c r="B6"/>
  <c r="E6" s="1"/>
  <c r="B5"/>
  <c r="E5" s="1"/>
  <c r="B4"/>
  <c r="E4" s="1"/>
  <c r="B3"/>
  <c r="E3" s="1"/>
  <c r="B2"/>
  <c r="E2" s="1"/>
  <c r="E20" l="1"/>
  <c r="Q21" i="1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R3" l="1"/>
  <c r="R11"/>
  <c r="R19"/>
  <c r="R8"/>
  <c r="R16"/>
  <c r="R2"/>
  <c r="R6"/>
  <c r="R10"/>
  <c r="R14"/>
  <c r="R18"/>
  <c r="R7"/>
  <c r="R15"/>
  <c r="R4"/>
  <c r="R12"/>
  <c r="R20"/>
  <c r="R5"/>
  <c r="R9"/>
  <c r="R13"/>
  <c r="R17"/>
  <c r="R21"/>
  <c r="C21"/>
  <c r="C20"/>
  <c r="C19"/>
  <c r="C18"/>
  <c r="C17"/>
  <c r="C16"/>
  <c r="C15"/>
  <c r="C14"/>
  <c r="C13"/>
  <c r="C12"/>
  <c r="C11"/>
  <c r="C10"/>
  <c r="C9"/>
  <c r="C8"/>
  <c r="C7"/>
  <c r="C6"/>
  <c r="C5"/>
  <c r="C4"/>
  <c r="J21" l="1"/>
  <c r="I21"/>
  <c r="H21"/>
  <c r="G21"/>
  <c r="F21"/>
  <c r="E21"/>
  <c r="D21"/>
  <c r="B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T21" l="1"/>
  <c r="S21"/>
  <c r="K21"/>
  <c r="O21"/>
  <c r="L21"/>
  <c r="N21"/>
  <c r="M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20" l="1"/>
  <c r="E19"/>
  <c r="E18"/>
  <c r="E17"/>
  <c r="E16"/>
  <c r="E15"/>
  <c r="E14"/>
  <c r="E13"/>
  <c r="E12"/>
  <c r="E11"/>
  <c r="E10"/>
  <c r="E9"/>
  <c r="E8"/>
  <c r="E7"/>
  <c r="E6"/>
  <c r="E5"/>
  <c r="E4"/>
  <c r="E3"/>
  <c r="E2"/>
  <c r="D3"/>
  <c r="D2"/>
  <c r="D20"/>
  <c r="D19"/>
  <c r="D18"/>
  <c r="D17"/>
  <c r="D16"/>
  <c r="D15"/>
  <c r="D14"/>
  <c r="D13"/>
  <c r="D12"/>
  <c r="D11"/>
  <c r="D10"/>
  <c r="D9"/>
  <c r="D8"/>
  <c r="D7"/>
  <c r="D6"/>
  <c r="D5"/>
  <c r="D4"/>
  <c r="N2" l="1"/>
  <c r="N3"/>
  <c r="C2"/>
  <c r="C3"/>
  <c r="B4" l="1"/>
  <c r="B19"/>
  <c r="B18"/>
  <c r="B17"/>
  <c r="B16"/>
  <c r="B15"/>
  <c r="B14"/>
  <c r="B13"/>
  <c r="B12"/>
  <c r="O12" s="1"/>
  <c r="B11"/>
  <c r="B10"/>
  <c r="B9"/>
  <c r="B8"/>
  <c r="B7"/>
  <c r="B6"/>
  <c r="B5"/>
  <c r="B3"/>
  <c r="B2"/>
  <c r="B20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O19"/>
  <c r="O18"/>
  <c r="N20"/>
  <c r="N19"/>
  <c r="N18"/>
  <c r="N17"/>
  <c r="N16"/>
  <c r="N15"/>
  <c r="N14"/>
  <c r="N13"/>
  <c r="N12"/>
  <c r="N11"/>
  <c r="N10"/>
  <c r="N9"/>
  <c r="N8"/>
  <c r="N7"/>
  <c r="N6"/>
  <c r="N5"/>
  <c r="N4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O5" l="1"/>
  <c r="T5"/>
  <c r="S5"/>
  <c r="O9"/>
  <c r="T9"/>
  <c r="S9"/>
  <c r="O13"/>
  <c r="T13"/>
  <c r="S13"/>
  <c r="O17"/>
  <c r="T17"/>
  <c r="S17"/>
  <c r="O20"/>
  <c r="T20"/>
  <c r="S20"/>
  <c r="O6"/>
  <c r="T6"/>
  <c r="S6"/>
  <c r="O10"/>
  <c r="T10"/>
  <c r="S10"/>
  <c r="O14"/>
  <c r="T14"/>
  <c r="S14"/>
  <c r="T18"/>
  <c r="S18"/>
  <c r="O2"/>
  <c r="T2"/>
  <c r="S2"/>
  <c r="O7"/>
  <c r="T7"/>
  <c r="S7"/>
  <c r="O11"/>
  <c r="T11"/>
  <c r="S11"/>
  <c r="O15"/>
  <c r="T15"/>
  <c r="S15"/>
  <c r="T19"/>
  <c r="S19"/>
  <c r="O3"/>
  <c r="T3"/>
  <c r="S3"/>
  <c r="O8"/>
  <c r="T8"/>
  <c r="S8"/>
  <c r="T12"/>
  <c r="S12"/>
  <c r="O16"/>
  <c r="T16"/>
  <c r="S16"/>
  <c r="O4"/>
  <c r="T4"/>
  <c r="S4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仅涉及母公司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 xml:space="preserve">净利润-上一年度分红=所有者权益增长（母公司）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IPO 7150</t>
        </r>
        <r>
          <rPr>
            <b/>
            <sz val="9"/>
            <color indexed="81"/>
            <rFont val="宋体"/>
            <family val="3"/>
            <charset val="134"/>
          </rPr>
          <t>万股。其中国有股</t>
        </r>
        <r>
          <rPr>
            <b/>
            <sz val="9"/>
            <color indexed="81"/>
            <rFont val="Tahoma"/>
            <family val="2"/>
          </rPr>
          <t>650</t>
        </r>
        <r>
          <rPr>
            <b/>
            <sz val="9"/>
            <color indexed="81"/>
            <rFont val="宋体"/>
            <family val="3"/>
            <charset val="134"/>
          </rPr>
          <t>万股
发行价</t>
        </r>
        <r>
          <rPr>
            <b/>
            <sz val="9"/>
            <color indexed="81"/>
            <rFont val="Tahoma"/>
            <family val="2"/>
          </rPr>
          <t>31.39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股转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股</t>
        </r>
      </text>
    </comment>
    <comment ref="F8" authorId="0">
      <text>
        <r>
          <rPr>
            <b/>
            <sz val="9"/>
            <color indexed="81"/>
            <rFont val="宋体"/>
            <family val="3"/>
            <charset val="134"/>
          </rPr>
          <t>10股转1股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 xml:space="preserve">转股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捐赠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>按母公司利润提取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>资产=货币资产+经营相关资产+生产相关资产+投资相关资产</t>
        </r>
      </text>
    </comment>
    <comment ref="B22" authorId="0">
      <text>
        <r>
          <rPr>
            <b/>
            <sz val="9"/>
            <color indexed="81"/>
            <rFont val="宋体"/>
            <family val="3"/>
            <charset val="134"/>
          </rPr>
          <t>计提坏账</t>
        </r>
      </text>
    </comment>
    <comment ref="N2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在建工程转入19.83亿
</t>
        </r>
      </text>
    </comment>
    <comment ref="P32" authorId="0">
      <text>
        <r>
          <rPr>
            <b/>
            <sz val="9"/>
            <color indexed="81"/>
            <rFont val="宋体"/>
            <family val="3"/>
            <charset val="134"/>
          </rPr>
          <t>土地使用权增加27亿</t>
        </r>
      </text>
    </comment>
    <comment ref="E41" authorId="0">
      <text>
        <r>
          <rPr>
            <sz val="9"/>
            <color indexed="81"/>
            <rFont val="宋体"/>
            <family val="3"/>
            <charset val="134"/>
          </rPr>
          <t xml:space="preserve">出资400 万元
贵州茅台酒厂（集团）
对外投资合作管理有限公司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企业挣到的钱=所有者权益-股本-资本公积+分红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IPO 7150万股。其中国有股650万股
发行价31.39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65000*（31.39-1)-费用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仅涉及母公司</t>
        </r>
      </text>
    </comment>
    <comment ref="A5" authorId="0">
      <text>
        <r>
          <rPr>
            <sz val="9"/>
            <color indexed="81"/>
            <rFont val="宋体"/>
            <family val="3"/>
            <charset val="134"/>
          </rPr>
          <t xml:space="preserve">净利润-上一年度分红=所有者权益增长（母公司）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转</t>
        </r>
        <r>
          <rPr>
            <b/>
            <sz val="9"/>
            <color indexed="81"/>
            <rFont val="Tahoma"/>
            <family val="2"/>
          </rPr>
          <t>10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转</t>
        </r>
        <r>
          <rPr>
            <b/>
            <sz val="9"/>
            <color indexed="81"/>
            <rFont val="Tahoma"/>
            <family val="2"/>
          </rPr>
          <t>4</t>
        </r>
      </text>
    </comment>
    <comment ref="F10" authorId="0">
      <text>
        <r>
          <rPr>
            <sz val="9"/>
            <color indexed="81"/>
            <rFont val="宋体"/>
            <family val="3"/>
            <charset val="134"/>
          </rPr>
          <t xml:space="preserve">转增股本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按母公司利润提取</t>
        </r>
      </text>
    </comment>
    <comment ref="A19" authorId="0">
      <text>
        <r>
          <rPr>
            <b/>
            <sz val="9"/>
            <color indexed="81"/>
            <rFont val="宋体"/>
            <family val="3"/>
            <charset val="134"/>
          </rPr>
          <t>资产=货币资产+经营相关资产+生产相关资产+投资相关资产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计提坏账
大致等于3个月的应收，即为合理</t>
        </r>
      </text>
    </comment>
    <comment ref="G25" authorId="0">
      <text>
        <r>
          <rPr>
            <b/>
            <sz val="9"/>
            <color indexed="81"/>
            <rFont val="宋体"/>
            <family val="3"/>
            <charset val="134"/>
          </rPr>
          <t>计提</t>
        </r>
        <r>
          <rPr>
            <b/>
            <sz val="9"/>
            <color indexed="81"/>
            <rFont val="Tahoma"/>
            <family val="2"/>
          </rPr>
          <t>15%</t>
        </r>
        <r>
          <rPr>
            <b/>
            <sz val="9"/>
            <color indexed="81"/>
            <rFont val="宋体"/>
            <family val="3"/>
            <charset val="134"/>
          </rPr>
          <t>坏账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预付媒体资源租金上涨</t>
        </r>
        <r>
          <rPr>
            <b/>
            <sz val="9"/>
            <color indexed="81"/>
            <rFont val="Tahoma"/>
            <family val="2"/>
          </rPr>
          <t>5.85</t>
        </r>
        <r>
          <rPr>
            <b/>
            <sz val="9"/>
            <color indexed="81"/>
            <rFont val="宋体"/>
            <family val="3"/>
            <charset val="134"/>
          </rPr>
          <t>亿</t>
        </r>
      </text>
    </comment>
    <comment ref="F32" authorId="0">
      <text>
        <r>
          <rPr>
            <b/>
            <sz val="9"/>
            <color indexed="81"/>
            <rFont val="宋体"/>
            <family val="3"/>
            <charset val="134"/>
          </rPr>
          <t>2017 P134</t>
        </r>
      </text>
    </comment>
    <comment ref="G32" authorId="0">
      <text>
        <r>
          <rPr>
            <b/>
            <sz val="9"/>
            <color indexed="81"/>
            <rFont val="宋体"/>
            <family val="3"/>
            <charset val="134"/>
          </rPr>
          <t>设备大幅增加</t>
        </r>
      </text>
    </comment>
    <comment ref="F35" authorId="0">
      <text>
        <r>
          <rPr>
            <b/>
            <sz val="9"/>
            <color indexed="81"/>
            <rFont val="宋体"/>
            <family val="3"/>
            <charset val="134"/>
          </rPr>
          <t>广告经营及发布权
客户基础
电信增值业务特许权</t>
        </r>
      </text>
    </comment>
    <comment ref="F53" authorId="0">
      <text>
        <r>
          <rPr>
            <b/>
            <sz val="9"/>
            <color indexed="81"/>
            <rFont val="宋体"/>
            <family val="3"/>
            <charset val="134"/>
          </rPr>
          <t>2017 P142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56" authorId="0">
      <text>
        <r>
          <rPr>
            <b/>
            <sz val="9"/>
            <color indexed="81"/>
            <rFont val="宋体"/>
            <family val="3"/>
            <charset val="134"/>
          </rPr>
          <t>代收待付置出资产款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0" authorId="0">
      <text>
        <r>
          <rPr>
            <b/>
            <sz val="9"/>
            <color indexed="81"/>
            <rFont val="宋体"/>
            <family val="3"/>
            <charset val="134"/>
          </rPr>
          <t>信用借款</t>
        </r>
      </text>
    </comment>
    <comment ref="F61" authorId="0">
      <text>
        <r>
          <rPr>
            <b/>
            <sz val="9"/>
            <color indexed="81"/>
            <rFont val="宋体"/>
            <family val="3"/>
            <charset val="134"/>
          </rPr>
          <t>保证借款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崇明县招商财政扶持9,458.72万元
上海财政局 3,099.00万元
成都高新区 3,527.00万元
上海市闸北区财政局 615.00万元
上海市张江高科技园区 5,123.50万
宁波大榭开发区财政局 24,349.50万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租赁成本增加4000万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租赁成本增加1.9亿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10转10</t>
        </r>
      </text>
    </commen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10转4</t>
        </r>
      </text>
    </commen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10转2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仅涉及母公司</t>
        </r>
      </text>
    </comment>
    <comment ref="A4" authorId="0">
      <text>
        <r>
          <rPr>
            <sz val="9"/>
            <color indexed="81"/>
            <rFont val="宋体"/>
            <family val="3"/>
            <charset val="134"/>
          </rPr>
          <t xml:space="preserve">净利润-上一年度分红=所有者权益增长（母公司）
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按母公司利润提取</t>
        </r>
      </text>
    </comment>
  </commentList>
</comments>
</file>

<file path=xl/sharedStrings.xml><?xml version="1.0" encoding="utf-8"?>
<sst xmlns="http://schemas.openxmlformats.org/spreadsheetml/2006/main" count="676" uniqueCount="342">
  <si>
    <t>报表日期</t>
  </si>
  <si>
    <t>销售费用</t>
  </si>
  <si>
    <t>管理费用</t>
  </si>
  <si>
    <t>财务费用</t>
  </si>
  <si>
    <t>毛利率</t>
    <phoneticPr fontId="1" type="noConversion"/>
  </si>
  <si>
    <t>营业利润率</t>
    <phoneticPr fontId="1" type="noConversion"/>
  </si>
  <si>
    <t>少数股东权益</t>
  </si>
  <si>
    <t>一、经营活动产生的现金流量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</si>
  <si>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</si>
  <si>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</si>
  <si>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</si>
  <si>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</si>
  <si>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</si>
  <si>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</si>
  <si>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</si>
  <si>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</si>
  <si>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二、投资活动产生的现金流量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</si>
  <si>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</si>
  <si>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</si>
  <si>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</si>
  <si>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</si>
  <si>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</si>
  <si>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</si>
  <si>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</si>
  <si>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</si>
  <si>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</si>
  <si>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</si>
  <si>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</si>
  <si>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</si>
  <si>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三、筹资活动产生的现金流量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</si>
  <si>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</si>
  <si>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</si>
  <si>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</si>
  <si>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</si>
  <si>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</si>
  <si>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</si>
  <si>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</si>
  <si>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分配股利、利润或偿付利息所支付的现金</t>
  </si>
  <si>
    <t>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</si>
  <si>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</si>
  <si>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</si>
  <si>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</si>
  <si>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</si>
  <si>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加:期初现金及现金等价物余额</t>
  </si>
  <si>
    <t>六、期末现金及现金等价物余额</t>
  </si>
  <si>
    <t>附注</t>
  </si>
  <si>
    <t>净利润</t>
  </si>
  <si>
    <t>未确认的投资损失</t>
  </si>
  <si>
    <t>资产减值准备</t>
  </si>
  <si>
    <t>固定资产折旧、油气资产折耗、生产性物资折旧</t>
  </si>
  <si>
    <t>无形资产摊销</t>
  </si>
  <si>
    <t>长期待摊费用摊销</t>
  </si>
  <si>
    <t>待摊费用的减少</t>
  </si>
  <si>
    <t>预提费用的增加</t>
  </si>
  <si>
    <t>处置固定资产、无形资产和其他长期资产的损失</t>
  </si>
  <si>
    <t>固定资产报废损失</t>
  </si>
  <si>
    <t>公允价值变动损失</t>
  </si>
  <si>
    <t>递延收益增加（减：减少）</t>
  </si>
  <si>
    <t>预计负债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</si>
  <si>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</si>
  <si>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</si>
  <si>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</si>
  <si>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</si>
  <si>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</si>
  <si>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</si>
  <si>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已完工尚未结算款的减少(减:增加)</t>
  </si>
  <si>
    <t>已结算尚未完工款的增加(减:减少)</t>
  </si>
  <si>
    <t>其他</t>
  </si>
  <si>
    <t>经营活动产生现金流量净额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</si>
  <si>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</si>
  <si>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</si>
  <si>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</si>
  <si>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</si>
  <si>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</si>
  <si>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</si>
  <si>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</si>
  <si>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现金及现金等价物的净增加额</t>
  </si>
  <si>
    <t>净利润</t>
    <phoneticPr fontId="1" type="noConversion"/>
  </si>
  <si>
    <t>经营现金流净额/净利润
大于1</t>
    <phoneticPr fontId="1" type="noConversion"/>
  </si>
  <si>
    <t>销售商品、提供劳务收到的现金/营业收入
1.17倍</t>
    <phoneticPr fontId="1" type="noConversion"/>
  </si>
  <si>
    <t>购买固定资产、无形资产的支出/经营活动现金流</t>
    <phoneticPr fontId="1" type="noConversion"/>
  </si>
  <si>
    <t>经营现金流净额</t>
    <phoneticPr fontId="1" type="noConversion"/>
  </si>
  <si>
    <t>销售商品、提供劳务收到的现金</t>
    <phoneticPr fontId="1" type="noConversion"/>
  </si>
  <si>
    <t>营业收入</t>
    <phoneticPr fontId="1" type="noConversion"/>
  </si>
  <si>
    <t>现金余额</t>
    <phoneticPr fontId="1" type="noConversion"/>
  </si>
  <si>
    <t>投资支出</t>
    <phoneticPr fontId="1" type="noConversion"/>
  </si>
  <si>
    <t>现金分红</t>
    <phoneticPr fontId="1" type="noConversion"/>
  </si>
  <si>
    <t>有息负债</t>
    <phoneticPr fontId="1" type="noConversion"/>
  </si>
  <si>
    <t>营业成本</t>
    <phoneticPr fontId="1" type="noConversion"/>
  </si>
  <si>
    <t>费用率(三费用/毛利润)</t>
    <phoneticPr fontId="1" type="noConversion"/>
  </si>
  <si>
    <t>单位</t>
  </si>
  <si>
    <t>元</t>
  </si>
  <si>
    <t>销售商品、提供劳务收到的现金</t>
  </si>
  <si>
    <t>经营活动产生的现金流量净额</t>
  </si>
  <si>
    <t>五、现金及现金等价物净增加额</t>
  </si>
  <si>
    <t>营业利润</t>
    <phoneticPr fontId="1" type="noConversion"/>
  </si>
  <si>
    <t>一、营业总收入</t>
  </si>
  <si>
    <t>营业收入</t>
  </si>
  <si>
    <t>二、营业总成本</t>
  </si>
  <si>
    <t>营业成本</t>
  </si>
  <si>
    <t>营业税金及附加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</si>
  <si>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</si>
  <si>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</si>
  <si>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</si>
  <si>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</si>
  <si>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</si>
  <si>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</si>
  <si>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</si>
  <si>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</si>
  <si>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</si>
  <si>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</si>
  <si>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</si>
  <si>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</si>
  <si>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</si>
  <si>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</si>
  <si>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</si>
  <si>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</si>
  <si>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</si>
  <si>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</si>
  <si>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</si>
  <si>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</si>
  <si>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</si>
  <si>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流动资产</t>
  </si>
  <si>
    <t>货币资金</t>
  </si>
  <si>
    <t>交易性金融资产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</si>
  <si>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</si>
  <si>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</si>
  <si>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</si>
  <si>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</si>
  <si>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</si>
  <si>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</si>
  <si>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</si>
  <si>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</si>
  <si>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</si>
  <si>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</si>
  <si>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</si>
  <si>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</si>
  <si>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</si>
  <si>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</si>
  <si>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</si>
  <si>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非流动资产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</si>
  <si>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</si>
  <si>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</si>
  <si>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</si>
  <si>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</si>
  <si>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</si>
  <si>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</si>
  <si>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固定资产净额</t>
  </si>
  <si>
    <t>在建工程</t>
  </si>
  <si>
    <t>工程物资</t>
  </si>
  <si>
    <t>固定资产清理</t>
  </si>
  <si>
    <t>生产性生物资产</t>
  </si>
  <si>
    <t>公益性生物资产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</si>
  <si>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</si>
  <si>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</si>
  <si>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</si>
  <si>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</si>
  <si>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</si>
  <si>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</si>
  <si>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</si>
  <si>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</si>
  <si>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</si>
  <si>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</si>
  <si>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</si>
  <si>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交易性金融负债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</si>
  <si>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</si>
  <si>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</si>
  <si>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</si>
  <si>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</si>
  <si>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</si>
  <si>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</si>
  <si>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</si>
  <si>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</si>
  <si>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</si>
  <si>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</si>
  <si>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</si>
  <si>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</si>
  <si>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</si>
  <si>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</si>
  <si>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</si>
  <si>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</si>
  <si>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</si>
  <si>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</si>
  <si>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长期应付款</t>
  </si>
  <si>
    <t>长期应付职工薪酬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</si>
  <si>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</si>
  <si>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</si>
  <si>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</si>
  <si>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</si>
  <si>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</si>
  <si>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</si>
  <si>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</si>
  <si>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所有者权益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</si>
  <si>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</si>
  <si>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</si>
  <si>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</si>
  <si>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</si>
  <si>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</si>
  <si>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</si>
  <si>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</si>
  <si>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</si>
  <si>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</si>
  <si>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所有者权益(或股东权益)合计</t>
  </si>
  <si>
    <t>负债和所有者权益(或股东权益)总计</t>
  </si>
  <si>
    <t>总资产</t>
    <phoneticPr fontId="1" type="noConversion"/>
  </si>
  <si>
    <t>净资产</t>
    <phoneticPr fontId="1" type="noConversion"/>
  </si>
  <si>
    <t>总资产收益率</t>
    <phoneticPr fontId="1" type="noConversion"/>
  </si>
  <si>
    <t>净资产收益率</t>
    <phoneticPr fontId="1" type="noConversion"/>
  </si>
  <si>
    <t>净资产/总资产</t>
    <phoneticPr fontId="1" type="noConversion"/>
  </si>
  <si>
    <t>净利润/销售收入</t>
    <phoneticPr fontId="1" type="noConversion"/>
  </si>
  <si>
    <t>销售收入/平均总资产</t>
    <phoneticPr fontId="1" type="noConversion"/>
  </si>
  <si>
    <t>平均总资产/净资产</t>
    <phoneticPr fontId="1" type="noConversion"/>
  </si>
  <si>
    <t>净资产收益率</t>
    <phoneticPr fontId="1" type="noConversion"/>
  </si>
  <si>
    <t>货币资产</t>
    <phoneticPr fontId="1" type="noConversion"/>
  </si>
  <si>
    <t>生产相关资产</t>
    <phoneticPr fontId="1" type="noConversion"/>
  </si>
  <si>
    <t>经营相关资产</t>
    <phoneticPr fontId="1" type="noConversion"/>
  </si>
  <si>
    <t>应收账款</t>
    <phoneticPr fontId="1" type="noConversion"/>
  </si>
  <si>
    <t>其他应收款</t>
    <phoneticPr fontId="1" type="noConversion"/>
  </si>
  <si>
    <t>存货</t>
    <phoneticPr fontId="1" type="noConversion"/>
  </si>
  <si>
    <t>货币资金</t>
    <phoneticPr fontId="1" type="noConversion"/>
  </si>
  <si>
    <t>固定资产</t>
    <phoneticPr fontId="1" type="noConversion"/>
  </si>
  <si>
    <t>工程物资</t>
    <phoneticPr fontId="1" type="noConversion"/>
  </si>
  <si>
    <t>无形资产</t>
    <phoneticPr fontId="1" type="noConversion"/>
  </si>
  <si>
    <t>商誉</t>
    <phoneticPr fontId="1" type="noConversion"/>
  </si>
  <si>
    <t>递延所得税</t>
    <phoneticPr fontId="1" type="noConversion"/>
  </si>
  <si>
    <t>长期待摊费用</t>
    <phoneticPr fontId="1" type="noConversion"/>
  </si>
  <si>
    <t>投资相关资产</t>
    <phoneticPr fontId="1" type="noConversion"/>
  </si>
  <si>
    <t>资产</t>
    <phoneticPr fontId="1" type="noConversion"/>
  </si>
  <si>
    <t>负债</t>
    <phoneticPr fontId="1" type="noConversion"/>
  </si>
  <si>
    <t>预付款项</t>
    <phoneticPr fontId="1" type="noConversion"/>
  </si>
  <si>
    <t>买入返售金融资产</t>
    <phoneticPr fontId="1" type="noConversion"/>
  </si>
  <si>
    <t>持有到期投资</t>
    <phoneticPr fontId="1" type="noConversion"/>
  </si>
  <si>
    <t>可供出售金融资产</t>
    <phoneticPr fontId="1" type="noConversion"/>
  </si>
  <si>
    <t>长期股权投资</t>
    <phoneticPr fontId="1" type="noConversion"/>
  </si>
  <si>
    <t>投资性房地产</t>
    <phoneticPr fontId="1" type="noConversion"/>
  </si>
  <si>
    <t>应付账款</t>
    <phoneticPr fontId="1" type="noConversion"/>
  </si>
  <si>
    <t>预收款项</t>
    <phoneticPr fontId="1" type="noConversion"/>
  </si>
  <si>
    <t>应付职工薪酬</t>
    <phoneticPr fontId="1" type="noConversion"/>
  </si>
  <si>
    <t>应交税费</t>
    <phoneticPr fontId="1" type="noConversion"/>
  </si>
  <si>
    <t>应付利息</t>
    <phoneticPr fontId="1" type="noConversion"/>
  </si>
  <si>
    <t>其他应付款</t>
    <phoneticPr fontId="1" type="noConversion"/>
  </si>
  <si>
    <t>专项应付款</t>
    <phoneticPr fontId="1" type="noConversion"/>
  </si>
  <si>
    <t>吸收存款及同业存放</t>
    <phoneticPr fontId="1" type="noConversion"/>
  </si>
  <si>
    <t>应收利息</t>
    <phoneticPr fontId="1" type="noConversion"/>
  </si>
  <si>
    <t>短期借款</t>
    <phoneticPr fontId="1" type="noConversion"/>
  </si>
  <si>
    <t>无息负债</t>
    <phoneticPr fontId="1" type="noConversion"/>
  </si>
  <si>
    <t>有息负债</t>
    <phoneticPr fontId="1" type="noConversion"/>
  </si>
  <si>
    <t>交易性金融资产</t>
    <phoneticPr fontId="1" type="noConversion"/>
  </si>
  <si>
    <t>在建工程</t>
    <phoneticPr fontId="1" type="noConversion"/>
  </si>
  <si>
    <t>银行承兑票据</t>
    <phoneticPr fontId="1" type="noConversion"/>
  </si>
  <si>
    <t>商业承兑票据</t>
    <phoneticPr fontId="1" type="noConversion"/>
  </si>
  <si>
    <t>分红</t>
    <phoneticPr fontId="1" type="noConversion"/>
  </si>
  <si>
    <t>未分配利润</t>
    <phoneticPr fontId="1" type="noConversion"/>
  </si>
  <si>
    <t>股本</t>
    <phoneticPr fontId="1" type="noConversion"/>
  </si>
  <si>
    <t>资本公积</t>
    <phoneticPr fontId="1" type="noConversion"/>
  </si>
  <si>
    <t>其他综合收益</t>
    <phoneticPr fontId="1" type="noConversion"/>
  </si>
  <si>
    <t>盈余公积</t>
    <phoneticPr fontId="1" type="noConversion"/>
  </si>
  <si>
    <t>一般风险准备</t>
    <phoneticPr fontId="1" type="noConversion"/>
  </si>
  <si>
    <t>所有者权益</t>
    <phoneticPr fontId="1" type="noConversion"/>
  </si>
  <si>
    <t>所有者权益（母公司）</t>
    <phoneticPr fontId="1" type="noConversion"/>
  </si>
  <si>
    <t>少数股东权益</t>
    <phoneticPr fontId="1" type="noConversion"/>
  </si>
  <si>
    <t>所有者权益合计</t>
    <phoneticPr fontId="1" type="noConversion"/>
  </si>
  <si>
    <t>净利润（母公司）</t>
    <phoneticPr fontId="1" type="noConversion"/>
  </si>
  <si>
    <t>净利润（排除分红）</t>
    <phoneticPr fontId="1" type="noConversion"/>
  </si>
  <si>
    <t>其他非流动资产</t>
    <phoneticPr fontId="1" type="noConversion"/>
  </si>
  <si>
    <t>交易性金融资产</t>
    <phoneticPr fontId="1" type="noConversion"/>
  </si>
  <si>
    <t>2018-3</t>
    <phoneticPr fontId="1" type="noConversion"/>
  </si>
  <si>
    <t>合计</t>
    <phoneticPr fontId="1" type="noConversion"/>
  </si>
  <si>
    <t>年</t>
    <phoneticPr fontId="1" type="noConversion"/>
  </si>
  <si>
    <t>市值</t>
    <phoneticPr fontId="1" type="noConversion"/>
  </si>
  <si>
    <t xml:space="preserve">所有者权益 </t>
    <phoneticPr fontId="1" type="noConversion"/>
  </si>
  <si>
    <t>最低价</t>
    <phoneticPr fontId="1" type="noConversion"/>
  </si>
  <si>
    <t>最高价</t>
    <phoneticPr fontId="1" type="noConversion"/>
  </si>
  <si>
    <t>市值年化</t>
    <phoneticPr fontId="1" type="noConversion"/>
  </si>
  <si>
    <t>所有者权益年化</t>
    <phoneticPr fontId="1" type="noConversion"/>
  </si>
  <si>
    <t>收盘价</t>
    <phoneticPr fontId="1" type="noConversion"/>
  </si>
  <si>
    <t>资本公积</t>
    <phoneticPr fontId="1" type="noConversion"/>
  </si>
  <si>
    <t>盈余公积</t>
    <phoneticPr fontId="1" type="noConversion"/>
  </si>
  <si>
    <t>未分配利润</t>
    <phoneticPr fontId="1" type="noConversion"/>
  </si>
  <si>
    <t>上一年度分红</t>
    <phoneticPr fontId="1" type="noConversion"/>
  </si>
  <si>
    <t>一般风险准备</t>
    <phoneticPr fontId="1" type="noConversion"/>
  </si>
  <si>
    <t>综合收益</t>
    <phoneticPr fontId="1" type="noConversion"/>
  </si>
  <si>
    <t>企业挣到的钱</t>
    <phoneticPr fontId="1" type="noConversion"/>
  </si>
  <si>
    <t>利润</t>
    <phoneticPr fontId="1" type="noConversion"/>
  </si>
  <si>
    <t>PE</t>
    <phoneticPr fontId="1" type="noConversion"/>
  </si>
  <si>
    <t xml:space="preserve">所有者权益 </t>
    <phoneticPr fontId="1" type="noConversion"/>
  </si>
  <si>
    <t>最小合理估值</t>
    <phoneticPr fontId="1" type="noConversion"/>
  </si>
  <si>
    <t>最大合理估值</t>
    <phoneticPr fontId="1" type="noConversion"/>
  </si>
  <si>
    <t>销售（吨）</t>
    <phoneticPr fontId="1" type="noConversion"/>
  </si>
  <si>
    <t xml:space="preserve">生产（吨） </t>
    <phoneticPr fontId="1" type="noConversion"/>
  </si>
  <si>
    <t>净利润</t>
    <phoneticPr fontId="1" type="noConversion"/>
  </si>
  <si>
    <t>股东权益</t>
    <phoneticPr fontId="1" type="noConversion"/>
  </si>
  <si>
    <t>营业利润</t>
    <phoneticPr fontId="1" type="noConversion"/>
  </si>
  <si>
    <t>计划生产</t>
    <phoneticPr fontId="1" type="noConversion"/>
  </si>
  <si>
    <t>计划销售</t>
    <phoneticPr fontId="1" type="noConversion"/>
  </si>
  <si>
    <t>计划营收</t>
    <phoneticPr fontId="1" type="noConversion"/>
  </si>
  <si>
    <t>19亿</t>
    <phoneticPr fontId="1" type="noConversion"/>
  </si>
  <si>
    <t>分红</t>
    <phoneticPr fontId="1" type="noConversion"/>
  </si>
  <si>
    <t>应收补贴款</t>
    <phoneticPr fontId="1" type="noConversion"/>
  </si>
  <si>
    <t>主营收</t>
    <phoneticPr fontId="1" type="noConversion"/>
  </si>
  <si>
    <t>分红（当年）</t>
    <phoneticPr fontId="1" type="noConversion"/>
  </si>
  <si>
    <t>净利润(承诺)</t>
    <phoneticPr fontId="1" type="noConversion"/>
  </si>
  <si>
    <t>营收(楼宇)</t>
    <phoneticPr fontId="1" type="noConversion"/>
  </si>
  <si>
    <t>营收(影院)</t>
    <phoneticPr fontId="1" type="noConversion"/>
  </si>
  <si>
    <t>当年基酒产量*75%=四年后商品酒产量</t>
    <phoneticPr fontId="1" type="noConversion"/>
  </si>
  <si>
    <t>应付股利</t>
    <phoneticPr fontId="1" type="noConversion"/>
  </si>
  <si>
    <t>现金流（经营）</t>
    <phoneticPr fontId="1" type="noConversion"/>
  </si>
  <si>
    <t>现金流（投资）</t>
    <phoneticPr fontId="1" type="noConversion"/>
  </si>
  <si>
    <t>现金流（筹资）</t>
    <phoneticPr fontId="1" type="noConversion"/>
  </si>
  <si>
    <t>原料采购（万）</t>
    <phoneticPr fontId="1" type="noConversion"/>
  </si>
  <si>
    <t>未公布</t>
    <phoneticPr fontId="1" type="noConversion"/>
  </si>
  <si>
    <t>政府补贴</t>
    <phoneticPr fontId="1" type="noConversion"/>
  </si>
  <si>
    <t>卖场终端视频媒体</t>
    <phoneticPr fontId="1" type="noConversion"/>
  </si>
  <si>
    <t>5.9万</t>
    <phoneticPr fontId="1" type="noConversion"/>
  </si>
  <si>
    <t>应付票据</t>
    <phoneticPr fontId="1" type="noConversion"/>
  </si>
  <si>
    <t>年份</t>
    <phoneticPr fontId="1" type="noConversion"/>
  </si>
  <si>
    <t>股本</t>
    <phoneticPr fontId="1" type="noConversion"/>
  </si>
  <si>
    <t>最低价</t>
    <phoneticPr fontId="1" type="noConversion"/>
  </si>
  <si>
    <t>最小市值</t>
    <phoneticPr fontId="1" type="noConversion"/>
  </si>
  <si>
    <t>最大市值</t>
    <phoneticPr fontId="1" type="noConversion"/>
  </si>
  <si>
    <t>股本（母公司）</t>
    <phoneticPr fontId="1" type="noConversion"/>
  </si>
  <si>
    <t>资本公积（母公司）</t>
    <phoneticPr fontId="1" type="noConversion"/>
  </si>
  <si>
    <t>营业收入</t>
    <phoneticPr fontId="1" type="noConversion"/>
  </si>
  <si>
    <t>营业成本</t>
    <phoneticPr fontId="1" type="noConversion"/>
  </si>
  <si>
    <t>毛利润</t>
    <phoneticPr fontId="1" type="noConversion"/>
  </si>
  <si>
    <t>本年度分红</t>
    <phoneticPr fontId="1" type="noConversion"/>
  </si>
  <si>
    <t>净利润率</t>
    <phoneticPr fontId="1" type="noConversion"/>
  </si>
  <si>
    <t>银幕(块)</t>
    <phoneticPr fontId="1" type="noConversion"/>
  </si>
  <si>
    <t>影院(家)</t>
    <phoneticPr fontId="1" type="noConversion"/>
  </si>
  <si>
    <t>加盟楼宇(万台)</t>
    <phoneticPr fontId="1" type="noConversion"/>
  </si>
  <si>
    <t>分红率</t>
    <phoneticPr fontId="1" type="noConversion"/>
  </si>
  <si>
    <t>其他非流动资产</t>
    <phoneticPr fontId="1" type="noConversion"/>
  </si>
  <si>
    <t>长期借款</t>
    <phoneticPr fontId="1" type="noConversion"/>
  </si>
  <si>
    <t>递延收益</t>
    <phoneticPr fontId="1" type="noConversion"/>
  </si>
  <si>
    <t>递延所得税负债</t>
    <phoneticPr fontId="1" type="noConversion"/>
  </si>
  <si>
    <t>理财产品</t>
    <phoneticPr fontId="1" type="noConversion"/>
  </si>
  <si>
    <t>待抵扣进项税</t>
    <phoneticPr fontId="1" type="noConversion"/>
  </si>
  <si>
    <t>其他流动资产</t>
    <phoneticPr fontId="1" type="noConversion"/>
  </si>
  <si>
    <t>净利润（扣非）</t>
    <phoneticPr fontId="1" type="noConversion"/>
  </si>
  <si>
    <t>外购合作电梯海报媒体(万个)</t>
    <phoneticPr fontId="1" type="noConversion"/>
  </si>
  <si>
    <t>自营视频(万台)</t>
    <phoneticPr fontId="1" type="noConversion"/>
  </si>
  <si>
    <t>自营框架(万个)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</si>
</sst>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&quot;.&quot;00,,&quot;亿&quot;"/>
    <numFmt numFmtId="177" formatCode="0.00_ 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Alignment="1">
      <alignment wrapText="1"/>
    </xf>
    <xf numFmtId="0" fontId="0" fillId="0" borderId="1" xfId="0" applyNumberFormat="1" applyBorder="1"/>
    <xf numFmtId="0" fontId="2" fillId="2" borderId="1" xfId="0" applyFont="1" applyFill="1" applyBorder="1" applyAlignment="1">
      <alignment wrapText="1"/>
    </xf>
    <xf numFmtId="176" fontId="0" fillId="2" borderId="1" xfId="0" applyNumberFormat="1" applyFill="1" applyBorder="1"/>
    <xf numFmtId="10" fontId="0" fillId="2" borderId="1" xfId="0" applyNumberFormat="1" applyFill="1" applyBorder="1"/>
    <xf numFmtId="177" fontId="0" fillId="2" borderId="1" xfId="0" applyNumberFormat="1" applyFill="1" applyBorder="1"/>
    <xf numFmtId="0" fontId="0" fillId="0" borderId="1" xfId="0" applyNumberFormat="1" applyFill="1" applyBorder="1"/>
    <xf numFmtId="176" fontId="0" fillId="0" borderId="0" xfId="0" applyNumberFormat="1"/>
    <xf numFmtId="10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176" fontId="2" fillId="0" borderId="1" xfId="0" applyNumberFormat="1" applyFont="1" applyFill="1" applyBorder="1"/>
    <xf numFmtId="176" fontId="3" fillId="0" borderId="1" xfId="0" applyNumberFormat="1" applyFont="1" applyFill="1" applyBorder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76" fontId="2" fillId="3" borderId="1" xfId="0" applyNumberFormat="1" applyFont="1" applyFill="1" applyBorder="1"/>
    <xf numFmtId="176" fontId="3" fillId="3" borderId="1" xfId="0" applyNumberFormat="1" applyFont="1" applyFill="1" applyBorder="1"/>
    <xf numFmtId="176" fontId="2" fillId="0" borderId="1" xfId="0" applyNumberFormat="1" applyFont="1" applyFill="1" applyBorder="1" applyAlignment="1">
      <alignment horizontal="left" vertical="center"/>
    </xf>
    <xf numFmtId="176" fontId="2" fillId="0" borderId="0" xfId="0" applyNumberFormat="1" applyFont="1"/>
    <xf numFmtId="176" fontId="0" fillId="0" borderId="1" xfId="0" applyNumberFormat="1" applyBorder="1"/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76" fontId="2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3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176" fontId="2" fillId="0" borderId="1" xfId="0" applyNumberFormat="1" applyFont="1" applyBorder="1"/>
    <xf numFmtId="176" fontId="3" fillId="0" borderId="1" xfId="0" applyNumberFormat="1" applyFont="1" applyFill="1" applyBorder="1" applyAlignment="1">
      <alignment wrapText="1"/>
    </xf>
    <xf numFmtId="10" fontId="0" fillId="3" borderId="1" xfId="0" applyNumberForma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/>
    <xf numFmtId="0" fontId="3" fillId="3" borderId="1" xfId="0" applyFont="1" applyFill="1" applyBorder="1"/>
    <xf numFmtId="0" fontId="2" fillId="0" borderId="1" xfId="0" applyFont="1" applyBorder="1" applyAlignment="1">
      <alignment vertical="center"/>
    </xf>
    <xf numFmtId="10" fontId="3" fillId="0" borderId="1" xfId="0" applyNumberFormat="1" applyFont="1" applyBorder="1"/>
    <xf numFmtId="0" fontId="3" fillId="4" borderId="1" xfId="0" applyFont="1" applyFill="1" applyBorder="1"/>
    <xf numFmtId="176" fontId="3" fillId="5" borderId="1" xfId="0" applyNumberFormat="1" applyFont="1" applyFill="1" applyBorder="1"/>
    <xf numFmtId="0" fontId="2" fillId="3" borderId="1" xfId="0" applyFont="1" applyFill="1" applyBorder="1" applyAlignment="1">
      <alignment vertical="center"/>
    </xf>
    <xf numFmtId="177" fontId="3" fillId="0" borderId="1" xfId="0" applyNumberFormat="1" applyFont="1" applyFill="1" applyBorder="1"/>
    <xf numFmtId="0" fontId="3" fillId="0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3" fillId="0" borderId="6" xfId="0" applyNumberFormat="1" applyFont="1" applyFill="1" applyBorder="1"/>
    <xf numFmtId="176" fontId="3" fillId="0" borderId="5" xfId="0" applyNumberFormat="1" applyFont="1" applyFill="1" applyBorder="1"/>
    <xf numFmtId="176" fontId="3" fillId="0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3" fillId="6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" fontId="0" fillId="0" borderId="1" xfId="0" applyNumberFormat="1" applyBorder="1"/>
    <xf numFmtId="176" fontId="2" fillId="5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/>
    <xf numFmtId="176" fontId="2" fillId="0" borderId="4" xfId="0" applyNumberFormat="1" applyFont="1" applyFill="1" applyBorder="1" applyAlignment="1">
      <alignment vertical="center"/>
    </xf>
    <xf numFmtId="176" fontId="2" fillId="0" borderId="6" xfId="0" applyNumberFormat="1" applyFont="1" applyFill="1" applyBorder="1" applyAlignment="1">
      <alignment vertical="center"/>
    </xf>
    <xf numFmtId="0" fontId="0" fillId="0" borderId="1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" fontId="2" fillId="0" borderId="2" xfId="0" quotePrefix="1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汇总!$D$1</c:f>
              <c:strCache>
                <c:ptCount val="1"/>
                <c:pt idx="0">
                  <c:v>销售商品、提供劳务收到的现金</c:v>
                </c:pt>
              </c:strCache>
            </c:strRef>
          </c:tx>
          <c:marker>
            <c:symbol val="none"/>
          </c:marker>
          <c:cat>
            <c:numRef>
              <c:f>汇总!$A$2:$A$20</c:f>
              <c:numCache>
                <c:formatCode>General</c:formatCode>
                <c:ptCount val="19"/>
                <c:pt idx="0">
                  <c:v>19981231</c:v>
                </c:pt>
                <c:pt idx="1">
                  <c:v>19991231</c:v>
                </c:pt>
                <c:pt idx="2">
                  <c:v>20001231</c:v>
                </c:pt>
                <c:pt idx="3">
                  <c:v>20011231</c:v>
                </c:pt>
                <c:pt idx="4">
                  <c:v>20021231</c:v>
                </c:pt>
                <c:pt idx="5">
                  <c:v>20031231</c:v>
                </c:pt>
                <c:pt idx="6">
                  <c:v>20041231</c:v>
                </c:pt>
                <c:pt idx="7">
                  <c:v>20051231</c:v>
                </c:pt>
                <c:pt idx="8">
                  <c:v>20061231</c:v>
                </c:pt>
                <c:pt idx="9">
                  <c:v>20071231</c:v>
                </c:pt>
                <c:pt idx="10">
                  <c:v>20081231</c:v>
                </c:pt>
                <c:pt idx="11">
                  <c:v>20091231</c:v>
                </c:pt>
                <c:pt idx="12">
                  <c:v>20101231</c:v>
                </c:pt>
                <c:pt idx="13">
                  <c:v>20111231</c:v>
                </c:pt>
                <c:pt idx="14">
                  <c:v>20121231</c:v>
                </c:pt>
                <c:pt idx="15">
                  <c:v>20131231</c:v>
                </c:pt>
                <c:pt idx="16">
                  <c:v>20141231</c:v>
                </c:pt>
                <c:pt idx="17">
                  <c:v>20151231</c:v>
                </c:pt>
                <c:pt idx="18">
                  <c:v>20161231</c:v>
                </c:pt>
              </c:numCache>
            </c:numRef>
          </c:cat>
          <c:val>
            <c:numRef>
              <c:f>汇总!$D$2:$D$20</c:f>
              <c:numCache>
                <c:formatCode>0"."00,,"亿"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1322877029.52</c:v>
                </c:pt>
                <c:pt idx="3">
                  <c:v>1800399443.0899999</c:v>
                </c:pt>
                <c:pt idx="4">
                  <c:v>2288635492.04</c:v>
                </c:pt>
                <c:pt idx="5">
                  <c:v>3057788375.3499999</c:v>
                </c:pt>
                <c:pt idx="6">
                  <c:v>3646470061.6100001</c:v>
                </c:pt>
                <c:pt idx="7">
                  <c:v>4976668595.3400002</c:v>
                </c:pt>
                <c:pt idx="8">
                  <c:v>6140872490.1000004</c:v>
                </c:pt>
                <c:pt idx="9">
                  <c:v>7437754281.3400002</c:v>
                </c:pt>
                <c:pt idx="10">
                  <c:v>11275230701.85</c:v>
                </c:pt>
                <c:pt idx="11">
                  <c:v>11756243820.83</c:v>
                </c:pt>
                <c:pt idx="12">
                  <c:v>14938581885.610001</c:v>
                </c:pt>
                <c:pt idx="13">
                  <c:v>23659131281.080002</c:v>
                </c:pt>
                <c:pt idx="14">
                  <c:v>28912367684.82</c:v>
                </c:pt>
                <c:pt idx="15">
                  <c:v>33233870603.650002</c:v>
                </c:pt>
                <c:pt idx="16">
                  <c:v>33384835714.040001</c:v>
                </c:pt>
                <c:pt idx="17">
                  <c:v>37083071835.580002</c:v>
                </c:pt>
                <c:pt idx="18">
                  <c:v>61012964102.540001</c:v>
                </c:pt>
              </c:numCache>
            </c:numRef>
          </c:val>
        </c:ser>
        <c:ser>
          <c:idx val="1"/>
          <c:order val="1"/>
          <c:tx>
            <c:strRef>
              <c:f>汇总!$E$1</c:f>
              <c:strCache>
                <c:ptCount val="1"/>
                <c:pt idx="0">
                  <c:v>营业收入</c:v>
                </c:pt>
              </c:strCache>
            </c:strRef>
          </c:tx>
          <c:marker>
            <c:symbol val="none"/>
          </c:marker>
          <c:cat>
            <c:numRef>
              <c:f>汇总!$A$2:$A$20</c:f>
              <c:numCache>
                <c:formatCode>General</c:formatCode>
                <c:ptCount val="19"/>
                <c:pt idx="0">
                  <c:v>19981231</c:v>
                </c:pt>
                <c:pt idx="1">
                  <c:v>19991231</c:v>
                </c:pt>
                <c:pt idx="2">
                  <c:v>20001231</c:v>
                </c:pt>
                <c:pt idx="3">
                  <c:v>20011231</c:v>
                </c:pt>
                <c:pt idx="4">
                  <c:v>20021231</c:v>
                </c:pt>
                <c:pt idx="5">
                  <c:v>20031231</c:v>
                </c:pt>
                <c:pt idx="6">
                  <c:v>20041231</c:v>
                </c:pt>
                <c:pt idx="7">
                  <c:v>20051231</c:v>
                </c:pt>
                <c:pt idx="8">
                  <c:v>20061231</c:v>
                </c:pt>
                <c:pt idx="9">
                  <c:v>20071231</c:v>
                </c:pt>
                <c:pt idx="10">
                  <c:v>20081231</c:v>
                </c:pt>
                <c:pt idx="11">
                  <c:v>20091231</c:v>
                </c:pt>
                <c:pt idx="12">
                  <c:v>20101231</c:v>
                </c:pt>
                <c:pt idx="13">
                  <c:v>20111231</c:v>
                </c:pt>
                <c:pt idx="14">
                  <c:v>20121231</c:v>
                </c:pt>
                <c:pt idx="15">
                  <c:v>20131231</c:v>
                </c:pt>
                <c:pt idx="16">
                  <c:v>20141231</c:v>
                </c:pt>
                <c:pt idx="17">
                  <c:v>20151231</c:v>
                </c:pt>
                <c:pt idx="18">
                  <c:v>20161231</c:v>
                </c:pt>
              </c:numCache>
            </c:numRef>
          </c:cat>
          <c:val>
            <c:numRef>
              <c:f>汇总!$E$2:$E$20</c:f>
              <c:numCache>
                <c:formatCode>0"."00,,"亿"</c:formatCode>
                <c:ptCount val="19"/>
                <c:pt idx="0">
                  <c:v>628184433.19000006</c:v>
                </c:pt>
                <c:pt idx="1">
                  <c:v>890858185.63999999</c:v>
                </c:pt>
                <c:pt idx="2">
                  <c:v>1114000813.26</c:v>
                </c:pt>
                <c:pt idx="3">
                  <c:v>1618046660.3099999</c:v>
                </c:pt>
                <c:pt idx="4">
                  <c:v>1834898294.9000001</c:v>
                </c:pt>
                <c:pt idx="5">
                  <c:v>2401017934.9299998</c:v>
                </c:pt>
                <c:pt idx="6">
                  <c:v>3009793519.9200001</c:v>
                </c:pt>
                <c:pt idx="7">
                  <c:v>3930515237.6100001</c:v>
                </c:pt>
                <c:pt idx="8">
                  <c:v>4896186901.21</c:v>
                </c:pt>
                <c:pt idx="9">
                  <c:v>7237430747.1199999</c:v>
                </c:pt>
                <c:pt idx="10">
                  <c:v>8241685564.1099997</c:v>
                </c:pt>
                <c:pt idx="11">
                  <c:v>9669999065.3899994</c:v>
                </c:pt>
                <c:pt idx="12">
                  <c:v>11633283740.18</c:v>
                </c:pt>
                <c:pt idx="13">
                  <c:v>18402355207.299999</c:v>
                </c:pt>
                <c:pt idx="14">
                  <c:v>26455335152.990002</c:v>
                </c:pt>
                <c:pt idx="15">
                  <c:v>30921801316.599998</c:v>
                </c:pt>
                <c:pt idx="16">
                  <c:v>31573928530.939999</c:v>
                </c:pt>
                <c:pt idx="17">
                  <c:v>32659583725.279999</c:v>
                </c:pt>
                <c:pt idx="18">
                  <c:v>38862189993.839996</c:v>
                </c:pt>
              </c:numCache>
            </c:numRef>
          </c:val>
        </c:ser>
        <c:marker val="1"/>
        <c:axId val="167659008"/>
        <c:axId val="167660544"/>
      </c:lineChart>
      <c:catAx>
        <c:axId val="167659008"/>
        <c:scaling>
          <c:orientation val="minMax"/>
        </c:scaling>
        <c:axPos val="b"/>
        <c:numFmt formatCode="General" sourceLinked="1"/>
        <c:tickLblPos val="nextTo"/>
        <c:crossAx val="167660544"/>
        <c:crosses val="autoZero"/>
        <c:auto val="1"/>
        <c:lblAlgn val="ctr"/>
        <c:lblOffset val="100"/>
      </c:catAx>
      <c:valAx>
        <c:axId val="167660544"/>
        <c:scaling>
          <c:orientation val="minMax"/>
        </c:scaling>
        <c:axPos val="l"/>
        <c:majorGridlines/>
        <c:numFmt formatCode="0&quot;.&quot;00,,&quot;亿&quot;" sourceLinked="1"/>
        <c:tickLblPos val="nextTo"/>
        <c:crossAx val="1676590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汇总!$B$1</c:f>
              <c:strCache>
                <c:ptCount val="1"/>
                <c:pt idx="0">
                  <c:v>净利润</c:v>
                </c:pt>
              </c:strCache>
            </c:strRef>
          </c:tx>
          <c:marker>
            <c:symbol val="none"/>
          </c:marker>
          <c:cat>
            <c:numRef>
              <c:f>汇总!$A$2:$A$20</c:f>
              <c:numCache>
                <c:formatCode>General</c:formatCode>
                <c:ptCount val="19"/>
                <c:pt idx="0">
                  <c:v>19981231</c:v>
                </c:pt>
                <c:pt idx="1">
                  <c:v>19991231</c:v>
                </c:pt>
                <c:pt idx="2">
                  <c:v>20001231</c:v>
                </c:pt>
                <c:pt idx="3">
                  <c:v>20011231</c:v>
                </c:pt>
                <c:pt idx="4">
                  <c:v>20021231</c:v>
                </c:pt>
                <c:pt idx="5">
                  <c:v>20031231</c:v>
                </c:pt>
                <c:pt idx="6">
                  <c:v>20041231</c:v>
                </c:pt>
                <c:pt idx="7">
                  <c:v>20051231</c:v>
                </c:pt>
                <c:pt idx="8">
                  <c:v>20061231</c:v>
                </c:pt>
                <c:pt idx="9">
                  <c:v>20071231</c:v>
                </c:pt>
                <c:pt idx="10">
                  <c:v>20081231</c:v>
                </c:pt>
                <c:pt idx="11">
                  <c:v>20091231</c:v>
                </c:pt>
                <c:pt idx="12">
                  <c:v>20101231</c:v>
                </c:pt>
                <c:pt idx="13">
                  <c:v>20111231</c:v>
                </c:pt>
                <c:pt idx="14">
                  <c:v>20121231</c:v>
                </c:pt>
                <c:pt idx="15">
                  <c:v>20131231</c:v>
                </c:pt>
                <c:pt idx="16">
                  <c:v>20141231</c:v>
                </c:pt>
                <c:pt idx="17">
                  <c:v>20151231</c:v>
                </c:pt>
                <c:pt idx="18">
                  <c:v>20161231</c:v>
                </c:pt>
              </c:numCache>
            </c:numRef>
          </c:cat>
          <c:val>
            <c:numRef>
              <c:f>汇总!$B$2:$B$20</c:f>
              <c:numCache>
                <c:formatCode>0"."00,,"亿"</c:formatCode>
                <c:ptCount val="19"/>
                <c:pt idx="0">
                  <c:v>146891419.61000001</c:v>
                </c:pt>
                <c:pt idx="1">
                  <c:v>215690128.65000001</c:v>
                </c:pt>
                <c:pt idx="2">
                  <c:v>255284811.38</c:v>
                </c:pt>
                <c:pt idx="3">
                  <c:v>342365808.76999998</c:v>
                </c:pt>
                <c:pt idx="4">
                  <c:v>392585970.76999998</c:v>
                </c:pt>
                <c:pt idx="5">
                  <c:v>608753496.05999994</c:v>
                </c:pt>
                <c:pt idx="6">
                  <c:v>854172175.46000004</c:v>
                </c:pt>
                <c:pt idx="7">
                  <c:v>1169122125.71</c:v>
                </c:pt>
                <c:pt idx="8">
                  <c:v>1574308238.46</c:v>
                </c:pt>
                <c:pt idx="9">
                  <c:v>2966052508.9499998</c:v>
                </c:pt>
                <c:pt idx="10">
                  <c:v>4000759343.1100001</c:v>
                </c:pt>
                <c:pt idx="11">
                  <c:v>4552888944</c:v>
                </c:pt>
                <c:pt idx="12">
                  <c:v>5339761496.9700003</c:v>
                </c:pt>
                <c:pt idx="13">
                  <c:v>9250323807.6200008</c:v>
                </c:pt>
                <c:pt idx="14">
                  <c:v>14008450702.17</c:v>
                </c:pt>
                <c:pt idx="15">
                  <c:v>15964899881.049999</c:v>
                </c:pt>
                <c:pt idx="16">
                  <c:v>16269371509.83</c:v>
                </c:pt>
                <c:pt idx="17">
                  <c:v>16454996625.219999</c:v>
                </c:pt>
                <c:pt idx="18">
                  <c:v>17930643109.880001</c:v>
                </c:pt>
              </c:numCache>
            </c:numRef>
          </c:val>
        </c:ser>
        <c:ser>
          <c:idx val="1"/>
          <c:order val="1"/>
          <c:tx>
            <c:strRef>
              <c:f>汇总!$C$1</c:f>
              <c:strCache>
                <c:ptCount val="1"/>
                <c:pt idx="0">
                  <c:v>经营现金流净额</c:v>
                </c:pt>
              </c:strCache>
            </c:strRef>
          </c:tx>
          <c:marker>
            <c:symbol val="none"/>
          </c:marker>
          <c:cat>
            <c:numRef>
              <c:f>汇总!$A$2:$A$20</c:f>
              <c:numCache>
                <c:formatCode>General</c:formatCode>
                <c:ptCount val="19"/>
                <c:pt idx="0">
                  <c:v>19981231</c:v>
                </c:pt>
                <c:pt idx="1">
                  <c:v>19991231</c:v>
                </c:pt>
                <c:pt idx="2">
                  <c:v>20001231</c:v>
                </c:pt>
                <c:pt idx="3">
                  <c:v>20011231</c:v>
                </c:pt>
                <c:pt idx="4">
                  <c:v>20021231</c:v>
                </c:pt>
                <c:pt idx="5">
                  <c:v>20031231</c:v>
                </c:pt>
                <c:pt idx="6">
                  <c:v>20041231</c:v>
                </c:pt>
                <c:pt idx="7">
                  <c:v>20051231</c:v>
                </c:pt>
                <c:pt idx="8">
                  <c:v>20061231</c:v>
                </c:pt>
                <c:pt idx="9">
                  <c:v>20071231</c:v>
                </c:pt>
                <c:pt idx="10">
                  <c:v>20081231</c:v>
                </c:pt>
                <c:pt idx="11">
                  <c:v>20091231</c:v>
                </c:pt>
                <c:pt idx="12">
                  <c:v>20101231</c:v>
                </c:pt>
                <c:pt idx="13">
                  <c:v>20111231</c:v>
                </c:pt>
                <c:pt idx="14">
                  <c:v>20121231</c:v>
                </c:pt>
                <c:pt idx="15">
                  <c:v>20131231</c:v>
                </c:pt>
                <c:pt idx="16">
                  <c:v>20141231</c:v>
                </c:pt>
                <c:pt idx="17">
                  <c:v>20151231</c:v>
                </c:pt>
                <c:pt idx="18">
                  <c:v>20161231</c:v>
                </c:pt>
              </c:numCache>
            </c:numRef>
          </c:cat>
          <c:val>
            <c:numRef>
              <c:f>汇总!$C$2:$C$20</c:f>
              <c:numCache>
                <c:formatCode>0"."00,,"亿"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443124645.68000001</c:v>
                </c:pt>
                <c:pt idx="3">
                  <c:v>42283037.350000001</c:v>
                </c:pt>
                <c:pt idx="4">
                  <c:v>434582378.66000003</c:v>
                </c:pt>
                <c:pt idx="5">
                  <c:v>941706242.08000004</c:v>
                </c:pt>
                <c:pt idx="6">
                  <c:v>975784480.20000005</c:v>
                </c:pt>
                <c:pt idx="7">
                  <c:v>1693707488.3199999</c:v>
                </c:pt>
                <c:pt idx="8">
                  <c:v>2105171033.6900001</c:v>
                </c:pt>
                <c:pt idx="9">
                  <c:v>1743303211.3800001</c:v>
                </c:pt>
                <c:pt idx="10">
                  <c:v>5247488535.7399998</c:v>
                </c:pt>
                <c:pt idx="11">
                  <c:v>4223937144.1900001</c:v>
                </c:pt>
                <c:pt idx="12">
                  <c:v>6201476519.5699997</c:v>
                </c:pt>
                <c:pt idx="13">
                  <c:v>10148564689.530001</c:v>
                </c:pt>
                <c:pt idx="14">
                  <c:v>11921310609.25</c:v>
                </c:pt>
                <c:pt idx="15">
                  <c:v>12655024861.92</c:v>
                </c:pt>
                <c:pt idx="16">
                  <c:v>12632522436.6</c:v>
                </c:pt>
                <c:pt idx="17">
                  <c:v>17436340141.720001</c:v>
                </c:pt>
                <c:pt idx="18">
                  <c:v>37451249647.050003</c:v>
                </c:pt>
              </c:numCache>
            </c:numRef>
          </c:val>
        </c:ser>
        <c:marker val="1"/>
        <c:axId val="167710720"/>
        <c:axId val="167712256"/>
      </c:lineChart>
      <c:catAx>
        <c:axId val="167710720"/>
        <c:scaling>
          <c:orientation val="minMax"/>
        </c:scaling>
        <c:axPos val="b"/>
        <c:numFmt formatCode="General" sourceLinked="1"/>
        <c:tickLblPos val="nextTo"/>
        <c:crossAx val="167712256"/>
        <c:crosses val="autoZero"/>
        <c:auto val="1"/>
        <c:lblAlgn val="ctr"/>
        <c:lblOffset val="100"/>
      </c:catAx>
      <c:valAx>
        <c:axId val="167712256"/>
        <c:scaling>
          <c:orientation val="minMax"/>
        </c:scaling>
        <c:axPos val="l"/>
        <c:majorGridlines/>
        <c:numFmt formatCode="0&quot;.&quot;00,,&quot;亿&quot;" sourceLinked="1"/>
        <c:tickLblPos val="nextTo"/>
        <c:crossAx val="167710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汇总!$E$1</c:f>
              <c:strCache>
                <c:ptCount val="1"/>
                <c:pt idx="0">
                  <c:v>营业收入</c:v>
                </c:pt>
              </c:strCache>
            </c:strRef>
          </c:tx>
          <c:marker>
            <c:symbol val="none"/>
          </c:marker>
          <c:cat>
            <c:numRef>
              <c:f>汇总!$A$2:$A$21</c:f>
              <c:numCache>
                <c:formatCode>General</c:formatCode>
                <c:ptCount val="20"/>
                <c:pt idx="0">
                  <c:v>19981231</c:v>
                </c:pt>
                <c:pt idx="1">
                  <c:v>19991231</c:v>
                </c:pt>
                <c:pt idx="2">
                  <c:v>20001231</c:v>
                </c:pt>
                <c:pt idx="3">
                  <c:v>20011231</c:v>
                </c:pt>
                <c:pt idx="4">
                  <c:v>20021231</c:v>
                </c:pt>
                <c:pt idx="5">
                  <c:v>20031231</c:v>
                </c:pt>
                <c:pt idx="6">
                  <c:v>20041231</c:v>
                </c:pt>
                <c:pt idx="7">
                  <c:v>20051231</c:v>
                </c:pt>
                <c:pt idx="8">
                  <c:v>20061231</c:v>
                </c:pt>
                <c:pt idx="9">
                  <c:v>20071231</c:v>
                </c:pt>
                <c:pt idx="10">
                  <c:v>20081231</c:v>
                </c:pt>
                <c:pt idx="11">
                  <c:v>20091231</c:v>
                </c:pt>
                <c:pt idx="12">
                  <c:v>20101231</c:v>
                </c:pt>
                <c:pt idx="13">
                  <c:v>20111231</c:v>
                </c:pt>
                <c:pt idx="14">
                  <c:v>20121231</c:v>
                </c:pt>
                <c:pt idx="15">
                  <c:v>20131231</c:v>
                </c:pt>
                <c:pt idx="16">
                  <c:v>20141231</c:v>
                </c:pt>
                <c:pt idx="17">
                  <c:v>20151231</c:v>
                </c:pt>
                <c:pt idx="18">
                  <c:v>20161231</c:v>
                </c:pt>
                <c:pt idx="19">
                  <c:v>20170930</c:v>
                </c:pt>
              </c:numCache>
            </c:numRef>
          </c:cat>
          <c:val>
            <c:numRef>
              <c:f>汇总!$E$2:$E$20</c:f>
              <c:numCache>
                <c:formatCode>0"."00,,"亿"</c:formatCode>
                <c:ptCount val="19"/>
                <c:pt idx="0">
                  <c:v>628184433.19000006</c:v>
                </c:pt>
                <c:pt idx="1">
                  <c:v>890858185.63999999</c:v>
                </c:pt>
                <c:pt idx="2">
                  <c:v>1114000813.26</c:v>
                </c:pt>
                <c:pt idx="3">
                  <c:v>1618046660.3099999</c:v>
                </c:pt>
                <c:pt idx="4">
                  <c:v>1834898294.9000001</c:v>
                </c:pt>
                <c:pt idx="5">
                  <c:v>2401017934.9299998</c:v>
                </c:pt>
                <c:pt idx="6">
                  <c:v>3009793519.9200001</c:v>
                </c:pt>
                <c:pt idx="7">
                  <c:v>3930515237.6100001</c:v>
                </c:pt>
                <c:pt idx="8">
                  <c:v>4896186901.21</c:v>
                </c:pt>
                <c:pt idx="9">
                  <c:v>7237430747.1199999</c:v>
                </c:pt>
                <c:pt idx="10">
                  <c:v>8241685564.1099997</c:v>
                </c:pt>
                <c:pt idx="11">
                  <c:v>9669999065.3899994</c:v>
                </c:pt>
                <c:pt idx="12">
                  <c:v>11633283740.18</c:v>
                </c:pt>
                <c:pt idx="13">
                  <c:v>18402355207.299999</c:v>
                </c:pt>
                <c:pt idx="14">
                  <c:v>26455335152.990002</c:v>
                </c:pt>
                <c:pt idx="15">
                  <c:v>30921801316.599998</c:v>
                </c:pt>
                <c:pt idx="16">
                  <c:v>31573928530.939999</c:v>
                </c:pt>
                <c:pt idx="17">
                  <c:v>32659583725.279999</c:v>
                </c:pt>
                <c:pt idx="18">
                  <c:v>38862189993.839996</c:v>
                </c:pt>
              </c:numCache>
            </c:numRef>
          </c:val>
        </c:ser>
        <c:ser>
          <c:idx val="1"/>
          <c:order val="1"/>
          <c:tx>
            <c:strRef>
              <c:f>汇总!$F$1</c:f>
              <c:strCache>
                <c:ptCount val="1"/>
                <c:pt idx="0">
                  <c:v>营业成本</c:v>
                </c:pt>
              </c:strCache>
            </c:strRef>
          </c:tx>
          <c:marker>
            <c:symbol val="none"/>
          </c:marker>
          <c:cat>
            <c:numRef>
              <c:f>汇总!$A$2:$A$21</c:f>
              <c:numCache>
                <c:formatCode>General</c:formatCode>
                <c:ptCount val="20"/>
                <c:pt idx="0">
                  <c:v>19981231</c:v>
                </c:pt>
                <c:pt idx="1">
                  <c:v>19991231</c:v>
                </c:pt>
                <c:pt idx="2">
                  <c:v>20001231</c:v>
                </c:pt>
                <c:pt idx="3">
                  <c:v>20011231</c:v>
                </c:pt>
                <c:pt idx="4">
                  <c:v>20021231</c:v>
                </c:pt>
                <c:pt idx="5">
                  <c:v>20031231</c:v>
                </c:pt>
                <c:pt idx="6">
                  <c:v>20041231</c:v>
                </c:pt>
                <c:pt idx="7">
                  <c:v>20051231</c:v>
                </c:pt>
                <c:pt idx="8">
                  <c:v>20061231</c:v>
                </c:pt>
                <c:pt idx="9">
                  <c:v>20071231</c:v>
                </c:pt>
                <c:pt idx="10">
                  <c:v>20081231</c:v>
                </c:pt>
                <c:pt idx="11">
                  <c:v>20091231</c:v>
                </c:pt>
                <c:pt idx="12">
                  <c:v>20101231</c:v>
                </c:pt>
                <c:pt idx="13">
                  <c:v>20111231</c:v>
                </c:pt>
                <c:pt idx="14">
                  <c:v>20121231</c:v>
                </c:pt>
                <c:pt idx="15">
                  <c:v>20131231</c:v>
                </c:pt>
                <c:pt idx="16">
                  <c:v>20141231</c:v>
                </c:pt>
                <c:pt idx="17">
                  <c:v>20151231</c:v>
                </c:pt>
                <c:pt idx="18">
                  <c:v>20161231</c:v>
                </c:pt>
                <c:pt idx="19">
                  <c:v>20170930</c:v>
                </c:pt>
              </c:numCache>
            </c:numRef>
          </c:cat>
          <c:val>
            <c:numRef>
              <c:f>汇总!$F$2:$F$20</c:f>
              <c:numCache>
                <c:formatCode>0"."00,,"亿"</c:formatCode>
                <c:ptCount val="19"/>
                <c:pt idx="0">
                  <c:v>76725369.980000004</c:v>
                </c:pt>
                <c:pt idx="1">
                  <c:v>129133236.27</c:v>
                </c:pt>
                <c:pt idx="2">
                  <c:v>196863443.99000001</c:v>
                </c:pt>
                <c:pt idx="3">
                  <c:v>287538468.11000001</c:v>
                </c:pt>
                <c:pt idx="4">
                  <c:v>340556444.79000002</c:v>
                </c:pt>
                <c:pt idx="5">
                  <c:v>477388129.86000001</c:v>
                </c:pt>
                <c:pt idx="6">
                  <c:v>535056248.94999999</c:v>
                </c:pt>
                <c:pt idx="7">
                  <c:v>687106816.67999995</c:v>
                </c:pt>
                <c:pt idx="8">
                  <c:v>791179840.49000001</c:v>
                </c:pt>
                <c:pt idx="9">
                  <c:v>871643568.33000004</c:v>
                </c:pt>
                <c:pt idx="10">
                  <c:v>799713319.24000001</c:v>
                </c:pt>
                <c:pt idx="11">
                  <c:v>950672855.26999998</c:v>
                </c:pt>
                <c:pt idx="12">
                  <c:v>1052931591.61</c:v>
                </c:pt>
                <c:pt idx="13">
                  <c:v>1551233976.0599999</c:v>
                </c:pt>
                <c:pt idx="14">
                  <c:v>2044306468.76</c:v>
                </c:pt>
                <c:pt idx="15">
                  <c:v>2193920307.9899998</c:v>
                </c:pt>
                <c:pt idx="16">
                  <c:v>2338550532.3299999</c:v>
                </c:pt>
                <c:pt idx="17">
                  <c:v>2538337449.0599999</c:v>
                </c:pt>
                <c:pt idx="18">
                  <c:v>3410104085.9699998</c:v>
                </c:pt>
              </c:numCache>
            </c:numRef>
          </c:val>
        </c:ser>
        <c:ser>
          <c:idx val="2"/>
          <c:order val="2"/>
          <c:tx>
            <c:strRef>
              <c:f>汇总!$G$1</c:f>
              <c:strCache>
                <c:ptCount val="1"/>
                <c:pt idx="0">
                  <c:v>销售费用</c:v>
                </c:pt>
              </c:strCache>
            </c:strRef>
          </c:tx>
          <c:marker>
            <c:symbol val="none"/>
          </c:marker>
          <c:cat>
            <c:numRef>
              <c:f>汇总!$A$2:$A$21</c:f>
              <c:numCache>
                <c:formatCode>General</c:formatCode>
                <c:ptCount val="20"/>
                <c:pt idx="0">
                  <c:v>19981231</c:v>
                </c:pt>
                <c:pt idx="1">
                  <c:v>19991231</c:v>
                </c:pt>
                <c:pt idx="2">
                  <c:v>20001231</c:v>
                </c:pt>
                <c:pt idx="3">
                  <c:v>20011231</c:v>
                </c:pt>
                <c:pt idx="4">
                  <c:v>20021231</c:v>
                </c:pt>
                <c:pt idx="5">
                  <c:v>20031231</c:v>
                </c:pt>
                <c:pt idx="6">
                  <c:v>20041231</c:v>
                </c:pt>
                <c:pt idx="7">
                  <c:v>20051231</c:v>
                </c:pt>
                <c:pt idx="8">
                  <c:v>20061231</c:v>
                </c:pt>
                <c:pt idx="9">
                  <c:v>20071231</c:v>
                </c:pt>
                <c:pt idx="10">
                  <c:v>20081231</c:v>
                </c:pt>
                <c:pt idx="11">
                  <c:v>20091231</c:v>
                </c:pt>
                <c:pt idx="12">
                  <c:v>20101231</c:v>
                </c:pt>
                <c:pt idx="13">
                  <c:v>20111231</c:v>
                </c:pt>
                <c:pt idx="14">
                  <c:v>20121231</c:v>
                </c:pt>
                <c:pt idx="15">
                  <c:v>20131231</c:v>
                </c:pt>
                <c:pt idx="16">
                  <c:v>20141231</c:v>
                </c:pt>
                <c:pt idx="17">
                  <c:v>20151231</c:v>
                </c:pt>
                <c:pt idx="18">
                  <c:v>20161231</c:v>
                </c:pt>
                <c:pt idx="19">
                  <c:v>20170930</c:v>
                </c:pt>
              </c:numCache>
            </c:numRef>
          </c:cat>
          <c:val>
            <c:numRef>
              <c:f>汇总!$G$2:$G$20</c:f>
              <c:numCache>
                <c:formatCode>0"."00,,"亿"</c:formatCode>
                <c:ptCount val="19"/>
                <c:pt idx="0">
                  <c:v>56426807.149999999</c:v>
                </c:pt>
                <c:pt idx="1">
                  <c:v>101900556.98</c:v>
                </c:pt>
                <c:pt idx="2">
                  <c:v>134826000.83000001</c:v>
                </c:pt>
                <c:pt idx="3">
                  <c:v>228319500.78</c:v>
                </c:pt>
                <c:pt idx="4">
                  <c:v>308176458.60000002</c:v>
                </c:pt>
                <c:pt idx="5">
                  <c:v>365256375.5</c:v>
                </c:pt>
                <c:pt idx="6">
                  <c:v>376522300.75</c:v>
                </c:pt>
                <c:pt idx="7">
                  <c:v>475939394.32999998</c:v>
                </c:pt>
                <c:pt idx="8">
                  <c:v>579353831.58000004</c:v>
                </c:pt>
                <c:pt idx="9">
                  <c:v>560385186.98000002</c:v>
                </c:pt>
                <c:pt idx="10">
                  <c:v>532024659.80000001</c:v>
                </c:pt>
                <c:pt idx="11">
                  <c:v>621284334.75</c:v>
                </c:pt>
                <c:pt idx="12">
                  <c:v>676531662.09000003</c:v>
                </c:pt>
                <c:pt idx="13">
                  <c:v>720327727.88999999</c:v>
                </c:pt>
                <c:pt idx="14">
                  <c:v>1224553444.02</c:v>
                </c:pt>
                <c:pt idx="15">
                  <c:v>1858132722.71</c:v>
                </c:pt>
                <c:pt idx="16">
                  <c:v>1674733451.0599999</c:v>
                </c:pt>
                <c:pt idx="17">
                  <c:v>1484961519.21</c:v>
                </c:pt>
                <c:pt idx="18">
                  <c:v>1681052022.9000001</c:v>
                </c:pt>
              </c:numCache>
            </c:numRef>
          </c:val>
        </c:ser>
        <c:ser>
          <c:idx val="3"/>
          <c:order val="3"/>
          <c:tx>
            <c:strRef>
              <c:f>汇总!$J$1</c:f>
              <c:strCache>
                <c:ptCount val="1"/>
                <c:pt idx="0">
                  <c:v>营业利润</c:v>
                </c:pt>
              </c:strCache>
            </c:strRef>
          </c:tx>
          <c:marker>
            <c:symbol val="none"/>
          </c:marker>
          <c:cat>
            <c:numRef>
              <c:f>汇总!$A$2:$A$21</c:f>
              <c:numCache>
                <c:formatCode>General</c:formatCode>
                <c:ptCount val="20"/>
                <c:pt idx="0">
                  <c:v>19981231</c:v>
                </c:pt>
                <c:pt idx="1">
                  <c:v>19991231</c:v>
                </c:pt>
                <c:pt idx="2">
                  <c:v>20001231</c:v>
                </c:pt>
                <c:pt idx="3">
                  <c:v>20011231</c:v>
                </c:pt>
                <c:pt idx="4">
                  <c:v>20021231</c:v>
                </c:pt>
                <c:pt idx="5">
                  <c:v>20031231</c:v>
                </c:pt>
                <c:pt idx="6">
                  <c:v>20041231</c:v>
                </c:pt>
                <c:pt idx="7">
                  <c:v>20051231</c:v>
                </c:pt>
                <c:pt idx="8">
                  <c:v>20061231</c:v>
                </c:pt>
                <c:pt idx="9">
                  <c:v>20071231</c:v>
                </c:pt>
                <c:pt idx="10">
                  <c:v>20081231</c:v>
                </c:pt>
                <c:pt idx="11">
                  <c:v>20091231</c:v>
                </c:pt>
                <c:pt idx="12">
                  <c:v>20101231</c:v>
                </c:pt>
                <c:pt idx="13">
                  <c:v>20111231</c:v>
                </c:pt>
                <c:pt idx="14">
                  <c:v>20121231</c:v>
                </c:pt>
                <c:pt idx="15">
                  <c:v>20131231</c:v>
                </c:pt>
                <c:pt idx="16">
                  <c:v>20141231</c:v>
                </c:pt>
                <c:pt idx="17">
                  <c:v>20151231</c:v>
                </c:pt>
                <c:pt idx="18">
                  <c:v>20161231</c:v>
                </c:pt>
                <c:pt idx="19">
                  <c:v>20170930</c:v>
                </c:pt>
              </c:numCache>
            </c:numRef>
          </c:cat>
          <c:val>
            <c:numRef>
              <c:f>汇总!$J$2:$J$20</c:f>
              <c:numCache>
                <c:formatCode>0"."00,,"亿"</c:formatCode>
                <c:ptCount val="19"/>
                <c:pt idx="0">
                  <c:v>218965723.72</c:v>
                </c:pt>
                <c:pt idx="1">
                  <c:v>353647748.18000001</c:v>
                </c:pt>
                <c:pt idx="2">
                  <c:v>445788139.26999998</c:v>
                </c:pt>
                <c:pt idx="3">
                  <c:v>610210332.90999997</c:v>
                </c:pt>
                <c:pt idx="4">
                  <c:v>649243161.39999998</c:v>
                </c:pt>
                <c:pt idx="5">
                  <c:v>976039792.24000001</c:v>
                </c:pt>
                <c:pt idx="6">
                  <c:v>1488107055.8299999</c:v>
                </c:pt>
                <c:pt idx="7">
                  <c:v>1919280411.1800001</c:v>
                </c:pt>
                <c:pt idx="8">
                  <c:v>2487229192.3899999</c:v>
                </c:pt>
                <c:pt idx="9">
                  <c:v>4525341001.8000002</c:v>
                </c:pt>
                <c:pt idx="10">
                  <c:v>5390384855.0299997</c:v>
                </c:pt>
                <c:pt idx="11">
                  <c:v>6075520510.7200003</c:v>
                </c:pt>
                <c:pt idx="12">
                  <c:v>7160906229.5</c:v>
                </c:pt>
                <c:pt idx="13">
                  <c:v>12336164425.08</c:v>
                </c:pt>
                <c:pt idx="14">
                  <c:v>18830739817.650002</c:v>
                </c:pt>
                <c:pt idx="15">
                  <c:v>21791544952</c:v>
                </c:pt>
                <c:pt idx="16">
                  <c:v>22102973250.900002</c:v>
                </c:pt>
                <c:pt idx="17">
                  <c:v>22158991962.869999</c:v>
                </c:pt>
                <c:pt idx="18">
                  <c:v>24265625169.419998</c:v>
                </c:pt>
              </c:numCache>
            </c:numRef>
          </c:val>
        </c:ser>
        <c:marker val="1"/>
        <c:axId val="167748352"/>
        <c:axId val="167749888"/>
      </c:lineChart>
      <c:catAx>
        <c:axId val="167748352"/>
        <c:scaling>
          <c:orientation val="minMax"/>
        </c:scaling>
        <c:axPos val="b"/>
        <c:numFmt formatCode="General" sourceLinked="1"/>
        <c:tickLblPos val="nextTo"/>
        <c:crossAx val="167749888"/>
        <c:crosses val="autoZero"/>
        <c:auto val="1"/>
        <c:lblAlgn val="ctr"/>
        <c:lblOffset val="100"/>
      </c:catAx>
      <c:valAx>
        <c:axId val="167749888"/>
        <c:scaling>
          <c:orientation val="minMax"/>
        </c:scaling>
        <c:axPos val="l"/>
        <c:majorGridlines/>
        <c:numFmt formatCode="0&quot;.&quot;00,,&quot;亿&quot;" sourceLinked="1"/>
        <c:tickLblPos val="nextTo"/>
        <c:crossAx val="1677483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593271</xdr:colOff>
      <xdr:row>0</xdr:row>
      <xdr:rowOff>38100</xdr:rowOff>
    </xdr:from>
    <xdr:to>
      <xdr:col>16</xdr:col>
      <xdr:colOff>410936</xdr:colOff>
      <xdr:row>16</xdr:row>
      <xdr:rowOff>72935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0</xdr:rowOff>
    </xdr:from>
    <xdr:to>
      <xdr:col>7</xdr:col>
      <xdr:colOff>412296</xdr:colOff>
      <xdr:row>16</xdr:row>
      <xdr:rowOff>34835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4355</xdr:rowOff>
    </xdr:from>
    <xdr:to>
      <xdr:col>16</xdr:col>
      <xdr:colOff>421340</xdr:colOff>
      <xdr:row>33</xdr:row>
      <xdr:rowOff>39189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6</xdr:row>
      <xdr:rowOff>161925</xdr:rowOff>
    </xdr:from>
    <xdr:to>
      <xdr:col>10</xdr:col>
      <xdr:colOff>47625</xdr:colOff>
      <xdr:row>33</xdr:row>
      <xdr:rowOff>95250</xdr:rowOff>
    </xdr:to>
    <xdr:pic>
      <xdr:nvPicPr>
        <xdr:cNvPr id="23556" name="Picture 4" descr="https://www.focusmedia.cn/uploads/editor/image/20180427/20180427202445_7384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190625"/>
          <a:ext cx="7620000" cy="4562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1"/>
  <sheetViews>
    <sheetView zoomScale="70" zoomScaleNormal="70" workbookViewId="0">
      <selection activeCell="B3" sqref="B3"/>
    </sheetView>
  </sheetViews>
  <sheetFormatPr defaultRowHeight="13.5"/>
  <cols>
    <col min="1" max="1" width="11.5" customWidth="1"/>
    <col min="2" max="2" width="10.5" bestFit="1" customWidth="1"/>
    <col min="3" max="3" width="13.375" customWidth="1"/>
    <col min="4" max="4" width="13.875" customWidth="1"/>
    <col min="5" max="6" width="10.75" bestFit="1" customWidth="1"/>
    <col min="10" max="10" width="10.125" customWidth="1"/>
    <col min="13" max="13" width="10.5" customWidth="1"/>
    <col min="14" max="14" width="14.75" customWidth="1"/>
    <col min="16" max="16" width="11.625" bestFit="1" customWidth="1"/>
    <col min="17" max="17" width="10.5" bestFit="1" customWidth="1"/>
    <col min="18" max="20" width="10.5" customWidth="1"/>
    <col min="25" max="25" width="14.375" customWidth="1"/>
  </cols>
  <sheetData>
    <row r="1" spans="1:25" s="3" customFormat="1" ht="58.5" customHeight="1">
      <c r="A1" s="1" t="s">
        <v>0</v>
      </c>
      <c r="B1" s="5" t="s">
        <v>77</v>
      </c>
      <c r="C1" s="5" t="s">
        <v>81</v>
      </c>
      <c r="D1" s="5" t="s">
        <v>82</v>
      </c>
      <c r="E1" s="5" t="s">
        <v>83</v>
      </c>
      <c r="F1" s="5" t="s">
        <v>88</v>
      </c>
      <c r="G1" s="5" t="s">
        <v>1</v>
      </c>
      <c r="H1" s="5" t="s">
        <v>2</v>
      </c>
      <c r="I1" s="5" t="s">
        <v>3</v>
      </c>
      <c r="J1" s="5" t="s">
        <v>95</v>
      </c>
      <c r="K1" s="5" t="s">
        <v>4</v>
      </c>
      <c r="L1" s="5" t="s">
        <v>5</v>
      </c>
      <c r="M1" s="5" t="s">
        <v>89</v>
      </c>
      <c r="N1" s="5" t="s">
        <v>79</v>
      </c>
      <c r="O1" s="5" t="s">
        <v>78</v>
      </c>
      <c r="P1" s="5" t="s">
        <v>204</v>
      </c>
      <c r="Q1" s="5" t="s">
        <v>205</v>
      </c>
      <c r="R1" s="5" t="s">
        <v>208</v>
      </c>
      <c r="S1" s="5" t="s">
        <v>206</v>
      </c>
      <c r="T1" s="5" t="s">
        <v>207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80</v>
      </c>
    </row>
    <row r="2" spans="1:25">
      <c r="A2" s="4">
        <v>19981231</v>
      </c>
      <c r="B2" s="6">
        <f>HLOOKUP(A2,利润表!$A$1:$BZ$100,22,FALSE)</f>
        <v>146891419.61000001</v>
      </c>
      <c r="C2" s="6" t="e">
        <f>HLOOKUP(A2,现金流!$A$1:$ZZ$100,69,FALSE)</f>
        <v>#N/A</v>
      </c>
      <c r="D2" s="6" t="e">
        <f>HLOOKUP(A2,现金流!$A$1:$ZZ$100,4,FALSE)</f>
        <v>#N/A</v>
      </c>
      <c r="E2" s="6">
        <f>HLOOKUP(A2,利润表!$A$1:$BZ$100,4,FALSE)</f>
        <v>628184433.19000006</v>
      </c>
      <c r="F2" s="6">
        <f>HLOOKUP(A2,利润表!$A$1:$BZ$100,6,FALSE)</f>
        <v>76725369.980000004</v>
      </c>
      <c r="G2" s="6">
        <f>HLOOKUP(A2,利润表!$A$1:$BZ$100,8,FALSE)</f>
        <v>56426807.149999999</v>
      </c>
      <c r="H2" s="6">
        <f>HLOOKUP(A2,利润表!$A$1:$BZ$100,9,FALSE)</f>
        <v>116104124.14</v>
      </c>
      <c r="I2" s="6">
        <f>HLOOKUP(A2,利润表!$A$1:$BZ$100,10,FALSE)</f>
        <v>41920771.770000003</v>
      </c>
      <c r="J2" s="6">
        <f>HLOOKUP(A2,利润表!$A$1:$BZ$100,16,FALSE)</f>
        <v>218965723.72</v>
      </c>
      <c r="K2" s="7">
        <f t="shared" ref="K2:K21" si="0">(E2-F2)/E2</f>
        <v>0.87786171397088131</v>
      </c>
      <c r="L2" s="7">
        <f t="shared" ref="L2:L21" si="1">J2/E2</f>
        <v>0.34856916560008394</v>
      </c>
      <c r="M2" s="7">
        <f t="shared" ref="M2:M21" si="2">IF(I2&gt;0,(G2+H2+I2)/(E2-F2),(G2+H2)/(E2-F2))</f>
        <v>0.38888054865159605</v>
      </c>
      <c r="N2" s="8" t="e">
        <f t="shared" ref="N2:N20" si="3">D2/E2</f>
        <v>#N/A</v>
      </c>
      <c r="O2" s="8" t="e">
        <f t="shared" ref="O2:O20" si="4">C2/B2</f>
        <v>#N/A</v>
      </c>
      <c r="P2" s="6">
        <f>HLOOKUP(A2,资产负债表!$A$1:$BZ$100,42,FALSE)</f>
        <v>741848981.54999995</v>
      </c>
      <c r="Q2" s="6">
        <f>HLOOKUP(A2,资产负债表!$A$1:$BZ$100,84,FALSE)</f>
        <v>234091527.97999999</v>
      </c>
      <c r="R2" s="7">
        <f>Q2/P2</f>
        <v>0.31555145831823511</v>
      </c>
      <c r="S2" s="7">
        <f>B2/P2</f>
        <v>0.19800717297351936</v>
      </c>
      <c r="T2" s="7">
        <f>B2/Q2</f>
        <v>0.62749566751749308</v>
      </c>
      <c r="U2" s="2"/>
      <c r="V2" s="2"/>
      <c r="W2" s="2"/>
      <c r="X2" s="2"/>
      <c r="Y2" s="2"/>
    </row>
    <row r="3" spans="1:25">
      <c r="A3" s="4">
        <v>19991231</v>
      </c>
      <c r="B3" s="6">
        <f>HLOOKUP(A3,利润表!$A$1:$BZ$100,22,FALSE)</f>
        <v>215690128.65000001</v>
      </c>
      <c r="C3" s="6" t="e">
        <f>HLOOKUP(A3,现金流!$A$1:$ZZ$100,69,FALSE)</f>
        <v>#N/A</v>
      </c>
      <c r="D3" s="6" t="e">
        <f>HLOOKUP(A3,现金流!$A$1:$ZZ$100,4,FALSE)</f>
        <v>#N/A</v>
      </c>
      <c r="E3" s="6">
        <f>HLOOKUP(A3,利润表!$A$1:$BZ$100,4,FALSE)</f>
        <v>890858185.63999999</v>
      </c>
      <c r="F3" s="6">
        <f>HLOOKUP(A3,利润表!$A$1:$BZ$100,6,FALSE)</f>
        <v>129133236.27</v>
      </c>
      <c r="G3" s="6">
        <f>HLOOKUP(A3,利润表!$A$1:$BZ$100,8,FALSE)</f>
        <v>101900556.98</v>
      </c>
      <c r="H3" s="6">
        <f>HLOOKUP(A3,利润表!$A$1:$BZ$100,9,FALSE)</f>
        <v>122410821.54000001</v>
      </c>
      <c r="I3" s="6">
        <f>HLOOKUP(A3,利润表!$A$1:$BZ$100,10,FALSE)</f>
        <v>11277315.43</v>
      </c>
      <c r="J3" s="6">
        <f>HLOOKUP(A3,利润表!$A$1:$BZ$100,16,FALSE)</f>
        <v>353647748.18000001</v>
      </c>
      <c r="K3" s="7">
        <f t="shared" si="0"/>
        <v>0.85504624826764142</v>
      </c>
      <c r="L3" s="7">
        <f t="shared" si="1"/>
        <v>0.39697423661874587</v>
      </c>
      <c r="M3" s="7">
        <f t="shared" si="2"/>
        <v>0.30928315285569735</v>
      </c>
      <c r="N3" s="8" t="e">
        <f t="shared" si="3"/>
        <v>#N/A</v>
      </c>
      <c r="O3" s="8" t="e">
        <f t="shared" si="4"/>
        <v>#N/A</v>
      </c>
      <c r="P3" s="6">
        <f>HLOOKUP(A3,资产负债表!$A$1:$BZ$100,42,FALSE)</f>
        <v>915056957.32000005</v>
      </c>
      <c r="Q3" s="6">
        <f>HLOOKUP(A3,资产负债表!$A$1:$BZ$100,84,FALSE)</f>
        <v>285361855.23000002</v>
      </c>
      <c r="R3" s="7">
        <f t="shared" ref="R3:R21" si="5">Q3/P3</f>
        <v>0.31185146776629286</v>
      </c>
      <c r="S3" s="7">
        <f t="shared" ref="S3:S21" si="6">B3/P3</f>
        <v>0.23571224383857897</v>
      </c>
      <c r="T3" s="7">
        <f t="shared" ref="T3:T21" si="7">B3/Q3</f>
        <v>0.75584779358879273</v>
      </c>
      <c r="U3" s="2"/>
      <c r="V3" s="2"/>
      <c r="W3" s="2"/>
      <c r="X3" s="2"/>
      <c r="Y3" s="2"/>
    </row>
    <row r="4" spans="1:25">
      <c r="A4" s="4">
        <v>20001231</v>
      </c>
      <c r="B4" s="6">
        <f>HLOOKUP(A4,利润表!$A$1:$BZ$100,22,FALSE)</f>
        <v>255284811.38</v>
      </c>
      <c r="C4" s="6">
        <f>HLOOKUP(A4,现金流!$A$1:$ZZ$100,13,FALSE)</f>
        <v>443124645.68000001</v>
      </c>
      <c r="D4" s="6">
        <f>HLOOKUP(A4,现金流!$A$1:$ZZ$100,4,FALSE)</f>
        <v>1322877029.52</v>
      </c>
      <c r="E4" s="6">
        <f>HLOOKUP(A4,利润表!$A$1:$BZ$100,4,FALSE)</f>
        <v>1114000813.26</v>
      </c>
      <c r="F4" s="6">
        <f>HLOOKUP(A4,利润表!$A$1:$BZ$100,6,FALSE)</f>
        <v>196863443.99000001</v>
      </c>
      <c r="G4" s="6">
        <f>HLOOKUP(A4,利润表!$A$1:$BZ$100,8,FALSE)</f>
        <v>134826000.83000001</v>
      </c>
      <c r="H4" s="6">
        <f>HLOOKUP(A4,利润表!$A$1:$BZ$100,9,FALSE)</f>
        <v>129669631.27</v>
      </c>
      <c r="I4" s="6">
        <f>HLOOKUP(A4,利润表!$A$1:$BZ$100,10,FALSE)</f>
        <v>6680065.6699999999</v>
      </c>
      <c r="J4" s="6">
        <f>HLOOKUP(A4,利润表!$A$1:$BZ$100,16,FALSE)</f>
        <v>445788139.26999998</v>
      </c>
      <c r="K4" s="7">
        <f t="shared" si="0"/>
        <v>0.82328249526685626</v>
      </c>
      <c r="L4" s="7">
        <f t="shared" si="1"/>
        <v>0.40016859410133676</v>
      </c>
      <c r="M4" s="7">
        <f t="shared" si="2"/>
        <v>0.2956762060473489</v>
      </c>
      <c r="N4" s="8">
        <f t="shared" si="3"/>
        <v>1.1875009549129025</v>
      </c>
      <c r="O4" s="8">
        <f t="shared" si="4"/>
        <v>1.7358049751749396</v>
      </c>
      <c r="P4" s="6">
        <f>HLOOKUP(A4,资产负债表!$A$1:$BZ$100,42,FALSE)</f>
        <v>1268856244.9000001</v>
      </c>
      <c r="Q4" s="6">
        <f>HLOOKUP(A4,资产负债表!$A$1:$BZ$100,84,FALSE)</f>
        <v>443779623.04000002</v>
      </c>
      <c r="R4" s="7">
        <f t="shared" si="5"/>
        <v>0.34974775497517041</v>
      </c>
      <c r="S4" s="7">
        <f t="shared" si="6"/>
        <v>0.20119285569668238</v>
      </c>
      <c r="T4" s="7">
        <f t="shared" si="7"/>
        <v>0.57525131422492093</v>
      </c>
      <c r="U4" s="2"/>
      <c r="V4" s="2"/>
      <c r="W4" s="2"/>
      <c r="X4" s="2"/>
      <c r="Y4" s="2"/>
    </row>
    <row r="5" spans="1:25">
      <c r="A5" s="4">
        <v>20011231</v>
      </c>
      <c r="B5" s="6">
        <f>HLOOKUP(A5,利润表!$A$1:$BZ$100,22,FALSE)</f>
        <v>342365808.76999998</v>
      </c>
      <c r="C5" s="6">
        <f>HLOOKUP(A5,现金流!$A$1:$ZZ$100,13,FALSE)</f>
        <v>42283037.350000001</v>
      </c>
      <c r="D5" s="6">
        <f>HLOOKUP(A5,现金流!$A$1:$ZZ$100,4,FALSE)</f>
        <v>1800399443.0899999</v>
      </c>
      <c r="E5" s="6">
        <f>HLOOKUP(A5,利润表!$A$1:$BZ$100,4,FALSE)</f>
        <v>1618046660.3099999</v>
      </c>
      <c r="F5" s="6">
        <f>HLOOKUP(A5,利润表!$A$1:$BZ$100,6,FALSE)</f>
        <v>287538468.11000001</v>
      </c>
      <c r="G5" s="6">
        <f>HLOOKUP(A5,利润表!$A$1:$BZ$100,8,FALSE)</f>
        <v>228319500.78</v>
      </c>
      <c r="H5" s="6">
        <f>HLOOKUP(A5,利润表!$A$1:$BZ$100,9,FALSE)</f>
        <v>181060278.22</v>
      </c>
      <c r="I5" s="6">
        <f>HLOOKUP(A5,利润表!$A$1:$BZ$100,10,FALSE)</f>
        <v>-5742353.4900000002</v>
      </c>
      <c r="J5" s="6">
        <f>HLOOKUP(A5,利润表!$A$1:$BZ$100,16,FALSE)</f>
        <v>610210332.90999997</v>
      </c>
      <c r="K5" s="7">
        <f t="shared" si="0"/>
        <v>0.82229284534049785</v>
      </c>
      <c r="L5" s="7">
        <f t="shared" si="1"/>
        <v>0.3771277725656505</v>
      </c>
      <c r="M5" s="7">
        <f t="shared" si="2"/>
        <v>0.30768677817991419</v>
      </c>
      <c r="N5" s="8">
        <f t="shared" si="3"/>
        <v>1.1126993351014136</v>
      </c>
      <c r="O5" s="8">
        <f t="shared" si="4"/>
        <v>0.12350251183641291</v>
      </c>
      <c r="P5" s="6">
        <f>HLOOKUP(A5,资产负债表!$A$1:$BZ$100,42,FALSE)</f>
        <v>3463388734.98</v>
      </c>
      <c r="Q5" s="6">
        <f>HLOOKUP(A5,资产负债表!$A$1:$BZ$100,84,FALSE)</f>
        <v>2537631703.8099999</v>
      </c>
      <c r="R5" s="7">
        <f t="shared" si="5"/>
        <v>0.73270195695334039</v>
      </c>
      <c r="S5" s="7">
        <f t="shared" si="6"/>
        <v>9.8852838929724421E-2</v>
      </c>
      <c r="T5" s="7">
        <f t="shared" si="7"/>
        <v>0.13491548369921924</v>
      </c>
      <c r="U5" s="2"/>
      <c r="V5" s="2"/>
      <c r="W5" s="2"/>
      <c r="X5" s="2"/>
      <c r="Y5" s="2"/>
    </row>
    <row r="6" spans="1:25">
      <c r="A6" s="4">
        <v>20021231</v>
      </c>
      <c r="B6" s="6">
        <f>HLOOKUP(A6,利润表!$A$1:$BZ$100,22,FALSE)</f>
        <v>392585970.76999998</v>
      </c>
      <c r="C6" s="6">
        <f>HLOOKUP(A6,现金流!$A$1:$ZZ$100,13,FALSE)</f>
        <v>434582378.66000003</v>
      </c>
      <c r="D6" s="6">
        <f>HLOOKUP(A6,现金流!$A$1:$ZZ$100,4,FALSE)</f>
        <v>2288635492.04</v>
      </c>
      <c r="E6" s="6">
        <f>HLOOKUP(A6,利润表!$A$1:$BZ$100,4,FALSE)</f>
        <v>1834898294.9000001</v>
      </c>
      <c r="F6" s="6">
        <f>HLOOKUP(A6,利润表!$A$1:$BZ$100,6,FALSE)</f>
        <v>340556444.79000002</v>
      </c>
      <c r="G6" s="6">
        <f>HLOOKUP(A6,利润表!$A$1:$BZ$100,8,FALSE)</f>
        <v>308176458.60000002</v>
      </c>
      <c r="H6" s="6">
        <f>HLOOKUP(A6,利润表!$A$1:$BZ$100,9,FALSE)</f>
        <v>237706731.47</v>
      </c>
      <c r="I6" s="6">
        <f>HLOOKUP(A6,利润表!$A$1:$BZ$100,10,FALSE)</f>
        <v>-17461501.870000001</v>
      </c>
      <c r="J6" s="6">
        <f>HLOOKUP(A6,利润表!$A$1:$BZ$100,16,FALSE)</f>
        <v>649243161.39999998</v>
      </c>
      <c r="K6" s="7">
        <f t="shared" si="0"/>
        <v>0.81440036990793552</v>
      </c>
      <c r="L6" s="7">
        <f t="shared" si="1"/>
        <v>0.35383059824325741</v>
      </c>
      <c r="M6" s="7">
        <f t="shared" si="2"/>
        <v>0.3653000750998287</v>
      </c>
      <c r="N6" s="8">
        <f t="shared" si="3"/>
        <v>1.2472819329557054</v>
      </c>
      <c r="O6" s="8">
        <f t="shared" si="4"/>
        <v>1.1069737866781899</v>
      </c>
      <c r="P6" s="6">
        <f>HLOOKUP(A6,资产负债表!$A$1:$BZ$100,42,FALSE)</f>
        <v>3930905066.7199998</v>
      </c>
      <c r="Q6" s="6">
        <f>HLOOKUP(A6,资产负债表!$A$1:$BZ$100,84,FALSE)</f>
        <v>2874733972.6900001</v>
      </c>
      <c r="R6" s="7">
        <f t="shared" si="5"/>
        <v>0.73131605162083368</v>
      </c>
      <c r="S6" s="7">
        <f t="shared" si="6"/>
        <v>9.987164892221094E-2</v>
      </c>
      <c r="T6" s="7">
        <f t="shared" si="7"/>
        <v>0.13656427846874541</v>
      </c>
      <c r="U6" s="2"/>
      <c r="V6" s="2"/>
      <c r="W6" s="2"/>
      <c r="X6" s="2"/>
      <c r="Y6" s="2"/>
    </row>
    <row r="7" spans="1:25">
      <c r="A7" s="4">
        <v>20031231</v>
      </c>
      <c r="B7" s="6">
        <f>HLOOKUP(A7,利润表!$A$1:$BZ$100,22,FALSE)</f>
        <v>608753496.05999994</v>
      </c>
      <c r="C7" s="6">
        <f>HLOOKUP(A7,现金流!$A$1:$ZZ$100,13,FALSE)</f>
        <v>941706242.08000004</v>
      </c>
      <c r="D7" s="6">
        <f>HLOOKUP(A7,现金流!$A$1:$ZZ$100,4,FALSE)</f>
        <v>3057788375.3499999</v>
      </c>
      <c r="E7" s="6">
        <f>HLOOKUP(A7,利润表!$A$1:$BZ$100,4,FALSE)</f>
        <v>2401017934.9299998</v>
      </c>
      <c r="F7" s="6">
        <f>HLOOKUP(A7,利润表!$A$1:$BZ$100,6,FALSE)</f>
        <v>477388129.86000001</v>
      </c>
      <c r="G7" s="6">
        <f>HLOOKUP(A7,利润表!$A$1:$BZ$100,8,FALSE)</f>
        <v>365256375.5</v>
      </c>
      <c r="H7" s="6">
        <f>HLOOKUP(A7,利润表!$A$1:$BZ$100,9,FALSE)</f>
        <v>291880260.69</v>
      </c>
      <c r="I7" s="6">
        <f>HLOOKUP(A7,利润表!$A$1:$BZ$100,10,FALSE)</f>
        <v>-16050225.99</v>
      </c>
      <c r="J7" s="6">
        <f>HLOOKUP(A7,利润表!$A$1:$BZ$100,16,FALSE)</f>
        <v>976039792.24000001</v>
      </c>
      <c r="K7" s="7">
        <f t="shared" si="0"/>
        <v>0.80117260978564153</v>
      </c>
      <c r="L7" s="7">
        <f t="shared" si="1"/>
        <v>0.40651082944470213</v>
      </c>
      <c r="M7" s="7">
        <f t="shared" si="2"/>
        <v>0.34161283759381511</v>
      </c>
      <c r="N7" s="8">
        <f t="shared" si="3"/>
        <v>1.2735383317489246</v>
      </c>
      <c r="O7" s="8">
        <f t="shared" si="4"/>
        <v>1.5469418215664483</v>
      </c>
      <c r="P7" s="6">
        <f>HLOOKUP(A7,资产负债表!$A$1:$BZ$100,42,FALSE)</f>
        <v>4956365810.8500004</v>
      </c>
      <c r="Q7" s="6">
        <f>HLOOKUP(A7,资产负债表!$A$1:$BZ$100,84,FALSE)</f>
        <v>3470524090.9299998</v>
      </c>
      <c r="R7" s="7">
        <f t="shared" si="5"/>
        <v>0.70021548517114329</v>
      </c>
      <c r="S7" s="7">
        <f t="shared" si="6"/>
        <v>0.12282255170257514</v>
      </c>
      <c r="T7" s="7">
        <f t="shared" si="7"/>
        <v>0.17540679162865908</v>
      </c>
      <c r="U7" s="2"/>
      <c r="V7" s="2"/>
      <c r="W7" s="2"/>
      <c r="X7" s="2"/>
      <c r="Y7" s="2"/>
    </row>
    <row r="8" spans="1:25">
      <c r="A8" s="4">
        <v>20041231</v>
      </c>
      <c r="B8" s="6">
        <f>HLOOKUP(A8,利润表!$A$1:$BZ$100,22,FALSE)</f>
        <v>854172175.46000004</v>
      </c>
      <c r="C8" s="6">
        <f>HLOOKUP(A8,现金流!$A$1:$ZZ$100,13,FALSE)</f>
        <v>975784480.20000005</v>
      </c>
      <c r="D8" s="6">
        <f>HLOOKUP(A8,现金流!$A$1:$ZZ$100,4,FALSE)</f>
        <v>3646470061.6100001</v>
      </c>
      <c r="E8" s="6">
        <f>HLOOKUP(A8,利润表!$A$1:$BZ$100,4,FALSE)</f>
        <v>3009793519.9200001</v>
      </c>
      <c r="F8" s="6">
        <f>HLOOKUP(A8,利润表!$A$1:$BZ$100,6,FALSE)</f>
        <v>535056248.94999999</v>
      </c>
      <c r="G8" s="6">
        <f>HLOOKUP(A8,利润表!$A$1:$BZ$100,8,FALSE)</f>
        <v>376522300.75</v>
      </c>
      <c r="H8" s="6">
        <f>HLOOKUP(A8,利润表!$A$1:$BZ$100,9,FALSE)</f>
        <v>311563047.88999999</v>
      </c>
      <c r="I8" s="6">
        <f>HLOOKUP(A8,利润表!$A$1:$BZ$100,10,FALSE)</f>
        <v>-25993795.539999999</v>
      </c>
      <c r="J8" s="6">
        <f>HLOOKUP(A8,利润表!$A$1:$BZ$100,16,FALSE)</f>
        <v>1488107055.8299999</v>
      </c>
      <c r="K8" s="7">
        <f t="shared" si="0"/>
        <v>0.82222825406168676</v>
      </c>
      <c r="L8" s="7">
        <f t="shared" si="1"/>
        <v>0.49442164254162979</v>
      </c>
      <c r="M8" s="7">
        <f t="shared" si="2"/>
        <v>0.27804379750190511</v>
      </c>
      <c r="N8" s="8">
        <f t="shared" si="3"/>
        <v>1.2115349566261684</v>
      </c>
      <c r="O8" s="8">
        <f t="shared" si="4"/>
        <v>1.142374462940692</v>
      </c>
      <c r="P8" s="6">
        <f>HLOOKUP(A8,资产负债表!$A$1:$BZ$100,42,FALSE)</f>
        <v>6373652983.5699997</v>
      </c>
      <c r="Q8" s="6">
        <f>HLOOKUP(A8,资产负债表!$A$1:$BZ$100,84,FALSE)</f>
        <v>4216707746.73</v>
      </c>
      <c r="R8" s="7">
        <f t="shared" si="5"/>
        <v>0.66158414297104462</v>
      </c>
      <c r="S8" s="7">
        <f t="shared" si="6"/>
        <v>0.13401610938999733</v>
      </c>
      <c r="T8" s="7">
        <f t="shared" si="7"/>
        <v>0.20256850290902875</v>
      </c>
      <c r="U8" s="2"/>
      <c r="V8" s="2"/>
      <c r="W8" s="2"/>
      <c r="X8" s="2"/>
      <c r="Y8" s="2"/>
    </row>
    <row r="9" spans="1:25">
      <c r="A9" s="4">
        <v>20051231</v>
      </c>
      <c r="B9" s="6">
        <f>HLOOKUP(A9,利润表!$A$1:$BZ$100,22,FALSE)</f>
        <v>1169122125.71</v>
      </c>
      <c r="C9" s="6">
        <f>HLOOKUP(A9,现金流!$A$1:$ZZ$100,13,FALSE)</f>
        <v>1693707488.3199999</v>
      </c>
      <c r="D9" s="6">
        <f>HLOOKUP(A9,现金流!$A$1:$ZZ$100,4,FALSE)</f>
        <v>4976668595.3400002</v>
      </c>
      <c r="E9" s="6">
        <f>HLOOKUP(A9,利润表!$A$1:$BZ$100,4,FALSE)</f>
        <v>3930515237.6100001</v>
      </c>
      <c r="F9" s="6">
        <f>HLOOKUP(A9,利润表!$A$1:$BZ$100,6,FALSE)</f>
        <v>687106816.67999995</v>
      </c>
      <c r="G9" s="6">
        <f>HLOOKUP(A9,利润表!$A$1:$BZ$100,8,FALSE)</f>
        <v>475939394.32999998</v>
      </c>
      <c r="H9" s="6">
        <f>HLOOKUP(A9,利润表!$A$1:$BZ$100,9,FALSE)</f>
        <v>350685099.47000003</v>
      </c>
      <c r="I9" s="6">
        <f>HLOOKUP(A9,利润表!$A$1:$BZ$100,10,FALSE)</f>
        <v>-32264593.949999999</v>
      </c>
      <c r="J9" s="6">
        <f>HLOOKUP(A9,利润表!$A$1:$BZ$100,16,FALSE)</f>
        <v>1919280411.1800001</v>
      </c>
      <c r="K9" s="7">
        <f t="shared" si="0"/>
        <v>0.82518657856729138</v>
      </c>
      <c r="L9" s="7">
        <f t="shared" si="1"/>
        <v>0.48830249856684005</v>
      </c>
      <c r="M9" s="7">
        <f t="shared" si="2"/>
        <v>0.25486290547490698</v>
      </c>
      <c r="N9" s="8">
        <f t="shared" si="3"/>
        <v>1.2661618883243733</v>
      </c>
      <c r="O9" s="8">
        <f t="shared" si="4"/>
        <v>1.4487002264980853</v>
      </c>
      <c r="P9" s="6">
        <f>HLOOKUP(A9,资产负债表!$A$1:$BZ$100,42,FALSE)</f>
        <v>8057596464.5900002</v>
      </c>
      <c r="Q9" s="6">
        <f>HLOOKUP(A9,资产负债表!$A$1:$BZ$100,84,FALSE)</f>
        <v>5162395081.5200005</v>
      </c>
      <c r="R9" s="7">
        <f t="shared" si="5"/>
        <v>0.64068672391409986</v>
      </c>
      <c r="S9" s="7">
        <f t="shared" si="6"/>
        <v>0.14509564121854907</v>
      </c>
      <c r="T9" s="7">
        <f t="shared" si="7"/>
        <v>0.22646893684970876</v>
      </c>
      <c r="U9" s="2"/>
      <c r="V9" s="2"/>
      <c r="W9" s="2"/>
      <c r="X9" s="2"/>
      <c r="Y9" s="2"/>
    </row>
    <row r="10" spans="1:25">
      <c r="A10" s="4">
        <v>20061231</v>
      </c>
      <c r="B10" s="6">
        <f>HLOOKUP(A10,利润表!$A$1:$BZ$100,22,FALSE)</f>
        <v>1574308238.46</v>
      </c>
      <c r="C10" s="6">
        <f>HLOOKUP(A10,现金流!$A$1:$ZZ$100,13,FALSE)</f>
        <v>2105171033.6900001</v>
      </c>
      <c r="D10" s="6">
        <f>HLOOKUP(A10,现金流!$A$1:$ZZ$100,4,FALSE)</f>
        <v>6140872490.1000004</v>
      </c>
      <c r="E10" s="6">
        <f>HLOOKUP(A10,利润表!$A$1:$BZ$100,4,FALSE)</f>
        <v>4896186901.21</v>
      </c>
      <c r="F10" s="6">
        <f>HLOOKUP(A10,利润表!$A$1:$BZ$100,6,FALSE)</f>
        <v>791179840.49000001</v>
      </c>
      <c r="G10" s="6">
        <f>HLOOKUP(A10,利润表!$A$1:$BZ$100,8,FALSE)</f>
        <v>579353831.58000004</v>
      </c>
      <c r="H10" s="6">
        <f>HLOOKUP(A10,利润表!$A$1:$BZ$100,9,FALSE)</f>
        <v>492828170.27999997</v>
      </c>
      <c r="I10" s="6">
        <f>HLOOKUP(A10,利润表!$A$1:$BZ$100,10,FALSE)</f>
        <v>-25268367.890000001</v>
      </c>
      <c r="J10" s="6">
        <f>HLOOKUP(A10,利润表!$A$1:$BZ$100,16,FALSE)</f>
        <v>2487229192.3899999</v>
      </c>
      <c r="K10" s="7">
        <f t="shared" si="0"/>
        <v>0.83840897897617539</v>
      </c>
      <c r="L10" s="7">
        <f t="shared" si="1"/>
        <v>0.5079931061813282</v>
      </c>
      <c r="M10" s="7">
        <f t="shared" si="2"/>
        <v>0.26118883256486869</v>
      </c>
      <c r="N10" s="8">
        <f t="shared" si="3"/>
        <v>1.2542152932483848</v>
      </c>
      <c r="O10" s="8">
        <f t="shared" si="4"/>
        <v>1.3372038475446804</v>
      </c>
      <c r="P10" s="6">
        <f>HLOOKUP(A10,资产负债表!$A$1:$BZ$100,42,FALSE)</f>
        <v>9388915003.9899998</v>
      </c>
      <c r="Q10" s="6">
        <f>HLOOKUP(A10,资产负债表!$A$1:$BZ$100,84,FALSE)</f>
        <v>5995028649.4300003</v>
      </c>
      <c r="R10" s="7">
        <f t="shared" si="5"/>
        <v>0.63852198543519645</v>
      </c>
      <c r="S10" s="7">
        <f t="shared" si="6"/>
        <v>0.16767733415319741</v>
      </c>
      <c r="T10" s="7">
        <f t="shared" si="7"/>
        <v>0.26260228774881389</v>
      </c>
      <c r="U10" s="2"/>
      <c r="V10" s="2"/>
      <c r="W10" s="2"/>
      <c r="X10" s="2"/>
      <c r="Y10" s="2"/>
    </row>
    <row r="11" spans="1:25">
      <c r="A11" s="4">
        <v>20071231</v>
      </c>
      <c r="B11" s="6">
        <f>HLOOKUP(A11,利润表!$A$1:$BZ$100,22,FALSE)</f>
        <v>2966052508.9499998</v>
      </c>
      <c r="C11" s="6">
        <f>HLOOKUP(A11,现金流!$A$1:$ZZ$100,13,FALSE)</f>
        <v>1743303211.3800001</v>
      </c>
      <c r="D11" s="6">
        <f>HLOOKUP(A11,现金流!$A$1:$ZZ$100,4,FALSE)</f>
        <v>7437754281.3400002</v>
      </c>
      <c r="E11" s="6">
        <f>HLOOKUP(A11,利润表!$A$1:$BZ$100,4,FALSE)</f>
        <v>7237430747.1199999</v>
      </c>
      <c r="F11" s="6">
        <f>HLOOKUP(A11,利润表!$A$1:$BZ$100,6,FALSE)</f>
        <v>871643568.33000004</v>
      </c>
      <c r="G11" s="6">
        <f>HLOOKUP(A11,利润表!$A$1:$BZ$100,8,FALSE)</f>
        <v>560385186.98000002</v>
      </c>
      <c r="H11" s="6">
        <f>HLOOKUP(A11,利润表!$A$1:$BZ$100,9,FALSE)</f>
        <v>723155575.20000005</v>
      </c>
      <c r="I11" s="6">
        <f>HLOOKUP(A11,利润表!$A$1:$BZ$100,10,FALSE)</f>
        <v>-44743824.950000003</v>
      </c>
      <c r="J11" s="6">
        <f>HLOOKUP(A11,利润表!$A$1:$BZ$100,16,FALSE)</f>
        <v>4525341001.8000002</v>
      </c>
      <c r="K11" s="7">
        <f t="shared" si="0"/>
        <v>0.87956450309706191</v>
      </c>
      <c r="L11" s="7">
        <f t="shared" si="1"/>
        <v>0.62526898839077316</v>
      </c>
      <c r="M11" s="7">
        <f t="shared" si="2"/>
        <v>0.20163111428804847</v>
      </c>
      <c r="N11" s="8">
        <f t="shared" si="3"/>
        <v>1.0276788187990213</v>
      </c>
      <c r="O11" s="8">
        <f t="shared" si="4"/>
        <v>0.5877519720637514</v>
      </c>
      <c r="P11" s="6">
        <f>HLOOKUP(A11,资产负债表!$A$1:$BZ$100,42,FALSE)</f>
        <v>10481471840.450001</v>
      </c>
      <c r="Q11" s="6">
        <f>HLOOKUP(A11,资产负债表!$A$1:$BZ$100,84,FALSE)</f>
        <v>8368855770.4399996</v>
      </c>
      <c r="R11" s="7">
        <f t="shared" si="5"/>
        <v>0.7984428043915538</v>
      </c>
      <c r="S11" s="7">
        <f t="shared" si="6"/>
        <v>0.28298053499542275</v>
      </c>
      <c r="T11" s="7">
        <f t="shared" si="7"/>
        <v>0.35441553664080616</v>
      </c>
      <c r="U11" s="2"/>
      <c r="V11" s="2"/>
      <c r="W11" s="2"/>
      <c r="X11" s="2"/>
      <c r="Y11" s="2"/>
    </row>
    <row r="12" spans="1:25">
      <c r="A12" s="4">
        <v>20081231</v>
      </c>
      <c r="B12" s="6">
        <f>HLOOKUP(A12,利润表!$A$1:$BZ$100,22,FALSE)</f>
        <v>4000759343.1100001</v>
      </c>
      <c r="C12" s="6">
        <f>HLOOKUP(A12,现金流!$A$1:$ZZ$100,13,FALSE)</f>
        <v>5247488535.7399998</v>
      </c>
      <c r="D12" s="6">
        <f>HLOOKUP(A12,现金流!$A$1:$ZZ$100,4,FALSE)</f>
        <v>11275230701.85</v>
      </c>
      <c r="E12" s="6">
        <f>HLOOKUP(A12,利润表!$A$1:$BZ$100,4,FALSE)</f>
        <v>8241685564.1099997</v>
      </c>
      <c r="F12" s="6">
        <f>HLOOKUP(A12,利润表!$A$1:$BZ$100,6,FALSE)</f>
        <v>799713319.24000001</v>
      </c>
      <c r="G12" s="6">
        <f>HLOOKUP(A12,利润表!$A$1:$BZ$100,8,FALSE)</f>
        <v>532024659.80000001</v>
      </c>
      <c r="H12" s="6">
        <f>HLOOKUP(A12,利润表!$A$1:$BZ$100,9,FALSE)</f>
        <v>941174062.44000006</v>
      </c>
      <c r="I12" s="6">
        <f>HLOOKUP(A12,利润表!$A$1:$BZ$100,10,FALSE)</f>
        <v>-102500765.33</v>
      </c>
      <c r="J12" s="6">
        <f>HLOOKUP(A12,利润表!$A$1:$BZ$100,16,FALSE)</f>
        <v>5390384855.0299997</v>
      </c>
      <c r="K12" s="7">
        <f t="shared" si="0"/>
        <v>0.90296726160938423</v>
      </c>
      <c r="L12" s="7">
        <f t="shared" si="1"/>
        <v>0.65403912987210577</v>
      </c>
      <c r="M12" s="7">
        <f t="shared" si="2"/>
        <v>0.19795810489020907</v>
      </c>
      <c r="N12" s="8">
        <f t="shared" si="3"/>
        <v>1.3680733891317274</v>
      </c>
      <c r="O12" s="8">
        <f t="shared" si="4"/>
        <v>1.3116231409362533</v>
      </c>
      <c r="P12" s="6">
        <f>HLOOKUP(A12,资产负债表!$A$1:$BZ$100,42,FALSE)</f>
        <v>15754187836.35</v>
      </c>
      <c r="Q12" s="6">
        <f>HLOOKUP(A12,资产负债表!$A$1:$BZ$100,84,FALSE)</f>
        <v>11503418295.950001</v>
      </c>
      <c r="R12" s="7">
        <f t="shared" si="5"/>
        <v>0.73018161364103451</v>
      </c>
      <c r="S12" s="7">
        <f t="shared" si="6"/>
        <v>0.25394894263472956</v>
      </c>
      <c r="T12" s="7">
        <f t="shared" si="7"/>
        <v>0.34778873898018159</v>
      </c>
      <c r="U12" s="2"/>
      <c r="V12" s="2"/>
      <c r="W12" s="2"/>
      <c r="X12" s="2"/>
      <c r="Y12" s="2"/>
    </row>
    <row r="13" spans="1:25">
      <c r="A13" s="4">
        <v>20091231</v>
      </c>
      <c r="B13" s="6">
        <f>HLOOKUP(A13,利润表!$A$1:$BZ$100,22,FALSE)</f>
        <v>4552888944</v>
      </c>
      <c r="C13" s="6">
        <f>HLOOKUP(A13,现金流!$A$1:$ZZ$100,13,FALSE)</f>
        <v>4223937144.1900001</v>
      </c>
      <c r="D13" s="6">
        <f>HLOOKUP(A13,现金流!$A$1:$ZZ$100,4,FALSE)</f>
        <v>11756243820.83</v>
      </c>
      <c r="E13" s="6">
        <f>HLOOKUP(A13,利润表!$A$1:$BZ$100,4,FALSE)</f>
        <v>9669999065.3899994</v>
      </c>
      <c r="F13" s="6">
        <f>HLOOKUP(A13,利润表!$A$1:$BZ$100,6,FALSE)</f>
        <v>950672855.26999998</v>
      </c>
      <c r="G13" s="6">
        <f>HLOOKUP(A13,利润表!$A$1:$BZ$100,8,FALSE)</f>
        <v>621284334.75</v>
      </c>
      <c r="H13" s="6">
        <f>HLOOKUP(A13,利润表!$A$1:$BZ$100,9,FALSE)</f>
        <v>1217158463.04</v>
      </c>
      <c r="I13" s="6">
        <f>HLOOKUP(A13,利润表!$A$1:$BZ$100,10,FALSE)</f>
        <v>-133636115.78</v>
      </c>
      <c r="J13" s="6">
        <f>HLOOKUP(A13,利润表!$A$1:$BZ$100,16,FALSE)</f>
        <v>6075520510.7200003</v>
      </c>
      <c r="K13" s="7">
        <f t="shared" si="0"/>
        <v>0.90168842325201826</v>
      </c>
      <c r="L13" s="7">
        <f t="shared" si="1"/>
        <v>0.62828553236007678</v>
      </c>
      <c r="M13" s="7">
        <f t="shared" si="2"/>
        <v>0.21084688810658669</v>
      </c>
      <c r="N13" s="8">
        <f t="shared" si="3"/>
        <v>1.2157440493357339</v>
      </c>
      <c r="O13" s="8">
        <f t="shared" si="4"/>
        <v>0.92774877580892734</v>
      </c>
      <c r="P13" s="6">
        <f>HLOOKUP(A13,资产负债表!$A$1:$BZ$100,42,FALSE)</f>
        <v>19769623147.720001</v>
      </c>
      <c r="Q13" s="6">
        <f>HLOOKUP(A13,资产负债表!$A$1:$BZ$100,84,FALSE)</f>
        <v>14651565394.209999</v>
      </c>
      <c r="R13" s="7">
        <f t="shared" si="5"/>
        <v>0.74111505741573735</v>
      </c>
      <c r="S13" s="7">
        <f t="shared" si="6"/>
        <v>0.23029720445253291</v>
      </c>
      <c r="T13" s="7">
        <f t="shared" si="7"/>
        <v>0.31074419841849865</v>
      </c>
      <c r="U13" s="2"/>
      <c r="V13" s="2"/>
      <c r="W13" s="2"/>
      <c r="X13" s="2"/>
      <c r="Y13" s="2"/>
    </row>
    <row r="14" spans="1:25">
      <c r="A14" s="4">
        <v>20101231</v>
      </c>
      <c r="B14" s="6">
        <f>HLOOKUP(A14,利润表!$A$1:$BZ$100,22,FALSE)</f>
        <v>5339761496.9700003</v>
      </c>
      <c r="C14" s="6">
        <f>HLOOKUP(A14,现金流!$A$1:$ZZ$100,13,FALSE)</f>
        <v>6201476519.5699997</v>
      </c>
      <c r="D14" s="6">
        <f>HLOOKUP(A14,现金流!$A$1:$ZZ$100,4,FALSE)</f>
        <v>14938581885.610001</v>
      </c>
      <c r="E14" s="6">
        <f>HLOOKUP(A14,利润表!$A$1:$BZ$100,4,FALSE)</f>
        <v>11633283740.18</v>
      </c>
      <c r="F14" s="6">
        <f>HLOOKUP(A14,利润表!$A$1:$BZ$100,6,FALSE)</f>
        <v>1052931591.61</v>
      </c>
      <c r="G14" s="6">
        <f>HLOOKUP(A14,利润表!$A$1:$BZ$100,8,FALSE)</f>
        <v>676531662.09000003</v>
      </c>
      <c r="H14" s="6">
        <f>HLOOKUP(A14,利润表!$A$1:$BZ$100,9,FALSE)</f>
        <v>1346014202.04</v>
      </c>
      <c r="I14" s="6">
        <f>HLOOKUP(A14,利润表!$A$1:$BZ$100,10,FALSE)</f>
        <v>-176577024.91</v>
      </c>
      <c r="J14" s="6">
        <f>HLOOKUP(A14,利润表!$A$1:$BZ$100,16,FALSE)</f>
        <v>7160906229.5</v>
      </c>
      <c r="K14" s="7">
        <f t="shared" si="0"/>
        <v>0.90948973521781318</v>
      </c>
      <c r="L14" s="7">
        <f t="shared" si="1"/>
        <v>0.61555330287071641</v>
      </c>
      <c r="M14" s="7">
        <f t="shared" si="2"/>
        <v>0.1911605432153182</v>
      </c>
      <c r="N14" s="8">
        <f t="shared" si="3"/>
        <v>1.2841242609783416</v>
      </c>
      <c r="O14" s="8">
        <f t="shared" si="4"/>
        <v>1.1613770620820747</v>
      </c>
      <c r="P14" s="6">
        <f>HLOOKUP(A14,资产负债表!$A$1:$BZ$100,42,FALSE)</f>
        <v>25587579940.689999</v>
      </c>
      <c r="Q14" s="6">
        <f>HLOOKUP(A14,资产负债表!$A$1:$BZ$100,84,FALSE)</f>
        <v>18549389694.619999</v>
      </c>
      <c r="R14" s="7">
        <f t="shared" si="5"/>
        <v>0.7249372444606339</v>
      </c>
      <c r="S14" s="7">
        <f t="shared" si="6"/>
        <v>0.20868567912038372</v>
      </c>
      <c r="T14" s="7">
        <f t="shared" si="7"/>
        <v>0.28786723363296024</v>
      </c>
      <c r="U14" s="2"/>
      <c r="V14" s="2"/>
      <c r="W14" s="2"/>
      <c r="X14" s="2"/>
      <c r="Y14" s="2"/>
    </row>
    <row r="15" spans="1:25">
      <c r="A15" s="4">
        <v>20111231</v>
      </c>
      <c r="B15" s="6">
        <f>HLOOKUP(A15,利润表!$A$1:$BZ$100,22,FALSE)</f>
        <v>9250323807.6200008</v>
      </c>
      <c r="C15" s="6">
        <f>HLOOKUP(A15,现金流!$A$1:$ZZ$100,13,FALSE)</f>
        <v>10148564689.530001</v>
      </c>
      <c r="D15" s="6">
        <f>HLOOKUP(A15,现金流!$A$1:$ZZ$100,4,FALSE)</f>
        <v>23659131281.080002</v>
      </c>
      <c r="E15" s="6">
        <f>HLOOKUP(A15,利润表!$A$1:$BZ$100,4,FALSE)</f>
        <v>18402355207.299999</v>
      </c>
      <c r="F15" s="6">
        <f>HLOOKUP(A15,利润表!$A$1:$BZ$100,6,FALSE)</f>
        <v>1551233976.0599999</v>
      </c>
      <c r="G15" s="6">
        <f>HLOOKUP(A15,利润表!$A$1:$BZ$100,8,FALSE)</f>
        <v>720327727.88999999</v>
      </c>
      <c r="H15" s="6">
        <f>HLOOKUP(A15,利润表!$A$1:$BZ$100,9,FALSE)</f>
        <v>1673872427.75</v>
      </c>
      <c r="I15" s="6">
        <f>HLOOKUP(A15,利润表!$A$1:$BZ$100,10,FALSE)</f>
        <v>-350751496.92000002</v>
      </c>
      <c r="J15" s="6">
        <f>HLOOKUP(A15,利润表!$A$1:$BZ$100,16,FALSE)</f>
        <v>12336164425.08</v>
      </c>
      <c r="K15" s="7">
        <f t="shared" si="0"/>
        <v>0.91570459549413308</v>
      </c>
      <c r="L15" s="7">
        <f t="shared" si="1"/>
        <v>0.67035791267556821</v>
      </c>
      <c r="M15" s="7">
        <f t="shared" si="2"/>
        <v>0.14207957576148902</v>
      </c>
      <c r="N15" s="8">
        <f t="shared" si="3"/>
        <v>1.2856577875257349</v>
      </c>
      <c r="O15" s="8">
        <f t="shared" si="4"/>
        <v>1.0971037231334615</v>
      </c>
      <c r="P15" s="6">
        <f>HLOOKUP(A15,资产负债表!$A$1:$BZ$100,42,FALSE)</f>
        <v>34900868975.410004</v>
      </c>
      <c r="Q15" s="6">
        <f>HLOOKUP(A15,资产负债表!$A$1:$BZ$100,84,FALSE)</f>
        <v>25403379611.290001</v>
      </c>
      <c r="R15" s="7">
        <f t="shared" si="5"/>
        <v>0.72787240997318381</v>
      </c>
      <c r="S15" s="7">
        <f t="shared" si="6"/>
        <v>0.26504565872378344</v>
      </c>
      <c r="T15" s="7">
        <f t="shared" si="7"/>
        <v>0.36413752615454709</v>
      </c>
      <c r="U15" s="2"/>
      <c r="V15" s="2"/>
      <c r="W15" s="2"/>
      <c r="X15" s="2"/>
      <c r="Y15" s="2"/>
    </row>
    <row r="16" spans="1:25">
      <c r="A16" s="4">
        <v>20121231</v>
      </c>
      <c r="B16" s="6">
        <f>HLOOKUP(A16,利润表!$A$1:$BZ$100,22,FALSE)</f>
        <v>14008450702.17</v>
      </c>
      <c r="C16" s="6">
        <f>HLOOKUP(A16,现金流!$A$1:$ZZ$100,13,FALSE)</f>
        <v>11921310609.25</v>
      </c>
      <c r="D16" s="6">
        <f>HLOOKUP(A16,现金流!$A$1:$ZZ$100,4,FALSE)</f>
        <v>28912367684.82</v>
      </c>
      <c r="E16" s="6">
        <f>HLOOKUP(A16,利润表!$A$1:$BZ$100,4,FALSE)</f>
        <v>26455335152.990002</v>
      </c>
      <c r="F16" s="6">
        <f>HLOOKUP(A16,利润表!$A$1:$BZ$100,6,FALSE)</f>
        <v>2044306468.76</v>
      </c>
      <c r="G16" s="6">
        <f>HLOOKUP(A16,利润表!$A$1:$BZ$100,8,FALSE)</f>
        <v>1224553444.02</v>
      </c>
      <c r="H16" s="6">
        <f>HLOOKUP(A16,利润表!$A$1:$BZ$100,9,FALSE)</f>
        <v>2204190581.1300001</v>
      </c>
      <c r="I16" s="6">
        <f>HLOOKUP(A16,利润表!$A$1:$BZ$100,10,FALSE)</f>
        <v>-420975922.49000001</v>
      </c>
      <c r="J16" s="6">
        <f>HLOOKUP(A16,利润表!$A$1:$BZ$100,16,FALSE)</f>
        <v>18830739817.650002</v>
      </c>
      <c r="K16" s="7">
        <f t="shared" si="0"/>
        <v>0.92272611717304409</v>
      </c>
      <c r="L16" s="7">
        <f t="shared" si="1"/>
        <v>0.71179365934140271</v>
      </c>
      <c r="M16" s="7">
        <f t="shared" si="2"/>
        <v>0.14045880939728833</v>
      </c>
      <c r="N16" s="8">
        <f t="shared" si="3"/>
        <v>1.0928747459679149</v>
      </c>
      <c r="O16" s="8">
        <f t="shared" si="4"/>
        <v>0.85100849927703359</v>
      </c>
      <c r="P16" s="6">
        <f>HLOOKUP(A16,资产负债表!$A$1:$BZ$100,42,FALSE)</f>
        <v>44998208953.459999</v>
      </c>
      <c r="Q16" s="6">
        <f>HLOOKUP(A16,资产负债表!$A$1:$BZ$100,84,FALSE)</f>
        <v>35454036397.25</v>
      </c>
      <c r="R16" s="7">
        <f t="shared" si="5"/>
        <v>0.78789883468292732</v>
      </c>
      <c r="S16" s="7">
        <f t="shared" si="6"/>
        <v>0.31131129500417293</v>
      </c>
      <c r="T16" s="7">
        <f t="shared" si="7"/>
        <v>0.39511582109326682</v>
      </c>
      <c r="U16" s="2"/>
      <c r="V16" s="2"/>
      <c r="W16" s="2"/>
      <c r="X16" s="2"/>
      <c r="Y16" s="2"/>
    </row>
    <row r="17" spans="1:25">
      <c r="A17" s="4">
        <v>20131231</v>
      </c>
      <c r="B17" s="6">
        <f>HLOOKUP(A17,利润表!$A$1:$BZ$100,22,FALSE)</f>
        <v>15964899881.049999</v>
      </c>
      <c r="C17" s="6">
        <f>HLOOKUP(A17,现金流!$A$1:$ZZ$100,13,FALSE)</f>
        <v>12655024861.92</v>
      </c>
      <c r="D17" s="6">
        <f>HLOOKUP(A17,现金流!$A$1:$ZZ$100,4,FALSE)</f>
        <v>33233870603.650002</v>
      </c>
      <c r="E17" s="6">
        <f>HLOOKUP(A17,利润表!$A$1:$BZ$100,4,FALSE)</f>
        <v>30921801316.599998</v>
      </c>
      <c r="F17" s="6">
        <f>HLOOKUP(A17,利润表!$A$1:$BZ$100,6,FALSE)</f>
        <v>2193920307.9899998</v>
      </c>
      <c r="G17" s="6">
        <f>HLOOKUP(A17,利润表!$A$1:$BZ$100,8,FALSE)</f>
        <v>1858132722.71</v>
      </c>
      <c r="H17" s="6">
        <f>HLOOKUP(A17,利润表!$A$1:$BZ$100,9,FALSE)</f>
        <v>2834740716</v>
      </c>
      <c r="I17" s="6">
        <f>HLOOKUP(A17,利润表!$A$1:$BZ$100,10,FALSE)</f>
        <v>-429074364.68000001</v>
      </c>
      <c r="J17" s="6">
        <f>HLOOKUP(A17,利润表!$A$1:$BZ$100,16,FALSE)</f>
        <v>21791544952</v>
      </c>
      <c r="K17" s="7">
        <f t="shared" si="0"/>
        <v>0.92904940156858784</v>
      </c>
      <c r="L17" s="7">
        <f t="shared" si="1"/>
        <v>0.70473077324578337</v>
      </c>
      <c r="M17" s="7">
        <f t="shared" si="2"/>
        <v>0.16335605947767273</v>
      </c>
      <c r="N17" s="8">
        <f t="shared" si="3"/>
        <v>1.0747714941758195</v>
      </c>
      <c r="O17" s="8">
        <f t="shared" si="4"/>
        <v>0.79267799711924591</v>
      </c>
      <c r="P17" s="6">
        <f>HLOOKUP(A17,资产负债表!$A$1:$BZ$100,42,FALSE)</f>
        <v>55454150677.050003</v>
      </c>
      <c r="Q17" s="6">
        <f>HLOOKUP(A17,资产负债表!$A$1:$BZ$100,84,FALSE)</f>
        <v>44129092273.260002</v>
      </c>
      <c r="R17" s="7">
        <f t="shared" si="5"/>
        <v>0.79577618148469931</v>
      </c>
      <c r="S17" s="7">
        <f t="shared" si="6"/>
        <v>0.28789368669669591</v>
      </c>
      <c r="T17" s="7">
        <f t="shared" si="7"/>
        <v>0.36177720996821683</v>
      </c>
      <c r="U17" s="2"/>
      <c r="V17" s="2"/>
      <c r="W17" s="2"/>
      <c r="X17" s="2"/>
      <c r="Y17" s="2"/>
    </row>
    <row r="18" spans="1:25">
      <c r="A18" s="4">
        <v>20141231</v>
      </c>
      <c r="B18" s="6">
        <f>HLOOKUP(A18,利润表!$A$1:$BZ$100,22,FALSE)</f>
        <v>16269371509.83</v>
      </c>
      <c r="C18" s="6">
        <f>HLOOKUP(A18,现金流!$A$1:$ZZ$100,13,FALSE)</f>
        <v>12632522436.6</v>
      </c>
      <c r="D18" s="6">
        <f>HLOOKUP(A18,现金流!$A$1:$ZZ$100,4,FALSE)</f>
        <v>33384835714.040001</v>
      </c>
      <c r="E18" s="6">
        <f>HLOOKUP(A18,利润表!$A$1:$BZ$100,4,FALSE)</f>
        <v>31573928530.939999</v>
      </c>
      <c r="F18" s="6">
        <f>HLOOKUP(A18,利润表!$A$1:$BZ$100,6,FALSE)</f>
        <v>2338550532.3299999</v>
      </c>
      <c r="G18" s="6">
        <f>HLOOKUP(A18,利润表!$A$1:$BZ$100,8,FALSE)</f>
        <v>1674733451.0599999</v>
      </c>
      <c r="H18" s="6">
        <f>HLOOKUP(A18,利润表!$A$1:$BZ$100,9,FALSE)</f>
        <v>3378499544.5900002</v>
      </c>
      <c r="I18" s="6">
        <f>HLOOKUP(A18,利润表!$A$1:$BZ$100,10,FALSE)</f>
        <v>-123168793.84</v>
      </c>
      <c r="J18" s="6">
        <f>HLOOKUP(A18,利润表!$A$1:$BZ$100,16,FALSE)</f>
        <v>22102973250.900002</v>
      </c>
      <c r="K18" s="7">
        <f t="shared" si="0"/>
        <v>0.9259341285314433</v>
      </c>
      <c r="L18" s="7">
        <f t="shared" si="1"/>
        <v>0.70003874333346905</v>
      </c>
      <c r="M18" s="7">
        <f t="shared" si="2"/>
        <v>0.17284650794972639</v>
      </c>
      <c r="N18" s="8">
        <f t="shared" si="3"/>
        <v>1.0573545094752923</v>
      </c>
      <c r="O18" s="8">
        <f t="shared" si="4"/>
        <v>0.77646038317874755</v>
      </c>
      <c r="P18" s="6">
        <f>HLOOKUP(A18,资产负债表!$A$1:$BZ$100,42,FALSE)</f>
        <v>65873165224.629997</v>
      </c>
      <c r="Q18" s="6">
        <f>HLOOKUP(A18,资产负债表!$A$1:$BZ$100,84,FALSE)</f>
        <v>55311550841.120003</v>
      </c>
      <c r="R18" s="7">
        <f t="shared" si="5"/>
        <v>0.83966742227287106</v>
      </c>
      <c r="S18" s="7">
        <f t="shared" si="6"/>
        <v>0.24698026054085642</v>
      </c>
      <c r="T18" s="7">
        <f t="shared" si="7"/>
        <v>0.29414057755428075</v>
      </c>
      <c r="U18" s="2"/>
      <c r="V18" s="2"/>
      <c r="W18" s="2"/>
      <c r="X18" s="2"/>
      <c r="Y18" s="2"/>
    </row>
    <row r="19" spans="1:25">
      <c r="A19" s="4">
        <v>20151231</v>
      </c>
      <c r="B19" s="6">
        <f>HLOOKUP(A19,利润表!$A$1:$BZ$100,22,FALSE)</f>
        <v>16454996625.219999</v>
      </c>
      <c r="C19" s="6">
        <f>HLOOKUP(A19,现金流!$A$1:$ZZ$100,13,FALSE)</f>
        <v>17436340141.720001</v>
      </c>
      <c r="D19" s="6">
        <f>HLOOKUP(A19,现金流!$A$1:$ZZ$100,4,FALSE)</f>
        <v>37083071835.580002</v>
      </c>
      <c r="E19" s="6">
        <f>HLOOKUP(A19,利润表!$A$1:$BZ$100,4,FALSE)</f>
        <v>32659583725.279999</v>
      </c>
      <c r="F19" s="6">
        <f>HLOOKUP(A19,利润表!$A$1:$BZ$100,6,FALSE)</f>
        <v>2538337449.0599999</v>
      </c>
      <c r="G19" s="6">
        <f>HLOOKUP(A19,利润表!$A$1:$BZ$100,8,FALSE)</f>
        <v>1484961519.21</v>
      </c>
      <c r="H19" s="6">
        <f>HLOOKUP(A19,利润表!$A$1:$BZ$100,9,FALSE)</f>
        <v>3812852076.1900001</v>
      </c>
      <c r="I19" s="6">
        <f>HLOOKUP(A19,利润表!$A$1:$BZ$100,10,FALSE)</f>
        <v>-67266800.969999999</v>
      </c>
      <c r="J19" s="6">
        <f>HLOOKUP(A19,利润表!$A$1:$BZ$100,16,FALSE)</f>
        <v>22158991962.869999</v>
      </c>
      <c r="K19" s="7">
        <f t="shared" si="0"/>
        <v>0.92227894052748705</v>
      </c>
      <c r="L19" s="7">
        <f t="shared" si="1"/>
        <v>0.67848360068710656</v>
      </c>
      <c r="M19" s="7">
        <f t="shared" si="2"/>
        <v>0.17588294809642377</v>
      </c>
      <c r="N19" s="8">
        <f t="shared" si="3"/>
        <v>1.1354422685698846</v>
      </c>
      <c r="O19" s="8">
        <f t="shared" si="4"/>
        <v>1.0596380259960632</v>
      </c>
      <c r="P19" s="6">
        <f>HLOOKUP(A19,资产负债表!$A$1:$BZ$100,42,FALSE)</f>
        <v>86301463422.770004</v>
      </c>
      <c r="Q19" s="6">
        <f>HLOOKUP(A19,资产负债表!$A$1:$BZ$100,84,FALSE)</f>
        <v>66234170421.290001</v>
      </c>
      <c r="R19" s="7">
        <f t="shared" si="5"/>
        <v>0.76747447603321406</v>
      </c>
      <c r="S19" s="7">
        <f t="shared" si="6"/>
        <v>0.19066880180943108</v>
      </c>
      <c r="T19" s="7">
        <f t="shared" si="7"/>
        <v>0.2484366682719224</v>
      </c>
      <c r="U19" s="2"/>
      <c r="V19" s="2"/>
      <c r="W19" s="2"/>
      <c r="X19" s="2"/>
      <c r="Y19" s="2"/>
    </row>
    <row r="20" spans="1:25">
      <c r="A20" s="4">
        <v>20161231</v>
      </c>
      <c r="B20" s="6">
        <f>HLOOKUP(A20,利润表!$A$1:$BZ$100,22,FALSE)</f>
        <v>17930643109.880001</v>
      </c>
      <c r="C20" s="6">
        <f>HLOOKUP(A20,现金流!$A$1:$ZZ$100,13,FALSE)</f>
        <v>37451249647.050003</v>
      </c>
      <c r="D20" s="6">
        <f>HLOOKUP(A20,现金流!$A$1:$ZZ$100,4,FALSE)</f>
        <v>61012964102.540001</v>
      </c>
      <c r="E20" s="6">
        <f>HLOOKUP(A20,利润表!$A$1:$BZ$100,4,FALSE)</f>
        <v>38862189993.839996</v>
      </c>
      <c r="F20" s="6">
        <f>HLOOKUP(A20,利润表!$A$1:$BZ$100,6,FALSE)</f>
        <v>3410104085.9699998</v>
      </c>
      <c r="G20" s="6">
        <f>HLOOKUP(A20,利润表!$A$1:$BZ$100,8,FALSE)</f>
        <v>1681052022.9000001</v>
      </c>
      <c r="H20" s="6">
        <f>HLOOKUP(A20,利润表!$A$1:$BZ$100,9,FALSE)</f>
        <v>4187189840.4200001</v>
      </c>
      <c r="I20" s="6">
        <f>HLOOKUP(A20,利润表!$A$1:$BZ$100,10,FALSE)</f>
        <v>-33175188.52</v>
      </c>
      <c r="J20" s="6">
        <f>HLOOKUP(A20,利润表!$A$1:$BZ$100,16,FALSE)</f>
        <v>24265625169.419998</v>
      </c>
      <c r="K20" s="7">
        <f t="shared" si="0"/>
        <v>0.91225136600612233</v>
      </c>
      <c r="L20" s="7">
        <f t="shared" si="1"/>
        <v>0.62440189740378282</v>
      </c>
      <c r="M20" s="7">
        <f t="shared" si="2"/>
        <v>0.1655259969348464</v>
      </c>
      <c r="N20" s="8">
        <f t="shared" si="3"/>
        <v>1.5699826518323106</v>
      </c>
      <c r="O20" s="8">
        <f t="shared" si="4"/>
        <v>2.0886729727175215</v>
      </c>
      <c r="P20" s="6">
        <f>HLOOKUP(A20,资产负债表!$A$1:$BZ$100,42,FALSE)</f>
        <v>112934538280.41</v>
      </c>
      <c r="Q20" s="6">
        <f>HLOOKUP(A20,资产负债表!$A$1:$BZ$100,84,FALSE)</f>
        <v>75898542854.720001</v>
      </c>
      <c r="R20" s="7">
        <f t="shared" si="5"/>
        <v>0.6720578488244956</v>
      </c>
      <c r="S20" s="7">
        <f t="shared" si="6"/>
        <v>0.15877023435788296</v>
      </c>
      <c r="T20" s="7">
        <f t="shared" si="7"/>
        <v>0.23624489266153184</v>
      </c>
      <c r="U20" s="2"/>
      <c r="V20" s="2"/>
      <c r="W20" s="2"/>
      <c r="X20" s="2"/>
      <c r="Y20" s="2"/>
    </row>
    <row r="21" spans="1:25">
      <c r="A21" s="9">
        <v>20170930</v>
      </c>
      <c r="B21" s="6">
        <f>HLOOKUP(A21,利润表!$A$1:$BZ$100,22,FALSE)</f>
        <v>21361469066.810001</v>
      </c>
      <c r="C21" s="6">
        <f>HLOOKUP(A21,现金流!$A$1:$ZZ$100,13,FALSE)</f>
        <v>22786767198.189999</v>
      </c>
      <c r="D21" s="6">
        <f>HLOOKUP(A21,现金流!$A$1:$ZZ$100,4,FALSE)</f>
        <v>48901003501.120003</v>
      </c>
      <c r="E21" s="6">
        <f>HLOOKUP(A21,利润表!$A$1:$BZ$100,4,FALSE)</f>
        <v>42450467500.010002</v>
      </c>
      <c r="F21" s="6">
        <f>HLOOKUP(A21,利润表!$A$1:$BZ$100,6,FALSE)</f>
        <v>4273438303.5</v>
      </c>
      <c r="G21" s="6">
        <f>HLOOKUP(A21,利润表!$A$1:$BZ$100,8,FALSE)</f>
        <v>1977910933.9000001</v>
      </c>
      <c r="H21" s="6">
        <f>HLOOKUP(A21,利润表!$A$1:$BZ$100,9,FALSE)</f>
        <v>3115038946.7600002</v>
      </c>
      <c r="I21" s="6">
        <f>HLOOKUP(A21,利润表!$A$1:$BZ$100,10,FALSE)</f>
        <v>-39273204.75</v>
      </c>
      <c r="J21" s="6">
        <f>HLOOKUP(A21,利润表!$A$1:$BZ$100,16,FALSE)</f>
        <v>28636943385.349998</v>
      </c>
      <c r="K21" s="7">
        <f t="shared" si="0"/>
        <v>0.8993311839616609</v>
      </c>
      <c r="L21" s="7">
        <f t="shared" si="1"/>
        <v>0.67459665515681899</v>
      </c>
      <c r="M21" s="7">
        <f t="shared" si="2"/>
        <v>0.13340351483204402</v>
      </c>
      <c r="N21" s="8">
        <f t="shared" ref="N21" si="8">D21/E21</f>
        <v>1.1519544160758295</v>
      </c>
      <c r="O21" s="8">
        <f t="shared" ref="O21" si="9">C21/B21</f>
        <v>1.0667228516410665</v>
      </c>
      <c r="P21" s="6">
        <f>HLOOKUP(A21,资产负债表!$A$1:$BZ$100,42,FALSE)</f>
        <v>127780036133.2</v>
      </c>
      <c r="Q21" s="6">
        <f>HLOOKUP(A21,资产负债表!$A$1:$BZ$100,84,FALSE)</f>
        <v>88380845274.130005</v>
      </c>
      <c r="R21" s="7">
        <f t="shared" si="5"/>
        <v>0.69166395587805574</v>
      </c>
      <c r="S21" s="7">
        <f t="shared" si="6"/>
        <v>0.16717375979251139</v>
      </c>
      <c r="T21" s="7">
        <f t="shared" si="7"/>
        <v>0.24169794937526726</v>
      </c>
      <c r="U21" s="2"/>
      <c r="V21" s="2"/>
      <c r="W21" s="2"/>
      <c r="X21" s="2"/>
      <c r="Y2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21"/>
  <sheetViews>
    <sheetView zoomScale="70" zoomScaleNormal="70" workbookViewId="0">
      <selection activeCell="H21" sqref="H21"/>
    </sheetView>
  </sheetViews>
  <sheetFormatPr defaultRowHeight="13.5"/>
  <cols>
    <col min="2" max="2" width="9.5" bestFit="1" customWidth="1"/>
    <col min="3" max="3" width="10.625" bestFit="1" customWidth="1"/>
    <col min="4" max="4" width="13.5" bestFit="1" customWidth="1"/>
    <col min="5" max="5" width="10.5" bestFit="1" customWidth="1"/>
    <col min="6" max="6" width="15.625" bestFit="1" customWidth="1"/>
    <col min="7" max="7" width="14.25" bestFit="1" customWidth="1"/>
    <col min="8" max="9" width="15.625" bestFit="1" customWidth="1"/>
    <col min="13" max="13" width="11.625" customWidth="1"/>
  </cols>
  <sheetData>
    <row r="1" spans="1:16">
      <c r="A1" s="41" t="s">
        <v>268</v>
      </c>
      <c r="B1" s="41" t="s">
        <v>253</v>
      </c>
      <c r="C1" s="41" t="s">
        <v>254</v>
      </c>
      <c r="D1" s="41" t="s">
        <v>285</v>
      </c>
      <c r="E1" s="41"/>
      <c r="F1" s="41" t="s">
        <v>279</v>
      </c>
      <c r="G1" s="45" t="s">
        <v>283</v>
      </c>
      <c r="H1" s="41" t="s">
        <v>286</v>
      </c>
      <c r="I1" s="41" t="s">
        <v>287</v>
      </c>
      <c r="J1" s="41" t="s">
        <v>271</v>
      </c>
      <c r="K1" s="41" t="s">
        <v>272</v>
      </c>
      <c r="L1" s="41" t="s">
        <v>275</v>
      </c>
      <c r="M1" s="41" t="s">
        <v>269</v>
      </c>
      <c r="N1" s="41" t="s">
        <v>284</v>
      </c>
      <c r="O1" s="41" t="s">
        <v>274</v>
      </c>
      <c r="P1" s="41" t="s">
        <v>273</v>
      </c>
    </row>
    <row r="2" spans="1:16">
      <c r="A2" s="41"/>
      <c r="B2" s="41"/>
      <c r="C2" s="41"/>
      <c r="D2" s="41"/>
      <c r="E2" s="41"/>
      <c r="F2" s="41"/>
      <c r="G2" s="19"/>
      <c r="H2" s="41"/>
      <c r="I2" s="41"/>
      <c r="J2" s="41"/>
      <c r="K2" s="41"/>
      <c r="L2" s="41"/>
      <c r="M2" s="41"/>
      <c r="N2" s="41"/>
      <c r="O2" s="41"/>
      <c r="P2" s="41"/>
    </row>
    <row r="3" spans="1:16" s="49" customFormat="1">
      <c r="A3" s="49">
        <v>1999</v>
      </c>
      <c r="G3" s="19">
        <v>215690128.65000001</v>
      </c>
      <c r="H3" s="48"/>
      <c r="I3" s="48"/>
      <c r="J3" s="48"/>
      <c r="K3" s="48"/>
      <c r="L3" s="48"/>
      <c r="M3" s="48"/>
      <c r="N3" s="48"/>
      <c r="O3" s="48"/>
      <c r="P3" s="48"/>
    </row>
    <row r="4" spans="1:16" s="49" customFormat="1">
      <c r="A4" s="48">
        <v>2000</v>
      </c>
      <c r="B4" s="15">
        <v>185000000</v>
      </c>
      <c r="C4" s="15">
        <v>88432681.620000005</v>
      </c>
      <c r="D4" s="15">
        <v>442420732.97000003</v>
      </c>
      <c r="E4" s="15"/>
      <c r="F4" s="15"/>
      <c r="G4" s="19">
        <v>249558877.77000001</v>
      </c>
      <c r="H4" s="48"/>
      <c r="I4" s="48"/>
      <c r="J4" s="48"/>
      <c r="K4" s="48"/>
      <c r="L4" s="48"/>
      <c r="M4" s="48"/>
      <c r="N4" s="48"/>
      <c r="O4" s="48"/>
      <c r="P4" s="48"/>
    </row>
    <row r="5" spans="1:16">
      <c r="A5" s="16">
        <v>2001</v>
      </c>
      <c r="B5" s="15">
        <v>250000000</v>
      </c>
      <c r="C5" s="15">
        <v>2039189510.54</v>
      </c>
      <c r="D5" s="15">
        <v>2530915664.8000002</v>
      </c>
      <c r="E5" s="15">
        <f>D5-C5-B5</f>
        <v>241726154.26000023</v>
      </c>
      <c r="F5" s="15"/>
      <c r="G5" s="19">
        <v>328290723.13999999</v>
      </c>
      <c r="H5" s="15"/>
      <c r="I5" s="15"/>
      <c r="J5" s="16"/>
      <c r="K5" s="16"/>
      <c r="L5" s="47">
        <v>38.549999999999997</v>
      </c>
      <c r="M5" s="15">
        <f t="shared" ref="M5:M21" si="0">B5*L5</f>
        <v>9637500000</v>
      </c>
      <c r="N5" s="15"/>
      <c r="O5" s="16"/>
      <c r="P5" s="16"/>
    </row>
    <row r="6" spans="1:16">
      <c r="A6" s="16">
        <v>2002</v>
      </c>
      <c r="B6" s="15">
        <v>275000000</v>
      </c>
      <c r="C6" s="15">
        <v>2014320830.54</v>
      </c>
      <c r="D6" s="15">
        <v>2852845506.1599998</v>
      </c>
      <c r="E6" s="15">
        <f t="shared" ref="E6:E21" si="1">D6-C6-B6</f>
        <v>563524675.61999989</v>
      </c>
      <c r="F6" s="15">
        <v>150000000</v>
      </c>
      <c r="G6" s="19">
        <f>E6-E5+F6</f>
        <v>471798521.35999966</v>
      </c>
      <c r="H6" s="15">
        <f t="shared" ref="H6:H19" si="2">G6*15</f>
        <v>7076977820.3999949</v>
      </c>
      <c r="I6" s="15">
        <f t="shared" ref="I6:I19" si="3">G6*25</f>
        <v>11794963033.999992</v>
      </c>
      <c r="J6" s="16"/>
      <c r="K6" s="16"/>
      <c r="L6" s="47">
        <v>25.46</v>
      </c>
      <c r="M6" s="15">
        <f t="shared" si="0"/>
        <v>7001500000</v>
      </c>
      <c r="N6" s="46">
        <f t="shared" ref="N6:N21" si="4">M6/G6</f>
        <v>14.840021074711249</v>
      </c>
      <c r="O6" s="42" t="e">
        <f>POWER(EXP(1),LOG(#REF!/#REF!,EXP(1))/((A6-A$5))) - 1</f>
        <v>#REF!</v>
      </c>
      <c r="P6" s="42">
        <f t="shared" ref="P6:P21" si="5">POWER(EXP(1),LOG(L6/L$5,EXP(1))/((A6-A$5))) - 1</f>
        <v>-0.33955901426718538</v>
      </c>
    </row>
    <row r="7" spans="1:16">
      <c r="A7" s="16">
        <v>2003</v>
      </c>
      <c r="B7" s="15">
        <v>275000000</v>
      </c>
      <c r="C7" s="15">
        <v>2014484980.54</v>
      </c>
      <c r="D7" s="15">
        <v>3439142472.54</v>
      </c>
      <c r="E7" s="15">
        <f t="shared" si="1"/>
        <v>1149657492</v>
      </c>
      <c r="F7" s="15">
        <f>B7/10*2</f>
        <v>55000000</v>
      </c>
      <c r="G7" s="19">
        <f t="shared" ref="G7:G21" si="6">E7-E6+F7</f>
        <v>641132816.38000011</v>
      </c>
      <c r="H7" s="15">
        <f t="shared" si="2"/>
        <v>9616992245.7000008</v>
      </c>
      <c r="I7" s="15">
        <f t="shared" si="3"/>
        <v>16028320409.500004</v>
      </c>
      <c r="J7" s="16"/>
      <c r="K7" s="16"/>
      <c r="L7" s="47">
        <v>25.4</v>
      </c>
      <c r="M7" s="15">
        <f t="shared" si="0"/>
        <v>6985000000</v>
      </c>
      <c r="N7" s="46">
        <f t="shared" si="4"/>
        <v>10.894778463281753</v>
      </c>
      <c r="O7" s="42" t="e">
        <f>POWER(EXP(1),LOG(#REF!/#REF!,EXP(1))/((A7-A$5))) - 1</f>
        <v>#REF!</v>
      </c>
      <c r="P7" s="42">
        <f t="shared" si="5"/>
        <v>-0.18828295231691017</v>
      </c>
    </row>
    <row r="8" spans="1:16">
      <c r="A8" s="16">
        <v>2004</v>
      </c>
      <c r="B8" s="15">
        <v>393250000</v>
      </c>
      <c r="C8" s="15">
        <v>1923937320.54</v>
      </c>
      <c r="D8" s="15">
        <v>4169148809.73</v>
      </c>
      <c r="E8" s="15">
        <f t="shared" si="1"/>
        <v>1851961489.1900001</v>
      </c>
      <c r="F8" s="15">
        <f>B8/10*3</f>
        <v>117975000</v>
      </c>
      <c r="G8" s="19">
        <f t="shared" si="6"/>
        <v>820278997.19000006</v>
      </c>
      <c r="H8" s="15">
        <f t="shared" si="2"/>
        <v>12304184957.85</v>
      </c>
      <c r="I8" s="15">
        <f t="shared" si="3"/>
        <v>20506974929.75</v>
      </c>
      <c r="J8" s="16"/>
      <c r="K8" s="16"/>
      <c r="L8" s="47">
        <v>36.64</v>
      </c>
      <c r="M8" s="15">
        <f t="shared" si="0"/>
        <v>14408680000</v>
      </c>
      <c r="N8" s="46">
        <f t="shared" si="4"/>
        <v>17.565584452801172</v>
      </c>
      <c r="O8" s="42" t="e">
        <f>POWER(EXP(1),LOG(#REF!/#REF!,EXP(1))/((A8-A$5))) - 1</f>
        <v>#REF!</v>
      </c>
      <c r="P8" s="42">
        <f t="shared" si="5"/>
        <v>-1.6795869899946525E-2</v>
      </c>
    </row>
    <row r="9" spans="1:16">
      <c r="A9" s="16">
        <v>2005</v>
      </c>
      <c r="B9" s="15">
        <v>471900000</v>
      </c>
      <c r="C9" s="15">
        <v>1846119450.6099999</v>
      </c>
      <c r="D9" s="15">
        <v>5091897569.1700001</v>
      </c>
      <c r="E9" s="15">
        <f t="shared" si="1"/>
        <v>2773878118.5600004</v>
      </c>
      <c r="F9" s="15">
        <f>393250000/10*5</f>
        <v>196625000</v>
      </c>
      <c r="G9" s="19">
        <f t="shared" si="6"/>
        <v>1118541629.3700004</v>
      </c>
      <c r="H9" s="15">
        <f t="shared" si="2"/>
        <v>16778124440.550005</v>
      </c>
      <c r="I9" s="15">
        <f t="shared" si="3"/>
        <v>27963540734.250008</v>
      </c>
      <c r="J9" s="16"/>
      <c r="K9" s="16"/>
      <c r="L9" s="47">
        <v>45.62</v>
      </c>
      <c r="M9" s="15">
        <f t="shared" si="0"/>
        <v>21528078000</v>
      </c>
      <c r="N9" s="46">
        <f t="shared" si="4"/>
        <v>19.2465594795299</v>
      </c>
      <c r="O9" s="42" t="e">
        <f>POWER(EXP(1),LOG(#REF!/#REF!,EXP(1))/((A9-A$5))) - 1</f>
        <v>#REF!</v>
      </c>
      <c r="P9" s="42">
        <f t="shared" si="5"/>
        <v>4.2996196387328878E-2</v>
      </c>
    </row>
    <row r="10" spans="1:16">
      <c r="A10" s="16">
        <v>2006</v>
      </c>
      <c r="B10" s="15">
        <v>943800000</v>
      </c>
      <c r="C10" s="15">
        <v>1374449260.6099999</v>
      </c>
      <c r="D10" s="15">
        <v>5897005453.5799999</v>
      </c>
      <c r="E10" s="15">
        <f t="shared" si="1"/>
        <v>3578756192.9700003</v>
      </c>
      <c r="F10" s="15">
        <v>141570000</v>
      </c>
      <c r="G10" s="19">
        <f t="shared" si="6"/>
        <v>946448074.40999985</v>
      </c>
      <c r="H10" s="15">
        <f t="shared" si="2"/>
        <v>14196721116.149998</v>
      </c>
      <c r="I10" s="15">
        <f t="shared" si="3"/>
        <v>23661201860.249996</v>
      </c>
      <c r="J10" s="16"/>
      <c r="K10" s="16"/>
      <c r="L10" s="47">
        <v>87.83</v>
      </c>
      <c r="M10" s="15">
        <f t="shared" si="0"/>
        <v>82893954000</v>
      </c>
      <c r="N10" s="46">
        <f t="shared" si="4"/>
        <v>87.584259761608919</v>
      </c>
      <c r="O10" s="42" t="e">
        <f>POWER(EXP(1),LOG(#REF!/#REF!,EXP(1))/((A10-A$5))) - 1</f>
        <v>#REF!</v>
      </c>
      <c r="P10" s="42">
        <f t="shared" si="5"/>
        <v>0.17902686267586043</v>
      </c>
    </row>
    <row r="11" spans="1:16">
      <c r="A11" s="16">
        <v>2007</v>
      </c>
      <c r="B11" s="15">
        <v>943800000</v>
      </c>
      <c r="C11" s="15">
        <v>1374964415.72</v>
      </c>
      <c r="D11" s="15">
        <v>8234105755.9300003</v>
      </c>
      <c r="E11" s="15">
        <f t="shared" si="1"/>
        <v>5915341340.21</v>
      </c>
      <c r="F11" s="15">
        <v>1218445800</v>
      </c>
      <c r="G11" s="19">
        <f t="shared" si="6"/>
        <v>3555030947.2399998</v>
      </c>
      <c r="H11" s="15">
        <f t="shared" si="2"/>
        <v>53325464208.599998</v>
      </c>
      <c r="I11" s="15">
        <f t="shared" si="3"/>
        <v>88875773681</v>
      </c>
      <c r="J11" s="16"/>
      <c r="K11" s="16"/>
      <c r="L11" s="47">
        <v>230</v>
      </c>
      <c r="M11" s="15">
        <f t="shared" si="0"/>
        <v>217074000000</v>
      </c>
      <c r="N11" s="46">
        <f t="shared" si="4"/>
        <v>61.061071822322269</v>
      </c>
      <c r="O11" s="42" t="e">
        <f>POWER(EXP(1),LOG(#REF!/#REF!,EXP(1))/((A11-A$5))) - 1</f>
        <v>#REF!</v>
      </c>
      <c r="P11" s="42">
        <f t="shared" si="5"/>
        <v>0.34674046357195065</v>
      </c>
    </row>
    <row r="12" spans="1:16">
      <c r="A12" s="16">
        <v>2008</v>
      </c>
      <c r="B12" s="15">
        <v>943800000</v>
      </c>
      <c r="C12" s="15">
        <v>1374964415.72</v>
      </c>
      <c r="D12" s="15">
        <v>11244569516.469999</v>
      </c>
      <c r="E12" s="15">
        <f t="shared" si="1"/>
        <v>8925805100.75</v>
      </c>
      <c r="F12" s="15">
        <v>789016797.97000003</v>
      </c>
      <c r="G12" s="19">
        <f t="shared" si="6"/>
        <v>3799480558.5100002</v>
      </c>
      <c r="H12" s="15">
        <f t="shared" si="2"/>
        <v>56992208377.650002</v>
      </c>
      <c r="I12" s="15">
        <f t="shared" si="3"/>
        <v>94987013962.75</v>
      </c>
      <c r="J12" s="16"/>
      <c r="K12" s="16"/>
      <c r="L12" s="47">
        <v>108.7</v>
      </c>
      <c r="M12" s="15">
        <f t="shared" si="0"/>
        <v>102591060000</v>
      </c>
      <c r="N12" s="46">
        <f t="shared" si="4"/>
        <v>27.001338319844432</v>
      </c>
      <c r="O12" s="42" t="e">
        <f>POWER(EXP(1),LOG(#REF!/#REF!,EXP(1))/((A12-A$5))) - 1</f>
        <v>#REF!</v>
      </c>
      <c r="P12" s="42">
        <f t="shared" si="5"/>
        <v>0.15961820050552622</v>
      </c>
    </row>
    <row r="13" spans="1:16">
      <c r="A13" s="16">
        <v>2009</v>
      </c>
      <c r="B13" s="15">
        <v>943800000</v>
      </c>
      <c r="C13" s="15">
        <v>1374964415.72</v>
      </c>
      <c r="D13" s="15">
        <v>14465982842.809999</v>
      </c>
      <c r="E13" s="15">
        <f t="shared" si="1"/>
        <v>12147218427.09</v>
      </c>
      <c r="F13" s="15">
        <v>1091032798.3900001</v>
      </c>
      <c r="G13" s="19">
        <f t="shared" si="6"/>
        <v>4312446124.7300005</v>
      </c>
      <c r="H13" s="15">
        <f t="shared" si="2"/>
        <v>64686691870.950005</v>
      </c>
      <c r="I13" s="15">
        <f t="shared" si="3"/>
        <v>107811153118.25002</v>
      </c>
      <c r="J13" s="16"/>
      <c r="K13" s="16"/>
      <c r="L13" s="47">
        <v>169.82</v>
      </c>
      <c r="M13" s="15">
        <f t="shared" si="0"/>
        <v>160276116000</v>
      </c>
      <c r="N13" s="46">
        <f t="shared" si="4"/>
        <v>37.165940481177557</v>
      </c>
      <c r="O13" s="42" t="e">
        <f>POWER(EXP(1),LOG(#REF!/#REF!,EXP(1))/((A13-A$5))) - 1</f>
        <v>#REF!</v>
      </c>
      <c r="P13" s="42">
        <f t="shared" si="5"/>
        <v>0.20363707541866516</v>
      </c>
    </row>
    <row r="14" spans="1:16">
      <c r="A14" s="16">
        <v>2010</v>
      </c>
      <c r="B14" s="15">
        <v>943800000</v>
      </c>
      <c r="C14" s="15">
        <v>1374964415.72</v>
      </c>
      <c r="D14" s="15">
        <v>18398774060.799999</v>
      </c>
      <c r="E14" s="15">
        <f t="shared" si="1"/>
        <v>16080009645.08</v>
      </c>
      <c r="F14" s="15">
        <v>1118403000.27</v>
      </c>
      <c r="G14" s="19">
        <f t="shared" si="6"/>
        <v>5051194218.2600002</v>
      </c>
      <c r="H14" s="15">
        <f t="shared" si="2"/>
        <v>75767913273.900009</v>
      </c>
      <c r="I14" s="15">
        <f t="shared" si="3"/>
        <v>126279855456.5</v>
      </c>
      <c r="J14" s="16"/>
      <c r="K14" s="16"/>
      <c r="L14" s="47">
        <v>183.92</v>
      </c>
      <c r="M14" s="15">
        <f t="shared" si="0"/>
        <v>173583696000</v>
      </c>
      <c r="N14" s="46">
        <f t="shared" si="4"/>
        <v>34.364882540547981</v>
      </c>
      <c r="O14" s="42" t="e">
        <f>POWER(EXP(1),LOG(#REF!/#REF!,EXP(1))/((A14-A$5))) - 1</f>
        <v>#REF!</v>
      </c>
      <c r="P14" s="42">
        <f t="shared" si="5"/>
        <v>0.18959877536972747</v>
      </c>
    </row>
    <row r="15" spans="1:16">
      <c r="A15" s="16">
        <v>2011</v>
      </c>
      <c r="B15" s="15">
        <v>1038180000</v>
      </c>
      <c r="C15" s="15">
        <v>1374964415.72</v>
      </c>
      <c r="D15" s="15">
        <v>24991179971.029999</v>
      </c>
      <c r="E15" s="15">
        <f t="shared" si="1"/>
        <v>22578035555.309998</v>
      </c>
      <c r="F15" s="15">
        <v>2170740000</v>
      </c>
      <c r="G15" s="19">
        <f t="shared" si="6"/>
        <v>8668765910.2299976</v>
      </c>
      <c r="H15" s="15">
        <f t="shared" si="2"/>
        <v>130031488653.44997</v>
      </c>
      <c r="I15" s="15">
        <f t="shared" si="3"/>
        <v>216719147755.74994</v>
      </c>
      <c r="J15" s="16"/>
      <c r="K15" s="16"/>
      <c r="L15" s="47">
        <v>193.3</v>
      </c>
      <c r="M15" s="15">
        <f t="shared" si="0"/>
        <v>200680194000</v>
      </c>
      <c r="N15" s="46">
        <f t="shared" si="4"/>
        <v>23.149799646011619</v>
      </c>
      <c r="O15" s="42" t="e">
        <f>POWER(EXP(1),LOG(#REF!/#REF!,EXP(1))/((A15-A$5))) - 1</f>
        <v>#REF!</v>
      </c>
      <c r="P15" s="42">
        <f t="shared" si="5"/>
        <v>0.17495368361651575</v>
      </c>
    </row>
    <row r="16" spans="1:16">
      <c r="A16" s="16">
        <v>2012</v>
      </c>
      <c r="B16" s="15">
        <v>1038180000</v>
      </c>
      <c r="C16" s="15">
        <v>1374964415.72</v>
      </c>
      <c r="D16" s="15">
        <v>34149654123.68</v>
      </c>
      <c r="E16" s="15">
        <f t="shared" si="1"/>
        <v>31736509707.959999</v>
      </c>
      <c r="F16" s="15">
        <v>4149605460.23</v>
      </c>
      <c r="G16" s="19">
        <f t="shared" si="6"/>
        <v>13308079612.880001</v>
      </c>
      <c r="H16" s="15">
        <f t="shared" si="2"/>
        <v>199621194193.20001</v>
      </c>
      <c r="I16" s="15">
        <f t="shared" si="3"/>
        <v>332701990322</v>
      </c>
      <c r="J16" s="15"/>
      <c r="K16" s="15"/>
      <c r="L16" s="47">
        <v>209.02</v>
      </c>
      <c r="M16" s="15">
        <f t="shared" si="0"/>
        <v>217000383600</v>
      </c>
      <c r="N16" s="46">
        <f t="shared" si="4"/>
        <v>16.305912641969758</v>
      </c>
      <c r="O16" s="42" t="e">
        <f>POWER(EXP(1),LOG(#REF!/#REF!,EXP(1))/((A16-A$5))) - 1</f>
        <v>#REF!</v>
      </c>
      <c r="P16" s="42">
        <f t="shared" si="5"/>
        <v>0.166117016509578</v>
      </c>
    </row>
    <row r="17" spans="1:16">
      <c r="A17" s="16">
        <v>2013</v>
      </c>
      <c r="B17" s="15">
        <v>1038180000</v>
      </c>
      <c r="C17" s="15">
        <v>1374964415.72</v>
      </c>
      <c r="D17" s="15">
        <v>42622216487.809998</v>
      </c>
      <c r="E17" s="15">
        <f t="shared" si="1"/>
        <v>40209072072.089996</v>
      </c>
      <c r="F17" s="15">
        <v>6664077420.2200003</v>
      </c>
      <c r="G17" s="19">
        <f t="shared" si="6"/>
        <v>15136639784.349998</v>
      </c>
      <c r="H17" s="15">
        <f t="shared" si="2"/>
        <v>227049596765.24997</v>
      </c>
      <c r="I17" s="15">
        <f t="shared" si="3"/>
        <v>378415994608.74994</v>
      </c>
      <c r="J17" s="15"/>
      <c r="K17" s="15"/>
      <c r="L17" s="47">
        <v>128.38</v>
      </c>
      <c r="M17" s="15">
        <f t="shared" si="0"/>
        <v>133281548400</v>
      </c>
      <c r="N17" s="46">
        <f t="shared" si="4"/>
        <v>8.805226939323866</v>
      </c>
      <c r="O17" s="42" t="e">
        <f>POWER(EXP(1),LOG(#REF!/#REF!,EXP(1))/((A17-A$5))) - 1</f>
        <v>#REF!</v>
      </c>
      <c r="P17" s="42">
        <f t="shared" si="5"/>
        <v>0.10545079345592501</v>
      </c>
    </row>
    <row r="18" spans="1:16">
      <c r="A18" s="16">
        <v>2014</v>
      </c>
      <c r="B18" s="15">
        <v>1141998000</v>
      </c>
      <c r="C18" s="15">
        <v>1374964415.72</v>
      </c>
      <c r="D18" s="15">
        <v>53430402446.089996</v>
      </c>
      <c r="E18" s="15">
        <f t="shared" si="1"/>
        <v>50913440030.369995</v>
      </c>
      <c r="F18" s="15">
        <v>4540999320</v>
      </c>
      <c r="G18" s="19">
        <f t="shared" si="6"/>
        <v>15245367278.279999</v>
      </c>
      <c r="H18" s="15">
        <f t="shared" si="2"/>
        <v>228680509174.19998</v>
      </c>
      <c r="I18" s="15">
        <f t="shared" si="3"/>
        <v>381134181957</v>
      </c>
      <c r="J18" s="15"/>
      <c r="K18" s="15"/>
      <c r="L18" s="47">
        <v>189.62</v>
      </c>
      <c r="M18" s="15">
        <f t="shared" si="0"/>
        <v>216545660760</v>
      </c>
      <c r="N18" s="46">
        <f t="shared" si="4"/>
        <v>14.204030431494527</v>
      </c>
      <c r="O18" s="42" t="e">
        <f>POWER(EXP(1),LOG(#REF!/#REF!,EXP(1))/((A18-A$5))) - 1</f>
        <v>#REF!</v>
      </c>
      <c r="P18" s="42">
        <f t="shared" si="5"/>
        <v>0.13036833084716148</v>
      </c>
    </row>
    <row r="19" spans="1:16">
      <c r="A19" s="16">
        <v>2015</v>
      </c>
      <c r="B19" s="15">
        <v>1256197800</v>
      </c>
      <c r="C19" s="15">
        <v>1374964415.72</v>
      </c>
      <c r="D19" s="15">
        <v>63925978438.989998</v>
      </c>
      <c r="E19" s="15">
        <f t="shared" si="1"/>
        <v>61294816223.269997</v>
      </c>
      <c r="F19" s="15">
        <v>4995099252</v>
      </c>
      <c r="G19" s="19">
        <f t="shared" si="6"/>
        <v>15376475444.900002</v>
      </c>
      <c r="H19" s="15">
        <f t="shared" si="2"/>
        <v>230647131673.50003</v>
      </c>
      <c r="I19" s="15">
        <f t="shared" si="3"/>
        <v>384411886122.50006</v>
      </c>
      <c r="J19" s="15"/>
      <c r="K19" s="15"/>
      <c r="L19" s="47">
        <v>218.19</v>
      </c>
      <c r="M19" s="15">
        <f t="shared" si="0"/>
        <v>274089797982</v>
      </c>
      <c r="N19" s="46">
        <f t="shared" si="4"/>
        <v>17.825268148358983</v>
      </c>
      <c r="O19" s="42" t="e">
        <f>POWER(EXP(1),LOG(#REF!/#REF!,EXP(1))/((A19-A$5))) - 1</f>
        <v>#REF!</v>
      </c>
      <c r="P19" s="42">
        <f t="shared" si="5"/>
        <v>0.13180647897993225</v>
      </c>
    </row>
    <row r="20" spans="1:16">
      <c r="A20" s="16">
        <v>2016</v>
      </c>
      <c r="B20" s="15">
        <v>1256197800</v>
      </c>
      <c r="C20" s="15">
        <v>1374964415.72</v>
      </c>
      <c r="D20" s="15">
        <v>72894137783.25</v>
      </c>
      <c r="E20" s="15">
        <f t="shared" si="1"/>
        <v>70262975567.529999</v>
      </c>
      <c r="F20" s="15">
        <v>7751996623.8000002</v>
      </c>
      <c r="G20" s="19">
        <f t="shared" si="6"/>
        <v>16720155968.060001</v>
      </c>
      <c r="H20" s="15">
        <f>G20*15</f>
        <v>250802339520.90002</v>
      </c>
      <c r="I20" s="15">
        <f>G20*25</f>
        <v>418003899201.50006</v>
      </c>
      <c r="J20" s="15"/>
      <c r="K20" s="15"/>
      <c r="L20" s="47">
        <v>334.15</v>
      </c>
      <c r="M20" s="15">
        <f t="shared" si="0"/>
        <v>419758494870</v>
      </c>
      <c r="N20" s="46">
        <f t="shared" si="4"/>
        <v>25.104938953431517</v>
      </c>
      <c r="O20" s="42" t="e">
        <f>POWER(EXP(1),LOG(#REF!/#REF!,EXP(1))/((A20-A$5))) - 1</f>
        <v>#REF!</v>
      </c>
      <c r="P20" s="42">
        <f t="shared" si="5"/>
        <v>0.15485592153144334</v>
      </c>
    </row>
    <row r="21" spans="1:16">
      <c r="A21" s="16">
        <v>2017</v>
      </c>
      <c r="B21" s="15">
        <v>1256197800</v>
      </c>
      <c r="C21" s="15">
        <v>1374964415.72</v>
      </c>
      <c r="D21" s="15">
        <v>91451522828.960007</v>
      </c>
      <c r="E21" s="15">
        <f t="shared" si="1"/>
        <v>88820360613.240005</v>
      </c>
      <c r="F21" s="15">
        <v>8525814468.6000004</v>
      </c>
      <c r="G21" s="19">
        <f t="shared" si="6"/>
        <v>27083199514.310005</v>
      </c>
      <c r="H21" s="15">
        <f t="shared" ref="H21" si="7">G21*15</f>
        <v>406247992714.65009</v>
      </c>
      <c r="I21" s="15">
        <f t="shared" ref="I21" si="8">G21*25</f>
        <v>677079987857.75012</v>
      </c>
      <c r="J21" s="15"/>
      <c r="K21" s="15"/>
      <c r="L21" s="47">
        <v>697.49</v>
      </c>
      <c r="M21" s="15">
        <f t="shared" si="0"/>
        <v>876185403522</v>
      </c>
      <c r="N21" s="46">
        <f t="shared" si="4"/>
        <v>32.351620902805379</v>
      </c>
      <c r="O21" s="42" t="e">
        <f>POWER(EXP(1),LOG(#REF!/#REF!,EXP(1))/((A21-A$5))) - 1</f>
        <v>#REF!</v>
      </c>
      <c r="P21" s="42">
        <f t="shared" si="5"/>
        <v>0.19838013190403636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1"/>
  <sheetViews>
    <sheetView zoomScaleNormal="100" workbookViewId="0">
      <pane ySplit="1" topLeftCell="A26" activePane="bottomLeft" state="frozen"/>
      <selection pane="bottomLeft" activeCell="J41" sqref="J41"/>
    </sheetView>
  </sheetViews>
  <sheetFormatPr defaultRowHeight="13.5"/>
  <cols>
    <col min="1" max="1" width="21.5" bestFit="1" customWidth="1"/>
    <col min="2" max="2" width="23.875" bestFit="1" customWidth="1"/>
    <col min="3" max="3" width="9.25" bestFit="1" customWidth="1"/>
    <col min="4" max="4" width="10.375" bestFit="1" customWidth="1"/>
    <col min="5" max="5" width="10.375" customWidth="1"/>
    <col min="6" max="6" width="11.125" bestFit="1" customWidth="1"/>
    <col min="7" max="7" width="10.5" bestFit="1" customWidth="1"/>
  </cols>
  <sheetData>
    <row r="1" spans="1:7">
      <c r="A1" s="26"/>
      <c r="B1" s="71"/>
      <c r="C1" s="71">
        <v>2014</v>
      </c>
      <c r="D1" s="71">
        <v>2015</v>
      </c>
      <c r="E1" s="71">
        <v>2016</v>
      </c>
      <c r="F1" s="71">
        <v>2017</v>
      </c>
      <c r="G1" s="71">
        <v>2018</v>
      </c>
    </row>
    <row r="2" spans="1:7">
      <c r="A2" s="20" t="s">
        <v>262</v>
      </c>
      <c r="B2" s="71"/>
      <c r="C2" s="14"/>
      <c r="D2" s="14"/>
      <c r="E2" s="14">
        <v>4451211722.6099997</v>
      </c>
      <c r="F2" s="14">
        <v>6004706786.0799999</v>
      </c>
      <c r="G2" s="14">
        <v>4809760827.29</v>
      </c>
    </row>
    <row r="3" spans="1:7">
      <c r="A3" s="20" t="s">
        <v>338</v>
      </c>
      <c r="B3" s="71"/>
      <c r="C3" s="14"/>
      <c r="D3" s="14"/>
      <c r="E3" s="14"/>
      <c r="F3" s="14"/>
      <c r="G3" s="14">
        <v>4198388571.1399999</v>
      </c>
    </row>
    <row r="4" spans="1:7">
      <c r="A4" s="27" t="s">
        <v>300</v>
      </c>
      <c r="B4" s="13"/>
      <c r="C4" s="14"/>
      <c r="D4" s="14">
        <f>D9*0.25</f>
        <v>1092104187.5</v>
      </c>
      <c r="E4" s="14">
        <f>E9*0.408</f>
        <v>3564628068</v>
      </c>
      <c r="F4" s="14">
        <f>F9*0.1</f>
        <v>1223156690</v>
      </c>
      <c r="G4" s="14"/>
    </row>
    <row r="5" spans="1:7">
      <c r="A5" s="27" t="s">
        <v>263</v>
      </c>
      <c r="B5" s="13"/>
      <c r="C5" s="14"/>
      <c r="D5" s="14"/>
      <c r="E5" s="14"/>
      <c r="F5" s="14"/>
      <c r="G5" s="14"/>
    </row>
    <row r="6" spans="1:7">
      <c r="A6" s="27" t="s">
        <v>306</v>
      </c>
      <c r="B6" s="13"/>
      <c r="C6" s="14">
        <v>2517164690.0500002</v>
      </c>
      <c r="D6" s="14">
        <v>2630453814.8800001</v>
      </c>
      <c r="E6" s="14">
        <v>4800012042.6999998</v>
      </c>
      <c r="F6" s="14">
        <v>4156254605.0599999</v>
      </c>
      <c r="G6" s="14"/>
    </row>
    <row r="7" spans="1:7">
      <c r="A7" s="27" t="s">
        <v>307</v>
      </c>
      <c r="B7" s="13"/>
      <c r="C7" s="14">
        <v>-131039908.31</v>
      </c>
      <c r="D7" s="14">
        <v>-621343259.38</v>
      </c>
      <c r="E7" s="14">
        <v>-2905180961.9200001</v>
      </c>
      <c r="F7" s="14">
        <v>-2036973805.77</v>
      </c>
      <c r="G7" s="14"/>
    </row>
    <row r="8" spans="1:7">
      <c r="A8" s="27" t="s">
        <v>308</v>
      </c>
      <c r="B8" s="13"/>
      <c r="C8" s="14">
        <v>-460102442.16000003</v>
      </c>
      <c r="D8" s="14">
        <v>-1908065382.1800001</v>
      </c>
      <c r="E8" s="14">
        <v>-512561708.85000002</v>
      </c>
      <c r="F8" s="14">
        <v>-2567462803.96</v>
      </c>
      <c r="G8" s="14"/>
    </row>
    <row r="9" spans="1:7">
      <c r="A9" s="81" t="s">
        <v>258</v>
      </c>
      <c r="B9" s="16" t="s">
        <v>320</v>
      </c>
      <c r="C9" s="44">
        <v>302335116</v>
      </c>
      <c r="D9" s="15">
        <v>4368416750</v>
      </c>
      <c r="E9" s="15">
        <v>8736833500</v>
      </c>
      <c r="F9" s="15">
        <v>12231566900</v>
      </c>
      <c r="G9" s="15"/>
    </row>
    <row r="10" spans="1:7">
      <c r="A10" s="81"/>
      <c r="B10" s="16" t="s">
        <v>321</v>
      </c>
      <c r="C10" s="15"/>
      <c r="D10" s="15"/>
      <c r="E10" s="15">
        <v>36382191257.480003</v>
      </c>
      <c r="F10" s="15">
        <v>32887457857.48</v>
      </c>
      <c r="G10" s="15"/>
    </row>
    <row r="11" spans="1:7">
      <c r="A11" s="81"/>
      <c r="B11" s="16" t="s">
        <v>255</v>
      </c>
      <c r="C11" s="15"/>
      <c r="D11" s="15"/>
      <c r="E11" s="15">
        <v>43028216.5</v>
      </c>
      <c r="F11" s="15">
        <v>10328362.49</v>
      </c>
      <c r="G11" s="15">
        <f>-9703400.4</f>
        <v>-9703400.4000000004</v>
      </c>
    </row>
    <row r="12" spans="1:7">
      <c r="A12" s="81"/>
      <c r="B12" s="16" t="s">
        <v>256</v>
      </c>
      <c r="C12" s="15"/>
      <c r="D12" s="15"/>
      <c r="E12" s="15">
        <v>145639107.03</v>
      </c>
      <c r="F12" s="15">
        <v>156741749.37</v>
      </c>
      <c r="G12" s="44">
        <v>147041554.30000001</v>
      </c>
    </row>
    <row r="13" spans="1:7">
      <c r="A13" s="81"/>
      <c r="B13" s="15" t="s">
        <v>257</v>
      </c>
      <c r="C13" s="15"/>
      <c r="D13" s="15"/>
      <c r="E13" s="15">
        <v>0</v>
      </c>
      <c r="F13" s="15">
        <v>0</v>
      </c>
      <c r="G13" s="15"/>
    </row>
    <row r="14" spans="1:7">
      <c r="A14" s="81"/>
      <c r="B14" s="16" t="s">
        <v>252</v>
      </c>
      <c r="C14" s="15"/>
      <c r="D14" s="15"/>
      <c r="E14" s="15">
        <v>7285662483.7200003</v>
      </c>
      <c r="F14" s="15">
        <v>9685638070.4599991</v>
      </c>
      <c r="G14" s="15">
        <v>13272242207.75</v>
      </c>
    </row>
    <row r="15" spans="1:7">
      <c r="A15" s="81"/>
      <c r="B15" s="14" t="s">
        <v>259</v>
      </c>
      <c r="C15" s="14"/>
      <c r="D15" s="14"/>
      <c r="E15" s="14">
        <v>7990926198.3999996</v>
      </c>
      <c r="F15" s="14">
        <v>10372574413.65</v>
      </c>
      <c r="G15" s="14">
        <v>13529267764.67</v>
      </c>
    </row>
    <row r="16" spans="1:7">
      <c r="A16" s="81"/>
      <c r="B16" s="15" t="s">
        <v>260</v>
      </c>
      <c r="C16" s="15"/>
      <c r="D16" s="15"/>
      <c r="E16" s="15">
        <v>162660495.72</v>
      </c>
      <c r="F16" s="15">
        <v>185307828.72999999</v>
      </c>
      <c r="G16" s="15">
        <v>176016060.59</v>
      </c>
    </row>
    <row r="17" spans="1:8">
      <c r="A17" s="81"/>
      <c r="B17" s="14" t="s">
        <v>261</v>
      </c>
      <c r="C17" s="14"/>
      <c r="D17" s="14"/>
      <c r="E17" s="14">
        <v>8153586694.1199999</v>
      </c>
      <c r="F17" s="14">
        <v>10557882242.379999</v>
      </c>
      <c r="G17" s="14">
        <v>13705283825.26</v>
      </c>
    </row>
    <row r="18" spans="1:8">
      <c r="A18" s="28" t="s">
        <v>228</v>
      </c>
      <c r="B18" s="13"/>
      <c r="C18" s="14"/>
      <c r="D18" s="14"/>
      <c r="E18" s="14"/>
      <c r="F18" s="14"/>
      <c r="G18" s="14"/>
    </row>
    <row r="19" spans="1:8" s="12" customFormat="1">
      <c r="A19" s="28" t="s">
        <v>227</v>
      </c>
      <c r="B19" s="13"/>
      <c r="C19" s="14">
        <v>8849275960.8600006</v>
      </c>
      <c r="D19" s="14">
        <v>12501668046.030001</v>
      </c>
      <c r="E19" s="14">
        <v>12129059829.52</v>
      </c>
      <c r="F19" s="14">
        <v>15554602846.85</v>
      </c>
      <c r="G19" s="14">
        <v>18485532791.549999</v>
      </c>
    </row>
    <row r="20" spans="1:8">
      <c r="A20" s="41" t="s">
        <v>213</v>
      </c>
      <c r="B20" s="13" t="s">
        <v>219</v>
      </c>
      <c r="C20" s="14">
        <v>4883818175.7600002</v>
      </c>
      <c r="D20" s="14">
        <v>3176463258.75</v>
      </c>
      <c r="E20" s="14">
        <v>4445486663.3599997</v>
      </c>
      <c r="F20" s="14">
        <v>3930262816.0999999</v>
      </c>
      <c r="G20" s="14">
        <v>3658949201.3000002</v>
      </c>
    </row>
    <row r="21" spans="1:8">
      <c r="A21" s="82" t="s">
        <v>337</v>
      </c>
      <c r="B21" s="13" t="s">
        <v>335</v>
      </c>
      <c r="C21" s="14"/>
      <c r="D21" s="14"/>
      <c r="E21" s="14">
        <v>2022600000</v>
      </c>
      <c r="F21" s="14">
        <v>2923700000</v>
      </c>
      <c r="G21" s="14">
        <v>614850000</v>
      </c>
      <c r="H21" s="74"/>
    </row>
    <row r="22" spans="1:8">
      <c r="A22" s="84"/>
      <c r="B22" s="73" t="s">
        <v>336</v>
      </c>
      <c r="C22" s="14"/>
      <c r="D22" s="14"/>
      <c r="E22" s="14">
        <v>40252687.729999997</v>
      </c>
      <c r="F22" s="14">
        <v>26285647.870000001</v>
      </c>
      <c r="G22" s="75">
        <v>70804000</v>
      </c>
    </row>
    <row r="23" spans="1:8">
      <c r="A23" s="81" t="s">
        <v>215</v>
      </c>
      <c r="B23" s="16" t="s">
        <v>249</v>
      </c>
      <c r="C23" s="15"/>
      <c r="D23" s="15"/>
      <c r="E23" s="15">
        <v>82514276.599999994</v>
      </c>
      <c r="F23" s="15">
        <v>109179148.97</v>
      </c>
      <c r="G23" s="15">
        <v>169209204.87</v>
      </c>
    </row>
    <row r="24" spans="1:8">
      <c r="A24" s="81"/>
      <c r="B24" s="16" t="s">
        <v>250</v>
      </c>
      <c r="C24" s="15"/>
      <c r="D24" s="15"/>
      <c r="E24" s="15"/>
      <c r="F24" s="15">
        <v>489273</v>
      </c>
      <c r="G24" s="15"/>
    </row>
    <row r="25" spans="1:8">
      <c r="A25" s="81"/>
      <c r="B25" s="16" t="s">
        <v>216</v>
      </c>
      <c r="C25" s="15"/>
      <c r="D25" s="44">
        <v>2181654487.9499998</v>
      </c>
      <c r="E25" s="44">
        <v>2161763099.8499999</v>
      </c>
      <c r="F25" s="44">
        <v>2980245462.04</v>
      </c>
      <c r="G25" s="44">
        <v>5189164609.0900002</v>
      </c>
    </row>
    <row r="26" spans="1:8">
      <c r="A26" s="81"/>
      <c r="B26" s="16" t="s">
        <v>229</v>
      </c>
      <c r="C26" s="15"/>
      <c r="D26" s="15"/>
      <c r="E26" s="15">
        <v>709663383.94000006</v>
      </c>
      <c r="F26" s="15">
        <v>726786839.15999997</v>
      </c>
      <c r="G26" s="44">
        <v>1843950919.1099999</v>
      </c>
    </row>
    <row r="27" spans="1:8">
      <c r="A27" s="81"/>
      <c r="B27" s="16" t="s">
        <v>243</v>
      </c>
      <c r="C27" s="15"/>
      <c r="D27" s="15"/>
      <c r="E27" s="15">
        <v>302210229.00999999</v>
      </c>
      <c r="F27" s="15">
        <v>390845359.04000002</v>
      </c>
      <c r="G27" s="15"/>
    </row>
    <row r="28" spans="1:8">
      <c r="A28" s="81"/>
      <c r="B28" s="16" t="s">
        <v>217</v>
      </c>
      <c r="C28" s="15"/>
      <c r="D28" s="15">
        <v>4947124873.1400003</v>
      </c>
      <c r="E28" s="15">
        <v>107172410.28</v>
      </c>
      <c r="F28" s="15">
        <v>69526939.219999999</v>
      </c>
      <c r="G28" s="44">
        <v>582670344.40999997</v>
      </c>
    </row>
    <row r="29" spans="1:8">
      <c r="A29" s="81"/>
      <c r="B29" s="16" t="s">
        <v>218</v>
      </c>
      <c r="C29" s="15"/>
      <c r="D29" s="15"/>
      <c r="E29" s="15">
        <v>0</v>
      </c>
      <c r="F29" s="15">
        <v>6997845.3200000003</v>
      </c>
      <c r="G29" s="15">
        <v>14074410.699999999</v>
      </c>
    </row>
    <row r="30" spans="1:8">
      <c r="A30" s="81"/>
      <c r="B30" s="16" t="s">
        <v>298</v>
      </c>
      <c r="C30" s="15"/>
      <c r="D30" s="15"/>
      <c r="E30" s="15">
        <v>0</v>
      </c>
      <c r="F30" s="15">
        <v>0</v>
      </c>
      <c r="G30" s="15"/>
    </row>
    <row r="31" spans="1:8">
      <c r="A31" s="81"/>
      <c r="B31" s="13" t="s">
        <v>267</v>
      </c>
      <c r="C31" s="14"/>
      <c r="D31" s="14"/>
      <c r="E31" s="14">
        <f>SUM(E23:E30)</f>
        <v>3363323399.6799998</v>
      </c>
      <c r="F31" s="14">
        <f>SUM(F23:F30)</f>
        <v>4284070866.7499995</v>
      </c>
      <c r="G31" s="14"/>
    </row>
    <row r="32" spans="1:8">
      <c r="A32" s="81" t="s">
        <v>214</v>
      </c>
      <c r="B32" s="16" t="s">
        <v>220</v>
      </c>
      <c r="C32" s="15"/>
      <c r="D32" s="15"/>
      <c r="E32" s="15">
        <v>266333673.59</v>
      </c>
      <c r="F32" s="44">
        <v>351244838.56</v>
      </c>
      <c r="G32" s="15">
        <v>1262505531.0599999</v>
      </c>
    </row>
    <row r="33" spans="1:7">
      <c r="A33" s="81"/>
      <c r="B33" s="16" t="s">
        <v>248</v>
      </c>
      <c r="C33" s="15"/>
      <c r="D33" s="15"/>
      <c r="E33" s="15">
        <v>9</v>
      </c>
      <c r="F33" s="15">
        <v>9</v>
      </c>
      <c r="G33" s="15">
        <v>75186280.629999995</v>
      </c>
    </row>
    <row r="34" spans="1:7">
      <c r="A34" s="81"/>
      <c r="B34" s="16" t="s">
        <v>221</v>
      </c>
      <c r="C34" s="15"/>
      <c r="D34" s="15"/>
      <c r="E34" s="15">
        <v>2860421.83</v>
      </c>
      <c r="F34" s="15">
        <v>6851326.8499999996</v>
      </c>
      <c r="G34" s="15"/>
    </row>
    <row r="35" spans="1:7">
      <c r="A35" s="81"/>
      <c r="B35" s="16" t="s">
        <v>222</v>
      </c>
      <c r="C35" s="15"/>
      <c r="D35" s="15"/>
      <c r="E35" s="15">
        <v>0</v>
      </c>
      <c r="F35" s="15">
        <v>33554444.450000003</v>
      </c>
      <c r="G35" s="15">
        <v>30298252.600000001</v>
      </c>
    </row>
    <row r="36" spans="1:7">
      <c r="A36" s="81"/>
      <c r="B36" s="16" t="s">
        <v>223</v>
      </c>
      <c r="C36" s="15"/>
      <c r="D36" s="15"/>
      <c r="E36" s="15">
        <v>155930944.05000001</v>
      </c>
      <c r="F36" s="15">
        <v>149083646.11000001</v>
      </c>
      <c r="G36" s="15">
        <v>149206488.06999999</v>
      </c>
    </row>
    <row r="37" spans="1:7">
      <c r="A37" s="81"/>
      <c r="B37" s="16" t="s">
        <v>225</v>
      </c>
      <c r="C37" s="15"/>
      <c r="D37" s="15"/>
      <c r="E37" s="15">
        <v>5084062.54</v>
      </c>
      <c r="F37" s="15">
        <v>3739298.24</v>
      </c>
      <c r="G37" s="15">
        <v>11159132.119999999</v>
      </c>
    </row>
    <row r="38" spans="1:7">
      <c r="A38" s="81"/>
      <c r="B38" s="16" t="s">
        <v>224</v>
      </c>
      <c r="C38" s="15"/>
      <c r="D38" s="15"/>
      <c r="E38" s="15">
        <v>531348540.74000001</v>
      </c>
      <c r="F38" s="15">
        <v>541511038.75</v>
      </c>
      <c r="G38" s="15">
        <v>614584141.17999995</v>
      </c>
    </row>
    <row r="39" spans="1:7">
      <c r="A39" s="81"/>
      <c r="B39" s="13" t="s">
        <v>267</v>
      </c>
      <c r="C39" s="14"/>
      <c r="D39" s="14"/>
      <c r="E39" s="14">
        <f>SUM(E32:E38)</f>
        <v>961557651.75</v>
      </c>
      <c r="F39" s="14">
        <f>SUM(F32:F38)</f>
        <v>1085984601.96</v>
      </c>
      <c r="G39" s="14">
        <f>SUM(G32:G38)</f>
        <v>2142939825.6599998</v>
      </c>
    </row>
    <row r="40" spans="1:7">
      <c r="A40" s="81" t="s">
        <v>226</v>
      </c>
      <c r="B40" s="16" t="s">
        <v>247</v>
      </c>
      <c r="C40" s="15"/>
      <c r="D40" s="15"/>
      <c r="E40" s="15">
        <v>0</v>
      </c>
      <c r="F40" s="15">
        <v>0</v>
      </c>
      <c r="G40" s="15"/>
    </row>
    <row r="41" spans="1:7">
      <c r="A41" s="81"/>
      <c r="B41" s="16" t="s">
        <v>231</v>
      </c>
      <c r="C41" s="15"/>
      <c r="D41" s="15"/>
      <c r="E41" s="15">
        <v>0</v>
      </c>
      <c r="F41" s="15">
        <v>0</v>
      </c>
      <c r="G41" s="15"/>
    </row>
    <row r="42" spans="1:7">
      <c r="A42" s="81"/>
      <c r="B42" s="16" t="s">
        <v>232</v>
      </c>
      <c r="C42" s="15"/>
      <c r="D42" s="15">
        <v>450706819.94999999</v>
      </c>
      <c r="E42" s="15">
        <v>1295839436</v>
      </c>
      <c r="F42" s="15">
        <v>2069114199</v>
      </c>
      <c r="G42" s="15">
        <v>2812858003.21</v>
      </c>
    </row>
    <row r="43" spans="1:7">
      <c r="A43" s="81"/>
      <c r="B43" s="16" t="s">
        <v>230</v>
      </c>
      <c r="C43" s="15"/>
      <c r="D43" s="15"/>
      <c r="E43" s="15">
        <v>0</v>
      </c>
      <c r="F43" s="15">
        <v>0</v>
      </c>
      <c r="G43" s="15"/>
    </row>
    <row r="44" spans="1:7">
      <c r="A44" s="81"/>
      <c r="B44" s="16" t="s">
        <v>233</v>
      </c>
      <c r="C44" s="15">
        <v>0</v>
      </c>
      <c r="D44" s="15">
        <v>49342592.130000003</v>
      </c>
      <c r="E44" s="15">
        <v>0</v>
      </c>
      <c r="F44" s="44">
        <v>733660143.69000006</v>
      </c>
      <c r="G44" s="15">
        <v>764498605.78999996</v>
      </c>
    </row>
    <row r="45" spans="1:7">
      <c r="A45" s="81"/>
      <c r="B45" s="16" t="s">
        <v>234</v>
      </c>
      <c r="C45" s="15"/>
      <c r="D45" s="15"/>
      <c r="E45" s="15">
        <v>0</v>
      </c>
      <c r="F45" s="15">
        <v>0</v>
      </c>
      <c r="G45" s="15"/>
    </row>
    <row r="46" spans="1:7">
      <c r="A46" s="81"/>
      <c r="B46" s="13" t="s">
        <v>267</v>
      </c>
      <c r="C46" s="14"/>
      <c r="D46" s="14"/>
      <c r="E46" s="14">
        <f>SUM(E40:E45)</f>
        <v>1295839436</v>
      </c>
      <c r="F46" s="14">
        <f>SUM(F40:F45)</f>
        <v>2802774342.6900001</v>
      </c>
      <c r="G46" s="14"/>
    </row>
    <row r="47" spans="1:7">
      <c r="A47" s="72" t="s">
        <v>331</v>
      </c>
      <c r="B47" s="13"/>
      <c r="C47" s="14"/>
      <c r="D47" s="14"/>
      <c r="E47" s="14">
        <v>0</v>
      </c>
      <c r="F47" s="70">
        <v>501524580.48000002</v>
      </c>
      <c r="G47" s="14">
        <v>621564153.15999997</v>
      </c>
    </row>
    <row r="48" spans="1:7">
      <c r="A48" s="80" t="s">
        <v>245</v>
      </c>
      <c r="B48" s="16" t="s">
        <v>242</v>
      </c>
      <c r="C48" s="15"/>
      <c r="D48" s="15"/>
      <c r="E48" s="15">
        <v>0</v>
      </c>
      <c r="F48" s="15">
        <v>0</v>
      </c>
      <c r="G48" s="15"/>
    </row>
    <row r="49" spans="1:7">
      <c r="A49" s="80"/>
      <c r="B49" s="16" t="s">
        <v>235</v>
      </c>
      <c r="C49" s="15"/>
      <c r="D49" s="15"/>
      <c r="E49" s="15">
        <v>169121620.53</v>
      </c>
      <c r="F49" s="15">
        <v>234720133.86000001</v>
      </c>
      <c r="G49" s="15">
        <v>819114811.12</v>
      </c>
    </row>
    <row r="50" spans="1:7">
      <c r="A50" s="80"/>
      <c r="B50" s="16" t="s">
        <v>314</v>
      </c>
      <c r="C50" s="15">
        <v>0</v>
      </c>
      <c r="D50" s="15">
        <v>47800000</v>
      </c>
      <c r="E50" s="15">
        <v>0</v>
      </c>
      <c r="F50" s="15">
        <v>0</v>
      </c>
      <c r="G50" s="15">
        <v>0</v>
      </c>
    </row>
    <row r="51" spans="1:7">
      <c r="A51" s="80"/>
      <c r="B51" s="16" t="s">
        <v>236</v>
      </c>
      <c r="C51" s="15"/>
      <c r="D51" s="15"/>
      <c r="E51" s="15">
        <v>456781056.11000001</v>
      </c>
      <c r="F51" s="15">
        <v>413978714.83999997</v>
      </c>
      <c r="G51" s="15">
        <v>322343270.01999998</v>
      </c>
    </row>
    <row r="52" spans="1:7">
      <c r="A52" s="80"/>
      <c r="B52" s="16" t="s">
        <v>237</v>
      </c>
      <c r="C52" s="15"/>
      <c r="D52" s="15"/>
      <c r="E52" s="15">
        <v>317787364.05000001</v>
      </c>
      <c r="F52" s="15">
        <f>306521529.05+386092.62</f>
        <v>306907621.67000002</v>
      </c>
      <c r="G52" s="15">
        <f>193609305.22+1315627.38</f>
        <v>194924932.59999999</v>
      </c>
    </row>
    <row r="53" spans="1:7">
      <c r="A53" s="80"/>
      <c r="B53" s="16" t="s">
        <v>238</v>
      </c>
      <c r="C53" s="15"/>
      <c r="D53" s="15"/>
      <c r="E53" s="15">
        <v>735602724.03999996</v>
      </c>
      <c r="F53" s="44">
        <v>767285307.00999999</v>
      </c>
      <c r="G53" s="15">
        <v>635062622.58000004</v>
      </c>
    </row>
    <row r="54" spans="1:7">
      <c r="A54" s="80"/>
      <c r="B54" s="16" t="s">
        <v>239</v>
      </c>
      <c r="C54" s="15"/>
      <c r="D54" s="15"/>
      <c r="E54" s="15">
        <v>1851407.05</v>
      </c>
      <c r="F54" s="15">
        <v>957497.95</v>
      </c>
      <c r="G54" s="15"/>
    </row>
    <row r="55" spans="1:7">
      <c r="A55" s="80"/>
      <c r="B55" s="16" t="s">
        <v>305</v>
      </c>
      <c r="C55" s="15"/>
      <c r="D55" s="15"/>
      <c r="E55" s="15">
        <v>6084715.21</v>
      </c>
      <c r="F55" s="15">
        <v>5920703.9900000002</v>
      </c>
      <c r="G55" s="15"/>
    </row>
    <row r="56" spans="1:7">
      <c r="A56" s="80"/>
      <c r="B56" s="16" t="s">
        <v>240</v>
      </c>
      <c r="C56" s="15">
        <v>1178407985.49</v>
      </c>
      <c r="D56" s="15">
        <v>6078947471.4700003</v>
      </c>
      <c r="E56" s="15">
        <v>1565138397.5899999</v>
      </c>
      <c r="F56" s="15">
        <v>2185899161.3200002</v>
      </c>
      <c r="G56" s="15">
        <v>1614748418.97</v>
      </c>
    </row>
    <row r="57" spans="1:7">
      <c r="A57" s="80"/>
      <c r="B57" s="16" t="s">
        <v>241</v>
      </c>
      <c r="C57" s="15"/>
      <c r="D57" s="15"/>
      <c r="E57" s="15">
        <v>0</v>
      </c>
      <c r="F57" s="15">
        <v>0</v>
      </c>
      <c r="G57" s="15"/>
    </row>
    <row r="58" spans="1:7">
      <c r="A58" s="80"/>
      <c r="B58" s="16" t="s">
        <v>333</v>
      </c>
      <c r="C58" s="15"/>
      <c r="D58" s="15"/>
      <c r="E58" s="15">
        <v>4834000</v>
      </c>
      <c r="F58" s="15">
        <v>2996576.6</v>
      </c>
      <c r="G58" s="15">
        <v>1923563.78</v>
      </c>
    </row>
    <row r="59" spans="1:7">
      <c r="A59" s="80"/>
      <c r="B59" s="16" t="s">
        <v>334</v>
      </c>
      <c r="C59" s="15"/>
      <c r="D59" s="15"/>
      <c r="E59" s="15">
        <v>66193850.82</v>
      </c>
      <c r="F59" s="15">
        <v>228608887.22999999</v>
      </c>
      <c r="G59" s="15">
        <v>265559724.03999999</v>
      </c>
    </row>
    <row r="60" spans="1:7">
      <c r="A60" s="80" t="s">
        <v>87</v>
      </c>
      <c r="B60" s="15" t="s">
        <v>244</v>
      </c>
      <c r="C60" s="15"/>
      <c r="D60" s="15"/>
      <c r="E60" s="15">
        <v>652078000</v>
      </c>
      <c r="F60" s="15">
        <v>0</v>
      </c>
      <c r="G60" s="15">
        <v>32275623.18</v>
      </c>
    </row>
    <row r="61" spans="1:7">
      <c r="A61" s="80"/>
      <c r="B61" s="15" t="s">
        <v>332</v>
      </c>
      <c r="C61" s="15"/>
      <c r="D61" s="15"/>
      <c r="E61" s="15">
        <v>0</v>
      </c>
      <c r="F61" s="15">
        <v>849446000</v>
      </c>
      <c r="G61" s="15">
        <v>894296000</v>
      </c>
    </row>
  </sheetData>
  <mergeCells count="7">
    <mergeCell ref="A60:A61"/>
    <mergeCell ref="A48:A59"/>
    <mergeCell ref="A9:A17"/>
    <mergeCell ref="A23:A31"/>
    <mergeCell ref="A32:A39"/>
    <mergeCell ref="A40:A46"/>
    <mergeCell ref="A21:A2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7"/>
  <sheetViews>
    <sheetView zoomScaleNormal="100" workbookViewId="0">
      <selection activeCell="C18" sqref="C18"/>
    </sheetView>
  </sheetViews>
  <sheetFormatPr defaultRowHeight="13.5"/>
  <cols>
    <col min="2" max="2" width="10.625" bestFit="1" customWidth="1"/>
    <col min="3" max="3" width="12.5" bestFit="1" customWidth="1"/>
    <col min="4" max="4" width="12.5" customWidth="1"/>
    <col min="5" max="5" width="16.625" bestFit="1" customWidth="1"/>
    <col min="6" max="6" width="17.125" bestFit="1" customWidth="1"/>
    <col min="7" max="7" width="18.375" bestFit="1" customWidth="1"/>
    <col min="8" max="8" width="29.875" bestFit="1" customWidth="1"/>
    <col min="9" max="10" width="10" bestFit="1" customWidth="1"/>
    <col min="11" max="11" width="20.5" bestFit="1" customWidth="1"/>
  </cols>
  <sheetData>
    <row r="1" spans="1:11" s="12" customFormat="1">
      <c r="A1" s="13"/>
      <c r="B1" s="13" t="s">
        <v>311</v>
      </c>
      <c r="C1" s="13" t="s">
        <v>302</v>
      </c>
      <c r="D1" s="13" t="s">
        <v>303</v>
      </c>
      <c r="E1" s="13" t="s">
        <v>340</v>
      </c>
      <c r="F1" s="13" t="s">
        <v>341</v>
      </c>
      <c r="G1" s="13" t="s">
        <v>329</v>
      </c>
      <c r="H1" s="13" t="s">
        <v>339</v>
      </c>
      <c r="I1" s="13" t="s">
        <v>328</v>
      </c>
      <c r="J1" s="13" t="s">
        <v>327</v>
      </c>
      <c r="K1" s="13" t="s">
        <v>312</v>
      </c>
    </row>
    <row r="2" spans="1:11" s="49" customFormat="1">
      <c r="A2" s="16">
        <v>2014</v>
      </c>
      <c r="B2" s="15">
        <v>367938563.30000001</v>
      </c>
      <c r="C2" s="15">
        <f>C3/1.1282</f>
        <v>6156007915.883708</v>
      </c>
      <c r="D2" s="15">
        <f>D3/1.4353</f>
        <v>942781988.53201425</v>
      </c>
      <c r="E2" s="16">
        <v>17.399999999999999</v>
      </c>
      <c r="F2" s="2">
        <v>92</v>
      </c>
      <c r="G2" s="16"/>
      <c r="H2" s="2"/>
      <c r="I2" s="16">
        <v>772</v>
      </c>
      <c r="J2" s="16">
        <v>5000</v>
      </c>
      <c r="K2" s="16"/>
    </row>
    <row r="3" spans="1:11">
      <c r="A3" s="2">
        <v>2015</v>
      </c>
      <c r="B3" s="15">
        <v>470427666.35000002</v>
      </c>
      <c r="C3" s="15">
        <v>6945208130.6999998</v>
      </c>
      <c r="D3" s="15">
        <v>1353174988.1400001</v>
      </c>
      <c r="E3" s="16">
        <v>18.899999999999999</v>
      </c>
      <c r="F3" s="2">
        <v>111.8</v>
      </c>
      <c r="G3" s="16"/>
      <c r="H3" s="2"/>
      <c r="I3" s="2">
        <v>1000</v>
      </c>
      <c r="J3" s="2">
        <v>6500</v>
      </c>
      <c r="K3" s="2" t="s">
        <v>313</v>
      </c>
    </row>
    <row r="4" spans="1:11">
      <c r="A4" s="2">
        <v>2016</v>
      </c>
      <c r="B4" s="15">
        <v>1036645852.3200001</v>
      </c>
      <c r="C4" s="15"/>
      <c r="D4" s="15"/>
      <c r="E4" s="16"/>
      <c r="F4" s="2"/>
      <c r="G4" s="16"/>
      <c r="H4" s="2"/>
      <c r="I4" s="2"/>
      <c r="J4" s="2"/>
      <c r="K4" s="2"/>
    </row>
    <row r="5" spans="1:11">
      <c r="A5" s="2">
        <v>2017</v>
      </c>
      <c r="B5" s="15">
        <v>735607758.11000001</v>
      </c>
      <c r="C5" s="15">
        <v>9380000000</v>
      </c>
      <c r="D5" s="15">
        <v>2330000000</v>
      </c>
      <c r="E5" s="16">
        <v>30.4</v>
      </c>
      <c r="F5" s="2">
        <v>121.1</v>
      </c>
      <c r="G5" s="16">
        <v>1.1000000000000001</v>
      </c>
      <c r="H5" s="2"/>
      <c r="I5" s="2">
        <v>1750</v>
      </c>
      <c r="J5" s="2">
        <v>11700</v>
      </c>
      <c r="K5" s="2"/>
    </row>
    <row r="6" spans="1:11">
      <c r="A6" s="69">
        <v>43160</v>
      </c>
      <c r="B6" s="2"/>
      <c r="C6" s="15"/>
      <c r="D6" s="15"/>
      <c r="E6" s="16">
        <v>31.3</v>
      </c>
      <c r="F6" s="2">
        <v>128.6</v>
      </c>
      <c r="G6" s="16">
        <v>1.1000000000000001</v>
      </c>
      <c r="H6" s="2"/>
      <c r="I6" s="2">
        <v>1750</v>
      </c>
      <c r="J6" s="2">
        <v>11800</v>
      </c>
      <c r="K6" s="2"/>
    </row>
    <row r="7" spans="1:11">
      <c r="A7" s="69">
        <v>43282</v>
      </c>
      <c r="B7" s="2"/>
      <c r="C7" s="2"/>
      <c r="D7" s="2"/>
      <c r="E7" s="85">
        <v>216.7</v>
      </c>
      <c r="F7" s="86"/>
      <c r="G7" s="2">
        <v>1.1000000000000001</v>
      </c>
      <c r="H7" s="2">
        <v>17.399999999999999</v>
      </c>
      <c r="I7" s="76">
        <v>1900</v>
      </c>
      <c r="J7" s="2">
        <v>12600</v>
      </c>
      <c r="K7" s="2"/>
    </row>
  </sheetData>
  <mergeCells count="1">
    <mergeCell ref="E7:F7"/>
  </mergeCells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>
      <selection activeCell="M20" sqref="M20"/>
    </sheetView>
  </sheetViews>
  <sheetFormatPr defaultRowHeight="13.5"/>
  <cols>
    <col min="2" max="2" width="9.5" bestFit="1" customWidth="1"/>
    <col min="3" max="3" width="12.375" bestFit="1" customWidth="1"/>
    <col min="4" max="6" width="9.5" customWidth="1"/>
    <col min="7" max="7" width="14.75" bestFit="1" customWidth="1"/>
    <col min="8" max="8" width="9.5" bestFit="1" customWidth="1"/>
    <col min="9" max="10" width="8.5" customWidth="1"/>
    <col min="11" max="11" width="9.5" bestFit="1" customWidth="1"/>
    <col min="12" max="12" width="10.5" bestFit="1" customWidth="1"/>
    <col min="15" max="16" width="10" bestFit="1" customWidth="1"/>
  </cols>
  <sheetData>
    <row r="1" spans="1:16" s="17" customFormat="1">
      <c r="A1" s="62" t="s">
        <v>315</v>
      </c>
      <c r="B1" s="62" t="s">
        <v>316</v>
      </c>
      <c r="C1" s="62" t="s">
        <v>325</v>
      </c>
      <c r="D1" s="62" t="s">
        <v>322</v>
      </c>
      <c r="E1" s="62" t="s">
        <v>323</v>
      </c>
      <c r="F1" s="62" t="s">
        <v>324</v>
      </c>
      <c r="G1" s="13" t="s">
        <v>301</v>
      </c>
      <c r="H1" s="62" t="s">
        <v>290</v>
      </c>
      <c r="I1" s="62" t="s">
        <v>326</v>
      </c>
      <c r="J1" s="68" t="s">
        <v>330</v>
      </c>
      <c r="K1" s="62">
        <v>7</v>
      </c>
      <c r="L1" s="62">
        <v>12.5</v>
      </c>
      <c r="M1" s="62" t="s">
        <v>317</v>
      </c>
      <c r="N1" s="62" t="s">
        <v>272</v>
      </c>
      <c r="O1" s="62" t="s">
        <v>318</v>
      </c>
      <c r="P1" s="62" t="s">
        <v>319</v>
      </c>
    </row>
    <row r="2" spans="1:16" s="38" customFormat="1">
      <c r="A2" s="63">
        <v>2014</v>
      </c>
      <c r="B2" s="64">
        <v>302335116</v>
      </c>
      <c r="C2" s="64"/>
      <c r="D2" s="64">
        <v>7497256418.79</v>
      </c>
      <c r="E2" s="64"/>
      <c r="F2" s="64"/>
      <c r="G2" s="15"/>
      <c r="H2" s="64">
        <v>2414829929.04</v>
      </c>
      <c r="I2" s="67">
        <f>H2/D2</f>
        <v>0.32209514976543047</v>
      </c>
      <c r="J2" s="67"/>
      <c r="K2" s="66">
        <f>H2*$K$1</f>
        <v>16903809503.279999</v>
      </c>
      <c r="L2" s="66">
        <f>H2*$L$1</f>
        <v>30185374113</v>
      </c>
      <c r="M2" s="63">
        <v>5.18</v>
      </c>
      <c r="N2" s="63">
        <v>10.79</v>
      </c>
      <c r="O2" s="66">
        <f>B2*M2</f>
        <v>1566095900.8799999</v>
      </c>
      <c r="P2" s="66">
        <f>B2*N2</f>
        <v>3262195901.6399999</v>
      </c>
    </row>
    <row r="3" spans="1:16">
      <c r="A3" s="65">
        <v>2015</v>
      </c>
      <c r="B3" s="64">
        <v>4368416750</v>
      </c>
      <c r="C3" s="64">
        <f>B3*0.25</f>
        <v>1092104187.5</v>
      </c>
      <c r="D3" s="64">
        <v>8627411561.6100006</v>
      </c>
      <c r="E3" s="64">
        <v>2539763220.9099998</v>
      </c>
      <c r="F3" s="67">
        <f>1-E3/D3</f>
        <v>0.70561700890550272</v>
      </c>
      <c r="G3" s="15">
        <v>2957722600</v>
      </c>
      <c r="H3" s="64">
        <v>3389142023.9400001</v>
      </c>
      <c r="I3" s="67">
        <f>H3/D3</f>
        <v>0.39283416581410158</v>
      </c>
      <c r="J3" s="67">
        <f>C3/H3</f>
        <v>0.32223618242778429</v>
      </c>
      <c r="K3" s="66">
        <f t="shared" ref="K3:K6" si="0">H3*$K$1</f>
        <v>23723994167.580002</v>
      </c>
      <c r="L3" s="66">
        <f t="shared" ref="L3:L6" si="1">H3*$L$1</f>
        <v>42364275299.25</v>
      </c>
      <c r="M3" s="65">
        <v>7.15</v>
      </c>
      <c r="N3" s="65">
        <v>62.34</v>
      </c>
      <c r="O3" s="66">
        <f>B3*M3</f>
        <v>31234179762.5</v>
      </c>
      <c r="P3" s="66">
        <f>B3*N3</f>
        <v>272327100195</v>
      </c>
    </row>
    <row r="4" spans="1:16">
      <c r="A4" s="65">
        <v>2016</v>
      </c>
      <c r="B4" s="64">
        <f>B3*2</f>
        <v>8736833500</v>
      </c>
      <c r="C4" s="64">
        <f>B4*0.408</f>
        <v>3564628068</v>
      </c>
      <c r="D4" s="64">
        <v>10213134291.73</v>
      </c>
      <c r="E4" s="64">
        <v>3019106728.3400002</v>
      </c>
      <c r="F4" s="67">
        <f>1-E4/D4</f>
        <v>0.70438979434700111</v>
      </c>
      <c r="G4" s="15">
        <v>3421626400</v>
      </c>
      <c r="H4" s="64">
        <v>4451211722.6099997</v>
      </c>
      <c r="I4" s="67">
        <f>H4/D4</f>
        <v>0.43583209575676796</v>
      </c>
      <c r="J4" s="67">
        <f>C4/H4</f>
        <v>0.80082195369261266</v>
      </c>
      <c r="K4" s="66">
        <f t="shared" si="0"/>
        <v>31158482058.269997</v>
      </c>
      <c r="L4" s="66">
        <f t="shared" si="1"/>
        <v>55640146532.624992</v>
      </c>
      <c r="M4" s="65">
        <v>13.45</v>
      </c>
      <c r="N4" s="65">
        <v>42.06</v>
      </c>
      <c r="O4" s="66">
        <f>B4*M4</f>
        <v>117510410575</v>
      </c>
      <c r="P4" s="66">
        <f>B4*N4</f>
        <v>367471217010</v>
      </c>
    </row>
    <row r="5" spans="1:16">
      <c r="A5" s="65">
        <v>2017</v>
      </c>
      <c r="B5" s="64">
        <f>B4*1.4</f>
        <v>12231566900</v>
      </c>
      <c r="C5" s="64">
        <f>B5*0.1</f>
        <v>1223156690</v>
      </c>
      <c r="D5" s="64">
        <v>12013553185.42</v>
      </c>
      <c r="E5" s="64">
        <v>3276730966.1999998</v>
      </c>
      <c r="F5" s="67">
        <f>1-E5/D5</f>
        <v>0.72724714198820573</v>
      </c>
      <c r="G5" s="15">
        <v>3922950100</v>
      </c>
      <c r="H5" s="64">
        <v>6004706786.0799999</v>
      </c>
      <c r="I5" s="67">
        <f>H5/D5</f>
        <v>0.49982771070323206</v>
      </c>
      <c r="J5" s="67">
        <f>C5/H5</f>
        <v>0.2036996532179555</v>
      </c>
      <c r="K5" s="66">
        <f t="shared" si="0"/>
        <v>42032947502.559998</v>
      </c>
      <c r="L5" s="66">
        <f t="shared" si="1"/>
        <v>75058834826</v>
      </c>
      <c r="M5" s="65">
        <v>8.31</v>
      </c>
      <c r="N5" s="65">
        <v>15.19</v>
      </c>
      <c r="O5" s="66">
        <f>B5*M5</f>
        <v>101644320939</v>
      </c>
      <c r="P5" s="66">
        <f>B5*N5</f>
        <v>185797501211</v>
      </c>
    </row>
    <row r="6" spans="1:16">
      <c r="A6" s="65">
        <v>2018</v>
      </c>
      <c r="B6" s="64">
        <f>B5*1.2</f>
        <v>14677880280</v>
      </c>
      <c r="C6" s="64"/>
      <c r="D6" s="64"/>
      <c r="E6" s="64"/>
      <c r="F6" s="64"/>
      <c r="G6" s="15"/>
      <c r="H6" s="64">
        <v>6004706786.0799999</v>
      </c>
      <c r="I6" s="64"/>
      <c r="J6" s="64"/>
      <c r="K6" s="66">
        <f t="shared" si="0"/>
        <v>42032947502.559998</v>
      </c>
      <c r="L6" s="66">
        <f t="shared" si="1"/>
        <v>75058834826</v>
      </c>
      <c r="M6" s="65">
        <v>5.1100000000000003</v>
      </c>
      <c r="N6" s="65">
        <v>15.55</v>
      </c>
      <c r="O6" s="66">
        <f>B6*M6</f>
        <v>75003968230.800003</v>
      </c>
      <c r="P6" s="66">
        <f>B6*N6</f>
        <v>228241038354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6"/>
  <sheetViews>
    <sheetView zoomScale="85" zoomScaleNormal="85" workbookViewId="0">
      <selection activeCell="I22" sqref="I22"/>
    </sheetView>
  </sheetViews>
  <sheetFormatPr defaultRowHeight="13.5"/>
  <cols>
    <col min="1" max="1" width="8.875" style="12"/>
    <col min="4" max="4" width="10" bestFit="1" customWidth="1"/>
    <col min="11" max="11" width="9.875" bestFit="1" customWidth="1"/>
  </cols>
  <sheetData>
    <row r="1" spans="1:11" s="38" customFormat="1">
      <c r="A1" s="36"/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7">
        <v>6</v>
      </c>
      <c r="H1" s="37">
        <v>7</v>
      </c>
      <c r="I1" s="37">
        <v>8</v>
      </c>
      <c r="J1" s="37">
        <v>9</v>
      </c>
      <c r="K1" s="37">
        <v>10</v>
      </c>
    </row>
    <row r="2" spans="1:11">
      <c r="A2" s="36">
        <v>1.1000000000000001</v>
      </c>
      <c r="B2" s="34">
        <f>POWER($A2,B$1)-1</f>
        <v>0.10000000000000009</v>
      </c>
      <c r="C2" s="34">
        <f t="shared" ref="C2:K6" si="0">POWER($A2,C$1)-1</f>
        <v>0.21000000000000019</v>
      </c>
      <c r="D2" s="34">
        <f t="shared" si="0"/>
        <v>0.33100000000000041</v>
      </c>
      <c r="E2" s="34">
        <f t="shared" si="0"/>
        <v>0.4641000000000004</v>
      </c>
      <c r="F2" s="34">
        <f t="shared" si="0"/>
        <v>0.61051000000000055</v>
      </c>
      <c r="G2" s="34">
        <f>POWER($A2,G$1)-1</f>
        <v>0.77156100000000083</v>
      </c>
      <c r="H2" s="34">
        <f t="shared" si="0"/>
        <v>0.9487171000000012</v>
      </c>
      <c r="I2" s="34">
        <f t="shared" si="0"/>
        <v>1.1435888100000011</v>
      </c>
      <c r="J2" s="34">
        <f t="shared" si="0"/>
        <v>1.3579476910000015</v>
      </c>
      <c r="K2" s="34">
        <f t="shared" si="0"/>
        <v>1.5937424601000019</v>
      </c>
    </row>
    <row r="3" spans="1:11">
      <c r="A3" s="36">
        <v>1.1499999999999999</v>
      </c>
      <c r="B3" s="34">
        <f t="shared" ref="B3:G6" si="1">POWER($A3,B$1)-1</f>
        <v>0.14999999999999991</v>
      </c>
      <c r="C3" s="34">
        <f t="shared" si="0"/>
        <v>0.32249999999999979</v>
      </c>
      <c r="D3" s="34">
        <f t="shared" si="0"/>
        <v>0.52087499999999953</v>
      </c>
      <c r="E3" s="34">
        <f t="shared" si="0"/>
        <v>0.74900624999999943</v>
      </c>
      <c r="F3" s="34">
        <f t="shared" si="0"/>
        <v>1.0113571874999994</v>
      </c>
      <c r="G3" s="34">
        <f t="shared" si="1"/>
        <v>1.3130607656249991</v>
      </c>
      <c r="H3" s="34">
        <f t="shared" si="0"/>
        <v>1.6600198804687483</v>
      </c>
      <c r="I3" s="34">
        <f t="shared" si="0"/>
        <v>2.0590228625390603</v>
      </c>
      <c r="J3" s="34">
        <f t="shared" si="0"/>
        <v>2.5178762919199191</v>
      </c>
      <c r="K3" s="34">
        <f t="shared" si="0"/>
        <v>3.0455577357079067</v>
      </c>
    </row>
    <row r="4" spans="1:11">
      <c r="A4" s="36">
        <v>1.2</v>
      </c>
      <c r="B4" s="34">
        <f t="shared" si="1"/>
        <v>0.19999999999999996</v>
      </c>
      <c r="C4" s="34">
        <f t="shared" si="0"/>
        <v>0.43999999999999995</v>
      </c>
      <c r="D4" s="34">
        <f t="shared" si="0"/>
        <v>0.72799999999999998</v>
      </c>
      <c r="E4" s="34">
        <f t="shared" si="0"/>
        <v>1.0735999999999999</v>
      </c>
      <c r="F4" s="34">
        <f t="shared" si="0"/>
        <v>1.4883199999999999</v>
      </c>
      <c r="G4" s="34">
        <f t="shared" si="1"/>
        <v>1.9859839999999997</v>
      </c>
      <c r="H4" s="34">
        <f t="shared" si="0"/>
        <v>2.5831807999999996</v>
      </c>
      <c r="I4" s="34">
        <f t="shared" si="0"/>
        <v>3.2998169599999994</v>
      </c>
      <c r="J4" s="34">
        <f t="shared" si="0"/>
        <v>4.1597803519999994</v>
      </c>
      <c r="K4" s="34">
        <f t="shared" si="0"/>
        <v>5.1917364223999991</v>
      </c>
    </row>
    <row r="5" spans="1:11">
      <c r="A5" s="36">
        <v>1.25</v>
      </c>
      <c r="B5" s="34">
        <f t="shared" si="1"/>
        <v>0.25</v>
      </c>
      <c r="C5" s="34">
        <f t="shared" si="0"/>
        <v>0.5625</v>
      </c>
      <c r="D5" s="35">
        <f t="shared" si="0"/>
        <v>0.953125</v>
      </c>
      <c r="E5" s="34">
        <f t="shared" si="0"/>
        <v>1.44140625</v>
      </c>
      <c r="F5" s="34">
        <f t="shared" si="0"/>
        <v>2.0517578125</v>
      </c>
      <c r="G5" s="34">
        <f t="shared" si="1"/>
        <v>2.814697265625</v>
      </c>
      <c r="H5" s="34">
        <f t="shared" si="0"/>
        <v>3.76837158203125</v>
      </c>
      <c r="I5" s="34">
        <f t="shared" si="0"/>
        <v>4.9604644775390625</v>
      </c>
      <c r="J5" s="34">
        <f t="shared" si="0"/>
        <v>6.4505805969238281</v>
      </c>
      <c r="K5" s="34">
        <f t="shared" si="0"/>
        <v>8.3132257461547852</v>
      </c>
    </row>
    <row r="6" spans="1:11">
      <c r="A6" s="36">
        <v>1.3</v>
      </c>
      <c r="B6" s="34">
        <f t="shared" si="1"/>
        <v>0.30000000000000004</v>
      </c>
      <c r="C6" s="34">
        <f t="shared" si="0"/>
        <v>0.69000000000000017</v>
      </c>
      <c r="D6" s="35">
        <f t="shared" si="0"/>
        <v>1.1970000000000005</v>
      </c>
      <c r="E6" s="34">
        <f t="shared" si="0"/>
        <v>1.8561000000000005</v>
      </c>
      <c r="F6" s="34">
        <f t="shared" si="0"/>
        <v>2.712930000000001</v>
      </c>
      <c r="G6" s="34">
        <f t="shared" si="1"/>
        <v>3.8268090000000017</v>
      </c>
      <c r="H6" s="34">
        <f t="shared" si="0"/>
        <v>5.2748517000000028</v>
      </c>
      <c r="I6" s="34">
        <f t="shared" si="0"/>
        <v>7.1573072100000026</v>
      </c>
      <c r="J6" s="34">
        <f t="shared" si="0"/>
        <v>9.604499373000003</v>
      </c>
      <c r="K6" s="34">
        <f t="shared" si="0"/>
        <v>12.785849184900005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6"/>
  <sheetViews>
    <sheetView zoomScale="70" zoomScaleNormal="70" workbookViewId="0">
      <pane ySplit="1" topLeftCell="A2" activePane="bottomLeft" state="frozen"/>
      <selection pane="bottomLeft" activeCell="C5" sqref="C5"/>
    </sheetView>
  </sheetViews>
  <sheetFormatPr defaultRowHeight="13.5"/>
  <cols>
    <col min="1" max="1" width="21.5" style="31" bestFit="1" customWidth="1"/>
    <col min="2" max="2" width="23.875" style="12" bestFit="1" customWidth="1"/>
    <col min="3" max="3" width="10.5" style="12" bestFit="1" customWidth="1"/>
    <col min="4" max="4" width="11.625" style="12" customWidth="1"/>
    <col min="5" max="5" width="10.5" bestFit="1" customWidth="1"/>
    <col min="6" max="6" width="9.125" bestFit="1" customWidth="1"/>
    <col min="7" max="7" width="8.375" bestFit="1" customWidth="1"/>
    <col min="10" max="10" width="9.125" bestFit="1" customWidth="1"/>
  </cols>
  <sheetData>
    <row r="1" spans="1:10" s="17" customFormat="1">
      <c r="A1" s="26"/>
      <c r="B1" s="25"/>
      <c r="C1" s="88" t="s">
        <v>266</v>
      </c>
      <c r="D1" s="79"/>
      <c r="E1" s="77">
        <v>2017</v>
      </c>
      <c r="F1" s="77"/>
      <c r="G1" s="77">
        <v>2016</v>
      </c>
      <c r="H1" s="77"/>
      <c r="I1" s="77">
        <v>2015</v>
      </c>
      <c r="J1" s="77"/>
    </row>
    <row r="2" spans="1:10" s="12" customFormat="1">
      <c r="A2" s="20" t="s">
        <v>262</v>
      </c>
      <c r="B2" s="25"/>
      <c r="C2" s="25"/>
      <c r="D2" s="14"/>
      <c r="E2" s="14"/>
      <c r="F2" s="14">
        <v>121493626.06</v>
      </c>
      <c r="G2" s="14"/>
      <c r="H2" s="14">
        <v>80746739.340000004</v>
      </c>
      <c r="I2" s="13"/>
      <c r="J2" s="14">
        <v>88791896.75</v>
      </c>
    </row>
    <row r="3" spans="1:10" s="12" customFormat="1">
      <c r="A3" s="27" t="s">
        <v>251</v>
      </c>
      <c r="B3" s="13"/>
      <c r="C3" s="13"/>
      <c r="D3" s="13"/>
      <c r="E3" s="14"/>
      <c r="F3" s="14">
        <v>37000000</v>
      </c>
      <c r="G3" s="14"/>
      <c r="H3" s="14">
        <v>25000000</v>
      </c>
      <c r="I3" s="13"/>
      <c r="J3" s="14">
        <v>50000000</v>
      </c>
    </row>
    <row r="4" spans="1:10" s="12" customFormat="1">
      <c r="A4" s="27" t="s">
        <v>263</v>
      </c>
      <c r="B4" s="13"/>
      <c r="C4" s="13"/>
      <c r="D4" s="13"/>
      <c r="E4" s="14"/>
      <c r="F4" s="18">
        <f>F2-H3</f>
        <v>96493626.060000002</v>
      </c>
      <c r="G4" s="14"/>
      <c r="H4" s="14"/>
      <c r="I4" s="13"/>
      <c r="J4" s="13"/>
    </row>
    <row r="5" spans="1:10">
      <c r="A5" s="81" t="s">
        <v>258</v>
      </c>
      <c r="B5" s="16" t="s">
        <v>253</v>
      </c>
      <c r="C5" s="15">
        <v>198000000</v>
      </c>
      <c r="D5" s="19">
        <f t="shared" ref="D5:D13" si="0">C5-E5</f>
        <v>98000000</v>
      </c>
      <c r="E5" s="15">
        <v>100000000</v>
      </c>
      <c r="F5" s="19">
        <f t="shared" ref="D5:F16" si="1">E5-G5</f>
        <v>25000000</v>
      </c>
      <c r="G5" s="15">
        <v>75000000</v>
      </c>
      <c r="H5" s="15"/>
      <c r="I5" s="2"/>
      <c r="J5" s="2"/>
    </row>
    <row r="6" spans="1:10">
      <c r="A6" s="81"/>
      <c r="B6" s="16" t="s">
        <v>254</v>
      </c>
      <c r="C6" s="15">
        <v>410613921.33999997</v>
      </c>
      <c r="D6" s="19">
        <f t="shared" si="0"/>
        <v>-98000000</v>
      </c>
      <c r="E6" s="15">
        <v>508613921.33999997</v>
      </c>
      <c r="F6" s="19">
        <f t="shared" si="1"/>
        <v>396103800</v>
      </c>
      <c r="G6" s="15">
        <v>112510121.34</v>
      </c>
      <c r="H6" s="15"/>
      <c r="I6" s="2"/>
      <c r="J6" s="2"/>
    </row>
    <row r="7" spans="1:10">
      <c r="A7" s="81"/>
      <c r="B7" s="16" t="s">
        <v>255</v>
      </c>
      <c r="C7" s="15">
        <v>20080</v>
      </c>
      <c r="D7" s="19">
        <f t="shared" si="0"/>
        <v>20080</v>
      </c>
      <c r="E7" s="15">
        <v>0</v>
      </c>
      <c r="F7" s="19">
        <f t="shared" si="1"/>
        <v>0</v>
      </c>
      <c r="G7" s="15">
        <v>0</v>
      </c>
      <c r="H7" s="15"/>
      <c r="I7" s="2"/>
      <c r="J7" s="2"/>
    </row>
    <row r="8" spans="1:10">
      <c r="A8" s="81"/>
      <c r="B8" s="16" t="s">
        <v>256</v>
      </c>
      <c r="C8" s="15">
        <v>50012407.259999998</v>
      </c>
      <c r="D8" s="19">
        <f t="shared" si="0"/>
        <v>0</v>
      </c>
      <c r="E8" s="15">
        <v>50012407.259999998</v>
      </c>
      <c r="F8" s="19">
        <f t="shared" si="1"/>
        <v>10044502.859999999</v>
      </c>
      <c r="G8" s="15">
        <v>39967904.399999999</v>
      </c>
      <c r="H8" s="15"/>
      <c r="I8" s="2"/>
      <c r="J8" s="2"/>
    </row>
    <row r="9" spans="1:10">
      <c r="A9" s="81"/>
      <c r="B9" s="15" t="s">
        <v>257</v>
      </c>
      <c r="C9" s="15">
        <v>0</v>
      </c>
      <c r="D9" s="19">
        <f t="shared" si="0"/>
        <v>0</v>
      </c>
      <c r="E9" s="15">
        <v>0</v>
      </c>
      <c r="F9" s="19">
        <f t="shared" si="1"/>
        <v>0</v>
      </c>
      <c r="G9" s="15">
        <v>0</v>
      </c>
      <c r="H9" s="15"/>
      <c r="I9" s="2"/>
      <c r="J9" s="2"/>
    </row>
    <row r="10" spans="1:10">
      <c r="A10" s="81"/>
      <c r="B10" s="16" t="s">
        <v>252</v>
      </c>
      <c r="C10" s="15">
        <v>424376971</v>
      </c>
      <c r="D10" s="19">
        <f t="shared" si="0"/>
        <v>67434266.050000012</v>
      </c>
      <c r="E10" s="15">
        <v>356942704.94999999</v>
      </c>
      <c r="F10" s="19">
        <f t="shared" si="1"/>
        <v>86449123.199999988</v>
      </c>
      <c r="G10" s="15">
        <v>270493581.75</v>
      </c>
      <c r="H10" s="15"/>
      <c r="I10" s="2"/>
      <c r="J10" s="2"/>
    </row>
    <row r="11" spans="1:10" s="12" customFormat="1">
      <c r="A11" s="81"/>
      <c r="B11" s="14" t="s">
        <v>259</v>
      </c>
      <c r="C11" s="14">
        <v>1083023379.5999999</v>
      </c>
      <c r="D11" s="18">
        <f t="shared" si="0"/>
        <v>67454346.049999952</v>
      </c>
      <c r="E11" s="14">
        <v>1015569033.55</v>
      </c>
      <c r="F11" s="18">
        <f t="shared" si="1"/>
        <v>517597426.05999994</v>
      </c>
      <c r="G11" s="14">
        <v>497971607.49000001</v>
      </c>
      <c r="H11" s="14"/>
      <c r="I11" s="13"/>
      <c r="J11" s="13"/>
    </row>
    <row r="12" spans="1:10">
      <c r="A12" s="81"/>
      <c r="B12" s="15" t="s">
        <v>260</v>
      </c>
      <c r="C12" s="15"/>
      <c r="D12" s="19">
        <f t="shared" si="0"/>
        <v>-9768953.8599999994</v>
      </c>
      <c r="E12" s="15">
        <v>9768953.8599999994</v>
      </c>
      <c r="F12" s="19">
        <f t="shared" si="1"/>
        <v>2769047.4899999993</v>
      </c>
      <c r="G12" s="15">
        <v>6999906.3700000001</v>
      </c>
      <c r="H12" s="15"/>
      <c r="I12" s="2"/>
      <c r="J12" s="2"/>
    </row>
    <row r="13" spans="1:10">
      <c r="A13" s="81"/>
      <c r="B13" s="14" t="s">
        <v>261</v>
      </c>
      <c r="C13" s="14"/>
      <c r="D13" s="19">
        <f t="shared" si="0"/>
        <v>-1025337987.41</v>
      </c>
      <c r="E13" s="15">
        <v>1025337987.41</v>
      </c>
      <c r="F13" s="19">
        <f t="shared" si="1"/>
        <v>520366473.54999995</v>
      </c>
      <c r="G13" s="15">
        <v>504971513.86000001</v>
      </c>
      <c r="H13" s="15"/>
      <c r="I13" s="2"/>
      <c r="J13" s="2"/>
    </row>
    <row r="14" spans="1:10" s="12" customFormat="1">
      <c r="A14" s="28" t="s">
        <v>228</v>
      </c>
      <c r="B14" s="13"/>
      <c r="C14" s="13"/>
      <c r="D14" s="13"/>
      <c r="E14" s="14">
        <v>82937671.689999998</v>
      </c>
      <c r="F14" s="18">
        <f t="shared" si="1"/>
        <v>3137866.1499999911</v>
      </c>
      <c r="G14" s="14">
        <v>79799805.540000007</v>
      </c>
      <c r="H14" s="14"/>
      <c r="I14" s="13"/>
      <c r="J14" s="13"/>
    </row>
    <row r="15" spans="1:10" s="12" customFormat="1">
      <c r="A15" s="28" t="s">
        <v>227</v>
      </c>
      <c r="B15" s="13"/>
      <c r="C15" s="13"/>
      <c r="D15" s="13"/>
      <c r="E15" s="14">
        <v>1110971246.8800001</v>
      </c>
      <c r="F15" s="18">
        <f t="shared" si="1"/>
        <v>525255917.48000014</v>
      </c>
      <c r="G15" s="14">
        <v>585715329.39999998</v>
      </c>
      <c r="H15" s="14"/>
      <c r="I15" s="13"/>
      <c r="J15" s="13"/>
    </row>
    <row r="16" spans="1:10">
      <c r="A16" s="29" t="s">
        <v>213</v>
      </c>
      <c r="B16" s="16" t="s">
        <v>219</v>
      </c>
      <c r="C16" s="15">
        <v>97392059.430000007</v>
      </c>
      <c r="D16" s="15">
        <f t="shared" si="1"/>
        <v>-20313689.919999987</v>
      </c>
      <c r="E16" s="15">
        <v>117705749.34999999</v>
      </c>
      <c r="F16" s="19">
        <f t="shared" si="1"/>
        <v>99625255.459999993</v>
      </c>
      <c r="G16" s="15">
        <v>18080493.890000001</v>
      </c>
      <c r="H16" s="15"/>
      <c r="I16" s="2"/>
      <c r="J16" s="2"/>
    </row>
    <row r="17" spans="1:10">
      <c r="A17" s="87" t="s">
        <v>215</v>
      </c>
      <c r="B17" s="16" t="s">
        <v>249</v>
      </c>
      <c r="C17" s="15">
        <v>0</v>
      </c>
      <c r="D17" s="15">
        <f>C17-E17</f>
        <v>0</v>
      </c>
      <c r="E17" s="15">
        <v>0</v>
      </c>
      <c r="F17" s="19">
        <f t="shared" ref="F17:F46" si="2">E17-G17</f>
        <v>0</v>
      </c>
      <c r="G17" s="15">
        <v>0</v>
      </c>
      <c r="H17" s="15"/>
      <c r="I17" s="2"/>
      <c r="J17" s="2"/>
    </row>
    <row r="18" spans="1:10">
      <c r="A18" s="87"/>
      <c r="B18" s="16" t="s">
        <v>250</v>
      </c>
      <c r="C18" s="15">
        <v>6897852.9699999997</v>
      </c>
      <c r="D18" s="15">
        <f>C18-E18</f>
        <v>3094717.2399999998</v>
      </c>
      <c r="E18" s="15">
        <v>3803135.73</v>
      </c>
      <c r="F18" s="19">
        <f t="shared" si="2"/>
        <v>828640.39999999991</v>
      </c>
      <c r="G18" s="15">
        <v>2974495.33</v>
      </c>
      <c r="H18" s="15"/>
      <c r="I18" s="2"/>
      <c r="J18" s="2"/>
    </row>
    <row r="19" spans="1:10">
      <c r="A19" s="87"/>
      <c r="B19" s="16" t="s">
        <v>216</v>
      </c>
      <c r="C19" s="15">
        <v>138499584.53999999</v>
      </c>
      <c r="D19" s="15">
        <f>C19-E19</f>
        <v>28272869.589999989</v>
      </c>
      <c r="E19" s="15">
        <v>110226714.95</v>
      </c>
      <c r="F19" s="19">
        <f t="shared" si="2"/>
        <v>31646394.109999999</v>
      </c>
      <c r="G19" s="15">
        <v>78580320.840000004</v>
      </c>
      <c r="H19" s="15"/>
      <c r="I19" s="2"/>
      <c r="J19" s="2"/>
    </row>
    <row r="20" spans="1:10">
      <c r="A20" s="87"/>
      <c r="B20" s="16" t="s">
        <v>229</v>
      </c>
      <c r="C20" s="15"/>
      <c r="D20" s="15"/>
      <c r="E20" s="15">
        <v>2279967.0299999998</v>
      </c>
      <c r="F20" s="19">
        <f t="shared" si="2"/>
        <v>990936.08999999985</v>
      </c>
      <c r="G20" s="15">
        <v>1289030.94</v>
      </c>
      <c r="H20" s="15"/>
      <c r="I20" s="2"/>
      <c r="J20" s="2"/>
    </row>
    <row r="21" spans="1:10">
      <c r="A21" s="87"/>
      <c r="B21" s="16" t="s">
        <v>243</v>
      </c>
      <c r="C21" s="15"/>
      <c r="D21" s="15"/>
      <c r="E21" s="15">
        <v>0</v>
      </c>
      <c r="F21" s="19">
        <f t="shared" si="2"/>
        <v>0</v>
      </c>
      <c r="G21" s="15">
        <v>0</v>
      </c>
      <c r="H21" s="15"/>
      <c r="I21" s="2"/>
      <c r="J21" s="2"/>
    </row>
    <row r="22" spans="1:10">
      <c r="A22" s="87"/>
      <c r="B22" s="16" t="s">
        <v>217</v>
      </c>
      <c r="C22" s="15"/>
      <c r="D22" s="15"/>
      <c r="E22" s="15">
        <v>4139946.5</v>
      </c>
      <c r="F22" s="19">
        <f t="shared" si="2"/>
        <v>-3051232.5199999996</v>
      </c>
      <c r="G22" s="33">
        <v>7191179.0199999996</v>
      </c>
      <c r="H22" s="15"/>
      <c r="I22" s="2"/>
      <c r="J22" s="2"/>
    </row>
    <row r="23" spans="1:10">
      <c r="A23" s="87"/>
      <c r="B23" s="16" t="s">
        <v>218</v>
      </c>
      <c r="C23" s="15"/>
      <c r="D23" s="15"/>
      <c r="E23" s="15">
        <v>62638680.549999997</v>
      </c>
      <c r="F23" s="19">
        <f t="shared" si="2"/>
        <v>22750001.159999996</v>
      </c>
      <c r="G23" s="15">
        <v>39888679.390000001</v>
      </c>
      <c r="H23" s="15"/>
      <c r="I23" s="2"/>
      <c r="J23" s="2"/>
    </row>
    <row r="24" spans="1:10">
      <c r="A24" s="87" t="s">
        <v>214</v>
      </c>
      <c r="B24" s="16" t="s">
        <v>220</v>
      </c>
      <c r="C24" s="15"/>
      <c r="D24" s="15"/>
      <c r="E24" s="15">
        <v>226368273.47</v>
      </c>
      <c r="F24" s="19">
        <f t="shared" si="2"/>
        <v>17270350.129999995</v>
      </c>
      <c r="G24" s="15">
        <v>209097923.34</v>
      </c>
      <c r="H24" s="15"/>
      <c r="I24" s="2"/>
      <c r="J24" s="2"/>
    </row>
    <row r="25" spans="1:10">
      <c r="A25" s="87"/>
      <c r="B25" s="16" t="s">
        <v>248</v>
      </c>
      <c r="C25" s="15"/>
      <c r="D25" s="15"/>
      <c r="E25" s="15">
        <v>9384007.1400000006</v>
      </c>
      <c r="F25" s="19">
        <f t="shared" si="2"/>
        <v>5944587.3100000005</v>
      </c>
      <c r="G25" s="15">
        <v>3439419.83</v>
      </c>
      <c r="H25" s="15"/>
      <c r="I25" s="2"/>
      <c r="J25" s="2"/>
    </row>
    <row r="26" spans="1:10">
      <c r="A26" s="87"/>
      <c r="B26" s="16" t="s">
        <v>221</v>
      </c>
      <c r="C26" s="15"/>
      <c r="D26" s="15"/>
      <c r="E26" s="15">
        <v>0</v>
      </c>
      <c r="F26" s="19">
        <f t="shared" si="2"/>
        <v>0</v>
      </c>
      <c r="G26" s="15">
        <v>0</v>
      </c>
      <c r="H26" s="15"/>
      <c r="I26" s="2"/>
      <c r="J26" s="2"/>
    </row>
    <row r="27" spans="1:10">
      <c r="A27" s="87"/>
      <c r="B27" s="16" t="s">
        <v>222</v>
      </c>
      <c r="C27" s="15"/>
      <c r="D27" s="15"/>
      <c r="E27" s="15">
        <v>32079348.609999999</v>
      </c>
      <c r="F27" s="19">
        <f t="shared" si="2"/>
        <v>-534800.81000000238</v>
      </c>
      <c r="G27" s="15">
        <v>32614149.420000002</v>
      </c>
      <c r="H27" s="15"/>
      <c r="I27" s="2"/>
      <c r="J27" s="2"/>
    </row>
    <row r="28" spans="1:10">
      <c r="A28" s="87"/>
      <c r="B28" s="16" t="s">
        <v>223</v>
      </c>
      <c r="C28" s="15"/>
      <c r="D28" s="15"/>
      <c r="E28" s="15">
        <v>0</v>
      </c>
      <c r="F28" s="19">
        <f t="shared" si="2"/>
        <v>0</v>
      </c>
      <c r="G28" s="15">
        <v>0</v>
      </c>
      <c r="H28" s="15"/>
      <c r="I28" s="2"/>
      <c r="J28" s="2"/>
    </row>
    <row r="29" spans="1:10">
      <c r="A29" s="87"/>
      <c r="B29" s="16" t="s">
        <v>225</v>
      </c>
      <c r="C29" s="15"/>
      <c r="D29" s="15"/>
      <c r="E29" s="15">
        <v>0</v>
      </c>
      <c r="F29" s="19">
        <f t="shared" si="2"/>
        <v>0</v>
      </c>
      <c r="G29" s="15">
        <v>0</v>
      </c>
      <c r="H29" s="15"/>
      <c r="I29" s="2"/>
      <c r="J29" s="2"/>
    </row>
    <row r="30" spans="1:10">
      <c r="A30" s="87"/>
      <c r="B30" s="16" t="s">
        <v>224</v>
      </c>
      <c r="C30" s="15"/>
      <c r="D30" s="15"/>
      <c r="E30" s="15">
        <v>1728036.42</v>
      </c>
      <c r="F30" s="19">
        <f t="shared" si="2"/>
        <v>-43766.360000000102</v>
      </c>
      <c r="G30" s="15">
        <v>1771802.78</v>
      </c>
      <c r="H30" s="15"/>
      <c r="I30" s="2"/>
      <c r="J30" s="2"/>
    </row>
    <row r="31" spans="1:10">
      <c r="A31" s="87" t="s">
        <v>226</v>
      </c>
      <c r="B31" s="16" t="s">
        <v>265</v>
      </c>
      <c r="C31" s="15"/>
      <c r="D31" s="15"/>
      <c r="E31" s="15">
        <v>0</v>
      </c>
      <c r="F31" s="19">
        <f t="shared" si="2"/>
        <v>0</v>
      </c>
      <c r="G31" s="15">
        <v>0</v>
      </c>
      <c r="H31" s="15"/>
      <c r="I31" s="2"/>
      <c r="J31" s="2"/>
    </row>
    <row r="32" spans="1:10">
      <c r="A32" s="87"/>
      <c r="B32" s="16" t="s">
        <v>231</v>
      </c>
      <c r="C32" s="15"/>
      <c r="D32" s="15"/>
      <c r="E32" s="15">
        <v>0</v>
      </c>
      <c r="F32" s="19">
        <f t="shared" si="2"/>
        <v>0</v>
      </c>
      <c r="G32" s="15">
        <v>0</v>
      </c>
      <c r="H32" s="15"/>
      <c r="I32" s="2"/>
      <c r="J32" s="2"/>
    </row>
    <row r="33" spans="1:10">
      <c r="A33" s="87"/>
      <c r="B33" s="16" t="s">
        <v>232</v>
      </c>
      <c r="C33" s="15"/>
      <c r="D33" s="15"/>
      <c r="E33" s="15">
        <v>9010000</v>
      </c>
      <c r="F33" s="19">
        <f t="shared" si="2"/>
        <v>-2800000</v>
      </c>
      <c r="G33" s="15">
        <v>11810000</v>
      </c>
      <c r="H33" s="15"/>
      <c r="I33" s="2"/>
      <c r="J33" s="2"/>
    </row>
    <row r="34" spans="1:10">
      <c r="A34" s="87"/>
      <c r="B34" s="16" t="s">
        <v>230</v>
      </c>
      <c r="C34" s="15"/>
      <c r="D34" s="15"/>
      <c r="E34" s="15">
        <v>0</v>
      </c>
      <c r="F34" s="19">
        <f t="shared" si="2"/>
        <v>0</v>
      </c>
      <c r="G34" s="15">
        <v>0</v>
      </c>
      <c r="H34" s="15"/>
      <c r="I34" s="2"/>
      <c r="J34" s="2"/>
    </row>
    <row r="35" spans="1:10">
      <c r="A35" s="87"/>
      <c r="B35" s="16" t="s">
        <v>233</v>
      </c>
      <c r="C35" s="15"/>
      <c r="D35" s="15"/>
      <c r="E35" s="15">
        <v>284537.28000000003</v>
      </c>
      <c r="F35" s="19">
        <f t="shared" si="2"/>
        <v>72456.120000000024</v>
      </c>
      <c r="G35" s="15">
        <v>212081.16</v>
      </c>
      <c r="H35" s="15"/>
      <c r="I35" s="2"/>
      <c r="J35" s="2"/>
    </row>
    <row r="36" spans="1:10">
      <c r="A36" s="87"/>
      <c r="B36" s="16" t="s">
        <v>234</v>
      </c>
      <c r="C36" s="15"/>
      <c r="D36" s="15"/>
      <c r="E36" s="15">
        <v>26552385.469999999</v>
      </c>
      <c r="F36" s="19">
        <f t="shared" si="2"/>
        <v>-1885338.0600000024</v>
      </c>
      <c r="G36" s="15">
        <v>28437723.530000001</v>
      </c>
      <c r="H36" s="15"/>
      <c r="I36" s="2"/>
      <c r="J36" s="2"/>
    </row>
    <row r="37" spans="1:10">
      <c r="A37" s="24"/>
      <c r="B37" s="16" t="s">
        <v>264</v>
      </c>
      <c r="C37" s="15"/>
      <c r="D37" s="15"/>
      <c r="E37" s="15">
        <v>9683011.2799999993</v>
      </c>
      <c r="F37" s="19">
        <f t="shared" si="2"/>
        <v>4806989.47</v>
      </c>
      <c r="G37" s="15">
        <v>4876021.8099999996</v>
      </c>
      <c r="H37" s="15"/>
      <c r="I37" s="2"/>
      <c r="J37" s="2"/>
    </row>
    <row r="38" spans="1:10">
      <c r="A38" s="80" t="s">
        <v>245</v>
      </c>
      <c r="B38" s="16" t="s">
        <v>242</v>
      </c>
      <c r="C38" s="15"/>
      <c r="D38" s="15"/>
      <c r="E38" s="15">
        <v>0</v>
      </c>
      <c r="F38" s="19">
        <f t="shared" si="2"/>
        <v>0</v>
      </c>
      <c r="G38" s="15">
        <v>0</v>
      </c>
      <c r="H38" s="15"/>
      <c r="I38" s="2"/>
      <c r="J38" s="2"/>
    </row>
    <row r="39" spans="1:10">
      <c r="A39" s="80"/>
      <c r="B39" s="16" t="s">
        <v>235</v>
      </c>
      <c r="C39" s="15"/>
      <c r="D39" s="15"/>
      <c r="E39" s="15">
        <v>43106879.159999996</v>
      </c>
      <c r="F39" s="19">
        <f t="shared" si="2"/>
        <v>3054836.6399999931</v>
      </c>
      <c r="G39" s="15">
        <v>40052042.520000003</v>
      </c>
      <c r="H39" s="15"/>
      <c r="I39" s="2"/>
      <c r="J39" s="2"/>
    </row>
    <row r="40" spans="1:10">
      <c r="A40" s="80"/>
      <c r="B40" s="16" t="s">
        <v>236</v>
      </c>
      <c r="C40" s="15"/>
      <c r="D40" s="15"/>
      <c r="E40" s="15">
        <v>2893660.97</v>
      </c>
      <c r="F40" s="19">
        <f t="shared" si="2"/>
        <v>-83180.279999999795</v>
      </c>
      <c r="G40" s="15">
        <v>2976841.25</v>
      </c>
      <c r="H40" s="15"/>
      <c r="I40" s="2"/>
      <c r="J40" s="2"/>
    </row>
    <row r="41" spans="1:10">
      <c r="A41" s="80"/>
      <c r="B41" s="16" t="s">
        <v>237</v>
      </c>
      <c r="C41" s="15"/>
      <c r="D41" s="15"/>
      <c r="E41" s="15">
        <v>26377728.91</v>
      </c>
      <c r="F41" s="19">
        <f t="shared" si="2"/>
        <v>4006130.16</v>
      </c>
      <c r="G41" s="15">
        <v>22371598.75</v>
      </c>
      <c r="H41" s="15"/>
      <c r="I41" s="2"/>
      <c r="J41" s="2"/>
    </row>
    <row r="42" spans="1:10">
      <c r="A42" s="80"/>
      <c r="B42" s="16" t="s">
        <v>238</v>
      </c>
      <c r="C42" s="15"/>
      <c r="D42" s="15"/>
      <c r="E42" s="15">
        <v>8760861.4100000001</v>
      </c>
      <c r="F42" s="19">
        <f t="shared" si="2"/>
        <v>-5122789.7300000004</v>
      </c>
      <c r="G42" s="15">
        <v>13883651.140000001</v>
      </c>
      <c r="H42" s="15"/>
      <c r="I42" s="2"/>
      <c r="J42" s="2"/>
    </row>
    <row r="43" spans="1:10">
      <c r="A43" s="80"/>
      <c r="B43" s="16" t="s">
        <v>239</v>
      </c>
      <c r="C43" s="15"/>
      <c r="D43" s="15"/>
      <c r="E43" s="15">
        <v>0</v>
      </c>
      <c r="F43" s="19">
        <f t="shared" si="2"/>
        <v>0</v>
      </c>
      <c r="G43" s="15">
        <v>0</v>
      </c>
      <c r="H43" s="15"/>
      <c r="I43" s="2"/>
      <c r="J43" s="2"/>
    </row>
    <row r="44" spans="1:10">
      <c r="A44" s="80"/>
      <c r="B44" s="16" t="s">
        <v>240</v>
      </c>
      <c r="C44" s="15"/>
      <c r="D44" s="15"/>
      <c r="E44" s="15">
        <v>1798541.24</v>
      </c>
      <c r="F44" s="19">
        <f t="shared" si="2"/>
        <v>1282869.3599999999</v>
      </c>
      <c r="G44" s="15">
        <v>515671.88</v>
      </c>
      <c r="H44" s="15"/>
      <c r="I44" s="2"/>
      <c r="J44" s="2"/>
    </row>
    <row r="45" spans="1:10">
      <c r="A45" s="80"/>
      <c r="B45" s="16" t="s">
        <v>241</v>
      </c>
      <c r="C45" s="15"/>
      <c r="D45" s="15"/>
      <c r="E45" s="15">
        <v>0</v>
      </c>
      <c r="F45" s="19">
        <f t="shared" si="2"/>
        <v>0</v>
      </c>
      <c r="G45" s="15">
        <v>0</v>
      </c>
      <c r="H45" s="15"/>
      <c r="I45" s="2"/>
      <c r="J45" s="2"/>
    </row>
    <row r="46" spans="1:10">
      <c r="A46" s="30" t="s">
        <v>87</v>
      </c>
      <c r="B46" s="16" t="s">
        <v>244</v>
      </c>
      <c r="C46" s="15"/>
      <c r="D46" s="15"/>
      <c r="E46" s="15">
        <v>0</v>
      </c>
      <c r="F46" s="19">
        <f t="shared" si="2"/>
        <v>0</v>
      </c>
      <c r="G46" s="15">
        <v>0</v>
      </c>
      <c r="H46" s="15"/>
      <c r="I46" s="2"/>
      <c r="J46" s="2"/>
    </row>
  </sheetData>
  <mergeCells count="9">
    <mergeCell ref="A31:A36"/>
    <mergeCell ref="A38:A45"/>
    <mergeCell ref="E1:F1"/>
    <mergeCell ref="G1:H1"/>
    <mergeCell ref="I1:J1"/>
    <mergeCell ref="C1:D1"/>
    <mergeCell ref="A5:A13"/>
    <mergeCell ref="A17:A23"/>
    <mergeCell ref="A24:A3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zoomScale="70" zoomScaleNormal="70" workbookViewId="0">
      <selection activeCell="C27" sqref="C27"/>
    </sheetView>
  </sheetViews>
  <sheetFormatPr defaultRowHeight="13.5"/>
  <cols>
    <col min="1" max="1" width="10.75" bestFit="1" customWidth="1"/>
    <col min="2" max="2" width="11.125" customWidth="1"/>
    <col min="3" max="3" width="14.25" customWidth="1"/>
    <col min="4" max="4" width="12.75" customWidth="1"/>
    <col min="5" max="5" width="15.625" bestFit="1" customWidth="1"/>
  </cols>
  <sheetData>
    <row r="1" spans="1:5" s="3" customFormat="1" ht="66.599999999999994" customHeight="1">
      <c r="A1" s="1" t="s">
        <v>0</v>
      </c>
      <c r="B1" s="1" t="s">
        <v>209</v>
      </c>
      <c r="C1" s="1" t="s">
        <v>210</v>
      </c>
      <c r="D1" s="1" t="s">
        <v>211</v>
      </c>
      <c r="E1" s="1" t="s">
        <v>212</v>
      </c>
    </row>
    <row r="2" spans="1:5">
      <c r="A2" s="4">
        <v>19981231</v>
      </c>
      <c r="B2" s="11">
        <f>HLOOKUP(A2,利润表!$A$1:$BZ$100,22,FALSE)/HLOOKUP(A2,利润表!$A$1:$BZ$100,4,FALSE)</f>
        <v>0.23383486098830369</v>
      </c>
      <c r="C2" s="11">
        <f>HLOOKUP(A2,利润表!$A$1:$BZ$100,4,FALSE)/HLOOKUP(A2,资产负债表!$A$1:$BZ$100,42,FALSE)</f>
        <v>0.84678209286947848</v>
      </c>
      <c r="D2" s="11">
        <f>HLOOKUP(A2,资产负债表!$A$1:$BZ$100,42,FALSE)/HLOOKUP(A2,资产负债表!$A$1:$BZ$100,84,FALSE)</f>
        <v>3.1690552321627852</v>
      </c>
      <c r="E2" s="11">
        <f>B2*C2*D2</f>
        <v>0.62749566751749319</v>
      </c>
    </row>
    <row r="3" spans="1:5">
      <c r="A3" s="4">
        <v>19991231</v>
      </c>
      <c r="B3" s="11">
        <f>HLOOKUP(A3,利润表!$A$1:$BZ$100,22,FALSE)/HLOOKUP(A3,利润表!$A$1:$BZ$100,4,FALSE)</f>
        <v>0.24211499891539573</v>
      </c>
      <c r="C3" s="11">
        <f>HLOOKUP(A3,利润表!$A$1:$BZ$100,4,FALSE)/HLOOKUP(A3,资产负债表!$A$1:$BZ$100,42,FALSE)</f>
        <v>0.97355490116060872</v>
      </c>
      <c r="D3" s="11">
        <f>HLOOKUP(A3,资产负债表!$A$1:$BZ$100,42,FALSE)/HLOOKUP(A3,资产负债表!$A$1:$BZ$100,84,FALSE)</f>
        <v>3.2066547807606218</v>
      </c>
      <c r="E3" s="11">
        <f t="shared" ref="E3:E21" si="0">B3*C3*D3</f>
        <v>0.75584779358879273</v>
      </c>
    </row>
    <row r="4" spans="1:5">
      <c r="A4" s="4">
        <v>20001231</v>
      </c>
      <c r="B4" s="11">
        <f>HLOOKUP(A4,利润表!$A$1:$BZ$100,22,FALSE)/HLOOKUP(A4,利润表!$A$1:$BZ$100,4,FALSE)</f>
        <v>0.22916034561315737</v>
      </c>
      <c r="C4" s="11">
        <f>HLOOKUP(A4,利润表!$A$1:$BZ$100,4,FALSE)/HLOOKUP(A4,资产负债表!$A$1:$BZ$100,42,FALSE)</f>
        <v>0.87795667770685526</v>
      </c>
      <c r="D4" s="11">
        <f>HLOOKUP(A4,资产负债表!$A$1:$BZ$100,42,FALSE)/HLOOKUP(A4,资产负债表!$A$1:$BZ$100,84,FALSE)</f>
        <v>2.8592034852975479</v>
      </c>
      <c r="E4" s="11">
        <f t="shared" si="0"/>
        <v>0.57525131422492093</v>
      </c>
    </row>
    <row r="5" spans="1:5">
      <c r="A5" s="4">
        <v>20011231</v>
      </c>
      <c r="B5" s="11">
        <f>HLOOKUP(A5,利润表!$A$1:$BZ$100,22,FALSE)/HLOOKUP(A5,利润表!$A$1:$BZ$100,4,FALSE)</f>
        <v>0.21159204933212894</v>
      </c>
      <c r="C5" s="11">
        <f>HLOOKUP(A5,利润表!$A$1:$BZ$100,4,FALSE)/HLOOKUP(A5,资产负债表!$A$1:$BZ$100,42,FALSE)</f>
        <v>0.46718598001080108</v>
      </c>
      <c r="D5" s="11">
        <f>HLOOKUP(A5,资产负债表!$A$1:$BZ$100,42,FALSE)/HLOOKUP(A5,资产负债表!$A$1:$BZ$100,84,FALSE)</f>
        <v>1.3648114223116257</v>
      </c>
      <c r="E5" s="11">
        <f t="shared" si="0"/>
        <v>0.13491548369921921</v>
      </c>
    </row>
    <row r="6" spans="1:5">
      <c r="A6" s="4">
        <v>20021231</v>
      </c>
      <c r="B6" s="11">
        <f>HLOOKUP(A6,利润表!$A$1:$BZ$100,22,FALSE)/HLOOKUP(A6,利润表!$A$1:$BZ$100,4,FALSE)</f>
        <v>0.21395516681288076</v>
      </c>
      <c r="C6" s="11">
        <f>HLOOKUP(A6,利润表!$A$1:$BZ$100,4,FALSE)/HLOOKUP(A6,资产负债表!$A$1:$BZ$100,42,FALSE)</f>
        <v>0.46678774067445594</v>
      </c>
      <c r="D6" s="11">
        <f>HLOOKUP(A6,资产负债表!$A$1:$BZ$100,42,FALSE)/HLOOKUP(A6,资产负债表!$A$1:$BZ$100,84,FALSE)</f>
        <v>1.3673978545714613</v>
      </c>
      <c r="E6" s="11">
        <f t="shared" si="0"/>
        <v>0.13656427846874547</v>
      </c>
    </row>
    <row r="7" spans="1:5">
      <c r="A7" s="4">
        <v>20031231</v>
      </c>
      <c r="B7" s="11">
        <f>HLOOKUP(A7,利润表!$A$1:$BZ$100,22,FALSE)/HLOOKUP(A7,利润表!$A$1:$BZ$100,4,FALSE)</f>
        <v>0.25353975378686533</v>
      </c>
      <c r="C7" s="11">
        <f>HLOOKUP(A7,利润表!$A$1:$BZ$100,4,FALSE)/HLOOKUP(A7,资产负债表!$A$1:$BZ$100,42,FALSE)</f>
        <v>0.48443113897564255</v>
      </c>
      <c r="D7" s="11">
        <f>HLOOKUP(A7,资产负债表!$A$1:$BZ$100,42,FALSE)/HLOOKUP(A7,资产负债表!$A$1:$BZ$100,84,FALSE)</f>
        <v>1.4281317982500557</v>
      </c>
      <c r="E7" s="11">
        <f t="shared" si="0"/>
        <v>0.17540679162865908</v>
      </c>
    </row>
    <row r="8" spans="1:5">
      <c r="A8" s="4">
        <v>20041231</v>
      </c>
      <c r="B8" s="11">
        <f>HLOOKUP(A8,利润表!$A$1:$BZ$100,22,FALSE)/HLOOKUP(A8,利润表!$A$1:$BZ$100,4,FALSE)</f>
        <v>0.28379759933920778</v>
      </c>
      <c r="C8" s="11">
        <f>HLOOKUP(A8,利润表!$A$1:$BZ$100,4,FALSE)/HLOOKUP(A8,资产负债表!$A$1:$BZ$100,42,FALSE)</f>
        <v>0.4722242531368816</v>
      </c>
      <c r="D8" s="11">
        <f>HLOOKUP(A8,资产负债表!$A$1:$BZ$100,42,FALSE)/HLOOKUP(A8,资产负债表!$A$1:$BZ$100,84,FALSE)</f>
        <v>1.5115235312460726</v>
      </c>
      <c r="E8" s="11">
        <f t="shared" si="0"/>
        <v>0.20256850290902878</v>
      </c>
    </row>
    <row r="9" spans="1:5">
      <c r="A9" s="4">
        <v>20051231</v>
      </c>
      <c r="B9" s="11">
        <f>HLOOKUP(A9,利润表!$A$1:$BZ$100,22,FALSE)/HLOOKUP(A9,利润表!$A$1:$BZ$100,4,FALSE)</f>
        <v>0.29744754950267022</v>
      </c>
      <c r="C9" s="11">
        <f>HLOOKUP(A9,利润表!$A$1:$BZ$100,4,FALSE)/HLOOKUP(A9,资产负债表!$A$1:$BZ$100,42,FALSE)</f>
        <v>0.48780244268661066</v>
      </c>
      <c r="D9" s="11">
        <f>HLOOKUP(A9,资产负债表!$A$1:$BZ$100,42,FALSE)/HLOOKUP(A9,资产负债表!$A$1:$BZ$100,84,FALSE)</f>
        <v>1.5608252249879226</v>
      </c>
      <c r="E9" s="11">
        <f t="shared" si="0"/>
        <v>0.22646893684970876</v>
      </c>
    </row>
    <row r="10" spans="1:5">
      <c r="A10" s="4">
        <v>20061231</v>
      </c>
      <c r="B10" s="11">
        <f>HLOOKUP(A10,利润表!$A$1:$BZ$100,22,FALSE)/HLOOKUP(A10,利润表!$A$1:$BZ$100,4,FALSE)</f>
        <v>0.32153761084384658</v>
      </c>
      <c r="C10" s="11">
        <f>HLOOKUP(A10,利润表!$A$1:$BZ$100,4,FALSE)/HLOOKUP(A10,资产负债表!$A$1:$BZ$100,42,FALSE)</f>
        <v>0.52148591175117376</v>
      </c>
      <c r="D10" s="11">
        <f>HLOOKUP(A10,资产负债表!$A$1:$BZ$100,42,FALSE)/HLOOKUP(A10,资产负债表!$A$1:$BZ$100,84,FALSE)</f>
        <v>1.5661167865949541</v>
      </c>
      <c r="E10" s="11">
        <f t="shared" si="0"/>
        <v>0.26260228774881395</v>
      </c>
    </row>
    <row r="11" spans="1:5">
      <c r="A11" s="4">
        <v>20071231</v>
      </c>
      <c r="B11" s="11">
        <f>HLOOKUP(A11,利润表!$A$1:$BZ$100,22,FALSE)/HLOOKUP(A11,利润表!$A$1:$BZ$100,4,FALSE)</f>
        <v>0.40982119381664339</v>
      </c>
      <c r="C11" s="11">
        <f>HLOOKUP(A11,利润表!$A$1:$BZ$100,4,FALSE)/HLOOKUP(A11,资产负债表!$A$1:$BZ$100,42,FALSE)</f>
        <v>0.69049756153418962</v>
      </c>
      <c r="D11" s="11">
        <f>HLOOKUP(A11,资产负债表!$A$1:$BZ$100,42,FALSE)/HLOOKUP(A11,资产负债表!$A$1:$BZ$100,84,FALSE)</f>
        <v>1.2524378634259734</v>
      </c>
      <c r="E11" s="11">
        <f t="shared" si="0"/>
        <v>0.35441553664080616</v>
      </c>
    </row>
    <row r="12" spans="1:5">
      <c r="A12" s="4">
        <v>20081231</v>
      </c>
      <c r="B12" s="11">
        <f>HLOOKUP(A12,利润表!$A$1:$BZ$100,22,FALSE)/HLOOKUP(A12,利润表!$A$1:$BZ$100,4,FALSE)</f>
        <v>0.48542974759096291</v>
      </c>
      <c r="C12" s="11">
        <f>HLOOKUP(A12,利润表!$A$1:$BZ$100,4,FALSE)/HLOOKUP(A12,资产负债表!$A$1:$BZ$100,42,FALSE)</f>
        <v>0.52314252246591653</v>
      </c>
      <c r="D12" s="11">
        <f>HLOOKUP(A12,资产负债表!$A$1:$BZ$100,42,FALSE)/HLOOKUP(A12,资产负债表!$A$1:$BZ$100,84,FALSE)</f>
        <v>1.3695222959854085</v>
      </c>
      <c r="E12" s="11">
        <f t="shared" si="0"/>
        <v>0.34778873898018153</v>
      </c>
    </row>
    <row r="13" spans="1:5">
      <c r="A13" s="4">
        <v>20091231</v>
      </c>
      <c r="B13" s="11">
        <f>HLOOKUP(A13,利润表!$A$1:$BZ$100,22,FALSE)/HLOOKUP(A13,利润表!$A$1:$BZ$100,4,FALSE)</f>
        <v>0.47082620310639894</v>
      </c>
      <c r="C13" s="11">
        <f>HLOOKUP(A13,利润表!$A$1:$BZ$100,4,FALSE)/HLOOKUP(A13,资产负债表!$A$1:$BZ$100,42,FALSE)</f>
        <v>0.48913421328950446</v>
      </c>
      <c r="D13" s="11">
        <f>HLOOKUP(A13,资产负债表!$A$1:$BZ$100,42,FALSE)/HLOOKUP(A13,资产负债表!$A$1:$BZ$100,84,FALSE)</f>
        <v>1.3493181524161613</v>
      </c>
      <c r="E13" s="11">
        <f t="shared" si="0"/>
        <v>0.3107441984184986</v>
      </c>
    </row>
    <row r="14" spans="1:5">
      <c r="A14" s="4">
        <v>20101231</v>
      </c>
      <c r="B14" s="11">
        <f>HLOOKUP(A14,利润表!$A$1:$BZ$100,22,FALSE)/HLOOKUP(A14,利润表!$A$1:$BZ$100,4,FALSE)</f>
        <v>0.45900724303036544</v>
      </c>
      <c r="C14" s="11">
        <f>HLOOKUP(A14,利润表!$A$1:$BZ$100,4,FALSE)/HLOOKUP(A14,资产负债表!$A$1:$BZ$100,42,FALSE)</f>
        <v>0.4546457213673602</v>
      </c>
      <c r="D14" s="11">
        <f>HLOOKUP(A14,资产负债表!$A$1:$BZ$100,42,FALSE)/HLOOKUP(A14,资产负债表!$A$1:$BZ$100,84,FALSE)</f>
        <v>1.3794297473900896</v>
      </c>
      <c r="E14" s="11">
        <f t="shared" si="0"/>
        <v>0.28786723363296018</v>
      </c>
    </row>
    <row r="15" spans="1:5">
      <c r="A15" s="4">
        <v>20111231</v>
      </c>
      <c r="B15" s="11">
        <f>HLOOKUP(A15,利润表!$A$1:$BZ$100,22,FALSE)/HLOOKUP(A15,利润表!$A$1:$BZ$100,4,FALSE)</f>
        <v>0.50267064750225587</v>
      </c>
      <c r="C15" s="11">
        <f>HLOOKUP(A15,利润表!$A$1:$BZ$100,4,FALSE)/HLOOKUP(A15,资产负债表!$A$1:$BZ$100,42,FALSE)</f>
        <v>0.52727498619778457</v>
      </c>
      <c r="D15" s="11">
        <f>HLOOKUP(A15,资产负债表!$A$1:$BZ$100,42,FALSE)/HLOOKUP(A15,资产负债表!$A$1:$BZ$100,84,FALSE)</f>
        <v>1.3738671589940357</v>
      </c>
      <c r="E15" s="11">
        <f t="shared" si="0"/>
        <v>0.36413752615454703</v>
      </c>
    </row>
    <row r="16" spans="1:5">
      <c r="A16" s="4">
        <v>20121231</v>
      </c>
      <c r="B16" s="11">
        <f>HLOOKUP(A16,利润表!$A$1:$BZ$100,22,FALSE)/HLOOKUP(A16,利润表!$A$1:$BZ$100,4,FALSE)</f>
        <v>0.52951325776671376</v>
      </c>
      <c r="C16" s="11">
        <f>HLOOKUP(A16,利润表!$A$1:$BZ$100,4,FALSE)/HLOOKUP(A16,资产负债表!$A$1:$BZ$100,42,FALSE)</f>
        <v>0.58791973654666541</v>
      </c>
      <c r="D16" s="11">
        <f>HLOOKUP(A16,资产负债表!$A$1:$BZ$100,42,FALSE)/HLOOKUP(A16,资产负债表!$A$1:$BZ$100,84,FALSE)</f>
        <v>1.2691984757185586</v>
      </c>
      <c r="E16" s="11">
        <f t="shared" si="0"/>
        <v>0.39511582109326676</v>
      </c>
    </row>
    <row r="17" spans="1:5">
      <c r="A17" s="4">
        <v>20131231</v>
      </c>
      <c r="B17" s="11">
        <f>HLOOKUP(A17,利润表!$A$1:$BZ$100,22,FALSE)/HLOOKUP(A17,利润表!$A$1:$BZ$100,4,FALSE)</f>
        <v>0.51629915468344445</v>
      </c>
      <c r="C17" s="11">
        <f>HLOOKUP(A17,利润表!$A$1:$BZ$100,4,FALSE)/HLOOKUP(A17,资产负债表!$A$1:$BZ$100,42,FALSE)</f>
        <v>0.55761022284301531</v>
      </c>
      <c r="D17" s="11">
        <f>HLOOKUP(A17,资产负债表!$A$1:$BZ$100,42,FALSE)/HLOOKUP(A17,资产负债表!$A$1:$BZ$100,84,FALSE)</f>
        <v>1.256634746385944</v>
      </c>
      <c r="E17" s="11">
        <f t="shared" si="0"/>
        <v>0.36177720996821688</v>
      </c>
    </row>
    <row r="18" spans="1:5">
      <c r="A18" s="4">
        <v>20141231</v>
      </c>
      <c r="B18" s="11">
        <f>HLOOKUP(A18,利润表!$A$1:$BZ$100,22,FALSE)/HLOOKUP(A18,利润表!$A$1:$BZ$100,4,FALSE)</f>
        <v>0.51527865763955472</v>
      </c>
      <c r="C18" s="11">
        <f>HLOOKUP(A18,利润表!$A$1:$BZ$100,4,FALSE)/HLOOKUP(A18,资产负债表!$A$1:$BZ$100,42,FALSE)</f>
        <v>0.47931397289429928</v>
      </c>
      <c r="D18" s="11">
        <f>HLOOKUP(A18,资产负债表!$A$1:$BZ$100,42,FALSE)/HLOOKUP(A18,资产负债表!$A$1:$BZ$100,84,FALSE)</f>
        <v>1.1909477174821543</v>
      </c>
      <c r="E18" s="11">
        <f t="shared" si="0"/>
        <v>0.2941405775542808</v>
      </c>
    </row>
    <row r="19" spans="1:5">
      <c r="A19" s="4">
        <v>20151231</v>
      </c>
      <c r="B19" s="11">
        <f>HLOOKUP(A19,利润表!$A$1:$BZ$100,22,FALSE)/HLOOKUP(A19,利润表!$A$1:$BZ$100,4,FALSE)</f>
        <v>0.50383363008032112</v>
      </c>
      <c r="C19" s="11">
        <f>HLOOKUP(A19,利润表!$A$1:$BZ$100,4,FALSE)/HLOOKUP(A19,资产负债表!$A$1:$BZ$100,42,FALSE)</f>
        <v>0.37843603607610443</v>
      </c>
      <c r="D19" s="11">
        <f>HLOOKUP(A19,资产负债表!$A$1:$BZ$100,42,FALSE)/HLOOKUP(A19,资产负债表!$A$1:$BZ$100,84,FALSE)</f>
        <v>1.3029749278029708</v>
      </c>
      <c r="E19" s="11">
        <f t="shared" si="0"/>
        <v>0.24843666827192237</v>
      </c>
    </row>
    <row r="20" spans="1:5">
      <c r="A20" s="4">
        <v>20161231</v>
      </c>
      <c r="B20" s="11">
        <f>HLOOKUP(A20,利润表!$A$1:$BZ$100,22,FALSE)/HLOOKUP(A20,利润表!$A$1:$BZ$100,4,FALSE)</f>
        <v>0.46139044435535331</v>
      </c>
      <c r="C20" s="11">
        <f>HLOOKUP(A20,利润表!$A$1:$BZ$100,4,FALSE)/HLOOKUP(A20,资产负债表!$A$1:$BZ$100,42,FALSE)</f>
        <v>0.34411253267222291</v>
      </c>
      <c r="D20" s="11">
        <f>HLOOKUP(A20,资产负债表!$A$1:$BZ$100,42,FALSE)/HLOOKUP(A20,资产负债表!$A$1:$BZ$100,84,FALSE)</f>
        <v>1.487967147097697</v>
      </c>
      <c r="E20" s="11">
        <f t="shared" si="0"/>
        <v>0.23624489266153184</v>
      </c>
    </row>
    <row r="21" spans="1:5">
      <c r="A21" s="9">
        <v>20170930</v>
      </c>
      <c r="B21" s="11">
        <f>HLOOKUP(A21,利润表!$A$1:$BZ$100,22,FALSE)/HLOOKUP(A21,利润表!$A$1:$BZ$100,4,FALSE)</f>
        <v>0.50320927718416686</v>
      </c>
      <c r="C21" s="11">
        <f>HLOOKUP(A21,利润表!$A$1:$BZ$100,4,FALSE)/HLOOKUP(A21,资产负债表!$A$1:$BZ$100,42,FALSE)</f>
        <v>0.3322151784004736</v>
      </c>
      <c r="D21" s="11">
        <f>HLOOKUP(A21,资产负债表!$A$1:$BZ$100,42,FALSE)/HLOOKUP(A21,资产负债表!$A$1:$BZ$100,84,FALSE)</f>
        <v>1.4457887988835805</v>
      </c>
      <c r="E21" s="11">
        <f t="shared" si="0"/>
        <v>0.2416979493752672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7" zoomScale="85" zoomScaleNormal="85" workbookViewId="0">
      <selection activeCell="I22" sqref="I22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85"/>
  <sheetViews>
    <sheetView zoomScale="85" zoomScaleNormal="85" workbookViewId="0">
      <selection activeCell="A84" sqref="A84:XFD84"/>
    </sheetView>
  </sheetViews>
  <sheetFormatPr defaultRowHeight="13.5"/>
  <cols>
    <col min="1" max="1" width="27.875" customWidth="1"/>
    <col min="2" max="2" width="15.5" customWidth="1"/>
    <col min="3" max="3" width="10.5" bestFit="1" customWidth="1"/>
    <col min="5" max="5" width="10.5" bestFit="1" customWidth="1"/>
  </cols>
  <sheetData>
    <row r="1" spans="1:70">
      <c r="A1" t="s">
        <v>0</v>
      </c>
      <c r="B1">
        <v>20170930</v>
      </c>
      <c r="C1">
        <v>20170630</v>
      </c>
      <c r="D1">
        <v>20170331</v>
      </c>
      <c r="E1">
        <v>20161231</v>
      </c>
      <c r="F1">
        <v>20160930</v>
      </c>
      <c r="G1">
        <v>20160630</v>
      </c>
      <c r="H1">
        <v>20160331</v>
      </c>
      <c r="I1">
        <v>20151231</v>
      </c>
      <c r="J1">
        <v>20150930</v>
      </c>
      <c r="K1">
        <v>20150630</v>
      </c>
      <c r="L1">
        <v>20150331</v>
      </c>
      <c r="M1">
        <v>20141231</v>
      </c>
      <c r="N1">
        <v>20140930</v>
      </c>
      <c r="O1">
        <v>20140630</v>
      </c>
      <c r="P1">
        <v>20140331</v>
      </c>
      <c r="Q1">
        <v>20131231</v>
      </c>
      <c r="R1">
        <v>20130930</v>
      </c>
      <c r="S1">
        <v>20130630</v>
      </c>
      <c r="T1">
        <v>20130331</v>
      </c>
      <c r="U1">
        <v>20121231</v>
      </c>
      <c r="V1">
        <v>20120930</v>
      </c>
      <c r="W1">
        <v>20120630</v>
      </c>
      <c r="X1">
        <v>20120331</v>
      </c>
      <c r="Y1">
        <v>20111231</v>
      </c>
      <c r="Z1">
        <v>20110930</v>
      </c>
      <c r="AA1">
        <v>20110630</v>
      </c>
      <c r="AB1">
        <v>20110331</v>
      </c>
      <c r="AC1">
        <v>20101231</v>
      </c>
      <c r="AD1">
        <v>20100930</v>
      </c>
      <c r="AE1">
        <v>20100630</v>
      </c>
      <c r="AF1">
        <v>20100331</v>
      </c>
      <c r="AG1">
        <v>20091231</v>
      </c>
      <c r="AH1">
        <v>20090930</v>
      </c>
      <c r="AI1">
        <v>20090630</v>
      </c>
      <c r="AJ1">
        <v>20090331</v>
      </c>
      <c r="AK1">
        <v>20081231</v>
      </c>
      <c r="AL1">
        <v>20080930</v>
      </c>
      <c r="AM1">
        <v>20080630</v>
      </c>
      <c r="AN1">
        <v>20080331</v>
      </c>
      <c r="AO1">
        <v>20071231</v>
      </c>
      <c r="AP1">
        <v>20070930</v>
      </c>
      <c r="AQ1">
        <v>20070630</v>
      </c>
      <c r="AR1">
        <v>20070331</v>
      </c>
      <c r="AS1">
        <v>20061231</v>
      </c>
      <c r="AT1">
        <v>20060930</v>
      </c>
      <c r="AU1">
        <v>20060630</v>
      </c>
      <c r="AV1">
        <v>20060331</v>
      </c>
      <c r="AW1">
        <v>20051231</v>
      </c>
      <c r="AX1">
        <v>20050930</v>
      </c>
      <c r="AY1">
        <v>20050630</v>
      </c>
      <c r="AZ1">
        <v>20050331</v>
      </c>
      <c r="BA1">
        <v>20041231</v>
      </c>
      <c r="BB1">
        <v>20040930</v>
      </c>
      <c r="BC1">
        <v>20040630</v>
      </c>
      <c r="BD1">
        <v>20040331</v>
      </c>
      <c r="BE1">
        <v>20031231</v>
      </c>
      <c r="BF1">
        <v>20030930</v>
      </c>
      <c r="BG1">
        <v>20030630</v>
      </c>
      <c r="BH1">
        <v>20030331</v>
      </c>
      <c r="BI1">
        <v>20021231</v>
      </c>
      <c r="BJ1">
        <v>20020930</v>
      </c>
      <c r="BK1">
        <v>20020630</v>
      </c>
      <c r="BL1">
        <v>20020331</v>
      </c>
      <c r="BM1">
        <v>20011231</v>
      </c>
      <c r="BN1">
        <v>20010630</v>
      </c>
      <c r="BO1">
        <v>20001231</v>
      </c>
      <c r="BP1">
        <v>19991231</v>
      </c>
      <c r="BQ1">
        <v>19981231</v>
      </c>
      <c r="BR1">
        <v>19700101</v>
      </c>
    </row>
    <row r="2" spans="1:70">
      <c r="A2" t="s">
        <v>90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91</v>
      </c>
      <c r="AL2" t="s">
        <v>91</v>
      </c>
      <c r="AM2" t="s">
        <v>91</v>
      </c>
      <c r="AN2" t="s">
        <v>91</v>
      </c>
      <c r="AO2" t="s">
        <v>91</v>
      </c>
      <c r="AP2" t="s">
        <v>91</v>
      </c>
      <c r="AQ2" t="s">
        <v>91</v>
      </c>
      <c r="AR2" t="s">
        <v>91</v>
      </c>
      <c r="AS2" t="s">
        <v>91</v>
      </c>
      <c r="AT2" t="s">
        <v>91</v>
      </c>
      <c r="AU2" t="s">
        <v>91</v>
      </c>
      <c r="AV2" t="s">
        <v>91</v>
      </c>
      <c r="AW2" t="s">
        <v>91</v>
      </c>
      <c r="AX2" t="s">
        <v>91</v>
      </c>
      <c r="AY2" t="s">
        <v>91</v>
      </c>
      <c r="AZ2" t="s">
        <v>91</v>
      </c>
      <c r="BA2" t="s">
        <v>91</v>
      </c>
      <c r="BB2" t="s">
        <v>91</v>
      </c>
      <c r="BC2" t="s">
        <v>91</v>
      </c>
      <c r="BD2" t="s">
        <v>91</v>
      </c>
      <c r="BE2" t="s">
        <v>91</v>
      </c>
      <c r="BF2" t="s">
        <v>91</v>
      </c>
      <c r="BG2" t="s">
        <v>91</v>
      </c>
      <c r="BH2" t="s">
        <v>91</v>
      </c>
      <c r="BI2" t="s">
        <v>91</v>
      </c>
      <c r="BJ2" t="s">
        <v>91</v>
      </c>
      <c r="BK2" t="s">
        <v>91</v>
      </c>
      <c r="BL2" t="s">
        <v>91</v>
      </c>
      <c r="BM2" t="s">
        <v>91</v>
      </c>
      <c r="BN2" t="s">
        <v>91</v>
      </c>
      <c r="BO2" t="s">
        <v>91</v>
      </c>
      <c r="BP2" t="s">
        <v>91</v>
      </c>
      <c r="BQ2" t="s">
        <v>91</v>
      </c>
    </row>
    <row r="3" spans="1:70">
      <c r="A3" t="s">
        <v>122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70">
      <c r="A4" t="s">
        <v>123</v>
      </c>
      <c r="B4" s="10">
        <v>80964678997.119995</v>
      </c>
      <c r="C4" s="10">
        <v>73635347053.149994</v>
      </c>
      <c r="D4" s="10">
        <v>72708333794.740005</v>
      </c>
      <c r="E4" s="10">
        <v>66854962118.220001</v>
      </c>
      <c r="F4" s="10">
        <v>61999742903.470001</v>
      </c>
      <c r="G4" s="10">
        <v>47528057097.449997</v>
      </c>
      <c r="H4" s="10">
        <v>43775736151.699997</v>
      </c>
      <c r="I4" s="10">
        <v>36800749895.059998</v>
      </c>
      <c r="J4" s="10">
        <v>30536117619.709999</v>
      </c>
      <c r="K4" s="10">
        <v>30236504717.380001</v>
      </c>
      <c r="L4" s="10">
        <v>28420683403.889999</v>
      </c>
      <c r="M4" s="10">
        <v>27710717680.209999</v>
      </c>
      <c r="N4" s="10">
        <v>22795906975.310001</v>
      </c>
      <c r="O4" s="10">
        <v>21095077301.209999</v>
      </c>
      <c r="P4" s="10">
        <v>23364071644.09</v>
      </c>
      <c r="Q4" s="10">
        <v>25185009331.68</v>
      </c>
      <c r="R4" s="10">
        <v>22011372945.09</v>
      </c>
      <c r="S4" s="10">
        <v>18274962102.509998</v>
      </c>
      <c r="T4" s="10">
        <v>21735234696.970001</v>
      </c>
      <c r="U4" s="10">
        <v>22061999850.169998</v>
      </c>
      <c r="V4" s="10">
        <v>18690032974.060001</v>
      </c>
      <c r="W4" s="10">
        <v>20981859110.759998</v>
      </c>
      <c r="X4" s="10">
        <v>18851427038.66</v>
      </c>
      <c r="Y4" s="10">
        <v>18254690162.040001</v>
      </c>
      <c r="Z4" s="10">
        <v>18288326258.07</v>
      </c>
      <c r="AA4" s="10">
        <v>17291687378.52</v>
      </c>
      <c r="AB4" s="10">
        <v>15998489422.76</v>
      </c>
      <c r="AC4" s="10">
        <v>12888393889.290001</v>
      </c>
      <c r="AD4" s="10">
        <v>11026669577.42</v>
      </c>
      <c r="AE4" s="10">
        <v>10268861587.440001</v>
      </c>
      <c r="AF4" s="10">
        <v>9980435183.5699997</v>
      </c>
      <c r="AG4" s="10">
        <v>9743152155.2399998</v>
      </c>
      <c r="AH4" s="10">
        <v>7895280562.8000002</v>
      </c>
      <c r="AI4" s="10">
        <v>7795808371.21</v>
      </c>
      <c r="AJ4" s="10">
        <v>7662321131.3000002</v>
      </c>
      <c r="AK4" s="10">
        <v>8093721891.1599998</v>
      </c>
      <c r="AL4" s="10">
        <v>6402015794.54</v>
      </c>
      <c r="AM4" s="10">
        <v>5065871830.8000002</v>
      </c>
      <c r="AN4" s="10">
        <v>5564443319.29</v>
      </c>
      <c r="AO4" s="10">
        <v>4722706300.0200005</v>
      </c>
      <c r="AP4" s="10">
        <v>4753385536.3500004</v>
      </c>
      <c r="AQ4" s="10">
        <v>4809865056.1599998</v>
      </c>
      <c r="AR4" s="10">
        <v>4655485481.29</v>
      </c>
      <c r="AS4" s="10">
        <v>4463098038.6400003</v>
      </c>
      <c r="AT4" s="10">
        <v>4083907788.3400002</v>
      </c>
      <c r="AU4" s="10">
        <v>3419099920.6599998</v>
      </c>
      <c r="AV4" s="10">
        <v>3975708186.8800001</v>
      </c>
      <c r="AW4" s="10">
        <v>3891989433.5300002</v>
      </c>
      <c r="AX4" s="10">
        <v>3217007276.75</v>
      </c>
      <c r="AY4" s="10">
        <v>3065214770.1900001</v>
      </c>
      <c r="AZ4" s="10">
        <v>3024925341.3800001</v>
      </c>
      <c r="BA4" s="10">
        <v>2898327418.8499999</v>
      </c>
      <c r="BB4" s="10">
        <v>2419288966.46</v>
      </c>
      <c r="BC4" s="10">
        <v>2172790156.5900002</v>
      </c>
      <c r="BD4" s="10">
        <v>2091330580.1099999</v>
      </c>
      <c r="BE4" s="10">
        <v>2340047386.8499999</v>
      </c>
      <c r="BF4" s="10">
        <v>1868792963.71</v>
      </c>
      <c r="BG4" s="10">
        <v>1536249315.6400001</v>
      </c>
      <c r="BH4" s="10">
        <v>1684957738.5599999</v>
      </c>
      <c r="BI4" s="10">
        <v>1780307690.6400001</v>
      </c>
      <c r="BJ4" s="10">
        <v>1677224920.04</v>
      </c>
      <c r="BK4" s="10">
        <v>1513800289.8299999</v>
      </c>
      <c r="BL4" s="10">
        <v>1877929846.0899999</v>
      </c>
      <c r="BM4" s="10">
        <v>1956436570.0999999</v>
      </c>
      <c r="BN4" s="10">
        <v>336439213.5</v>
      </c>
      <c r="BO4" s="10">
        <v>460983583.45999998</v>
      </c>
      <c r="BP4" s="10">
        <v>198390615.12</v>
      </c>
      <c r="BQ4" s="10">
        <v>124765368.73999999</v>
      </c>
      <c r="BR4" s="10">
        <v>0</v>
      </c>
    </row>
    <row r="5" spans="1:70">
      <c r="A5" t="s">
        <v>124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</row>
    <row r="6" spans="1:70">
      <c r="A6" t="s">
        <v>125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</row>
    <row r="7" spans="1:70">
      <c r="A7" t="s">
        <v>126</v>
      </c>
      <c r="B7" s="10">
        <v>1829625354</v>
      </c>
      <c r="C7" s="10">
        <v>1698067207.28</v>
      </c>
      <c r="D7" s="10">
        <v>1176901568.28</v>
      </c>
      <c r="E7" s="10">
        <v>817627172</v>
      </c>
      <c r="F7" s="10">
        <v>1138138783.0999999</v>
      </c>
      <c r="G7" s="10">
        <v>6561484493.6400003</v>
      </c>
      <c r="H7" s="10">
        <v>4678118906.46</v>
      </c>
      <c r="I7" s="10">
        <v>8578935406.8199997</v>
      </c>
      <c r="J7" s="10">
        <v>8291402262.2299995</v>
      </c>
      <c r="K7" s="10">
        <v>3954874737.4899998</v>
      </c>
      <c r="L7" s="10">
        <v>2808126680.46</v>
      </c>
      <c r="M7" s="10">
        <v>1847838617.8299999</v>
      </c>
      <c r="N7" s="10">
        <v>1158808485.0999999</v>
      </c>
      <c r="O7" s="10">
        <v>299692582.10000002</v>
      </c>
      <c r="P7" s="10">
        <v>287246643</v>
      </c>
      <c r="Q7" s="10">
        <v>296084005</v>
      </c>
      <c r="R7" s="10">
        <v>196272614</v>
      </c>
      <c r="S7" s="10">
        <v>159151909</v>
      </c>
      <c r="T7" s="10">
        <v>70770220.780000001</v>
      </c>
      <c r="U7" s="10">
        <v>204079117.80000001</v>
      </c>
      <c r="V7" s="10">
        <v>348529803.5</v>
      </c>
      <c r="W7" s="10">
        <v>221512122.5</v>
      </c>
      <c r="X7" s="10">
        <v>231498512.5</v>
      </c>
      <c r="Y7" s="10">
        <v>252101396.08000001</v>
      </c>
      <c r="Z7" s="10">
        <v>296850744.07999998</v>
      </c>
      <c r="AA7" s="10">
        <v>216485295.28</v>
      </c>
      <c r="AB7" s="10">
        <v>175868596.69999999</v>
      </c>
      <c r="AC7" s="10">
        <v>204811101.19999999</v>
      </c>
      <c r="AD7" s="10">
        <v>271163836.5</v>
      </c>
      <c r="AE7" s="10">
        <v>179851211.30000001</v>
      </c>
      <c r="AF7" s="10">
        <v>302156251.19999999</v>
      </c>
      <c r="AG7" s="10">
        <v>380760283.19999999</v>
      </c>
      <c r="AH7" s="10">
        <v>275946452.80000001</v>
      </c>
      <c r="AI7" s="10">
        <v>157290474.40000001</v>
      </c>
      <c r="AJ7" s="10">
        <v>176104343.59999999</v>
      </c>
      <c r="AK7" s="10">
        <v>170612609</v>
      </c>
      <c r="AL7" s="10">
        <v>90608212.799999997</v>
      </c>
      <c r="AM7" s="10">
        <v>94821890.799999997</v>
      </c>
      <c r="AN7" s="10">
        <v>82127468.400000006</v>
      </c>
      <c r="AO7" s="10">
        <v>101046224</v>
      </c>
      <c r="AP7" s="10">
        <v>146604935.58000001</v>
      </c>
      <c r="AQ7" s="10">
        <v>179337941.80000001</v>
      </c>
      <c r="AR7" s="10">
        <v>195159382.47</v>
      </c>
      <c r="AS7" s="10">
        <v>185653838.47</v>
      </c>
      <c r="AT7" s="10">
        <v>232808366.58000001</v>
      </c>
      <c r="AU7" s="10">
        <v>113565011.8</v>
      </c>
      <c r="AV7" s="10">
        <v>72016701.799999997</v>
      </c>
      <c r="AW7" s="10">
        <v>159665200.08000001</v>
      </c>
      <c r="AX7" s="10">
        <v>142698346.08000001</v>
      </c>
      <c r="AY7" s="10">
        <v>99986019.079999998</v>
      </c>
      <c r="AZ7" s="10">
        <v>129762839.45</v>
      </c>
      <c r="BA7" s="10">
        <v>115374909.92</v>
      </c>
      <c r="BB7" s="10">
        <v>128441126.8</v>
      </c>
      <c r="BC7" s="10">
        <v>62807660.799999997</v>
      </c>
      <c r="BD7" s="10">
        <v>54118710</v>
      </c>
      <c r="BE7" s="10">
        <v>46540363.600000001</v>
      </c>
      <c r="BF7" s="10">
        <v>71795352.799999997</v>
      </c>
      <c r="BG7" s="10">
        <v>20242382</v>
      </c>
      <c r="BH7" s="10">
        <v>5500000</v>
      </c>
      <c r="BI7" s="10">
        <v>37016763.100000001</v>
      </c>
      <c r="BJ7" s="10">
        <v>6167260</v>
      </c>
      <c r="BK7" s="10">
        <v>46470610</v>
      </c>
      <c r="BL7" s="10">
        <v>16681000</v>
      </c>
      <c r="BM7" s="10">
        <v>11740000</v>
      </c>
      <c r="BN7" s="10">
        <v>31154620</v>
      </c>
      <c r="BO7" s="10">
        <v>2500000</v>
      </c>
      <c r="BP7" s="10">
        <v>13412198</v>
      </c>
      <c r="BQ7" s="10">
        <v>0</v>
      </c>
      <c r="BR7" s="10">
        <v>0</v>
      </c>
    </row>
    <row r="8" spans="1:70">
      <c r="A8" t="s">
        <v>127</v>
      </c>
      <c r="B8" s="10">
        <v>0</v>
      </c>
      <c r="C8" s="10">
        <v>0</v>
      </c>
      <c r="D8" s="10">
        <v>0</v>
      </c>
      <c r="E8" s="10">
        <v>0</v>
      </c>
      <c r="F8" s="10">
        <v>8502001.1999999993</v>
      </c>
      <c r="G8" s="10">
        <v>1044639.8</v>
      </c>
      <c r="H8" s="10">
        <v>230768.89</v>
      </c>
      <c r="I8" s="10">
        <v>230768.89</v>
      </c>
      <c r="J8" s="10">
        <v>3824472.83</v>
      </c>
      <c r="K8" s="10">
        <v>366443.99</v>
      </c>
      <c r="L8" s="10">
        <v>491086.99</v>
      </c>
      <c r="M8" s="10">
        <v>4306161.24</v>
      </c>
      <c r="N8" s="10">
        <v>2220278.9900000002</v>
      </c>
      <c r="O8" s="10">
        <v>2220278.9900000002</v>
      </c>
      <c r="P8" s="10">
        <v>2676414.79</v>
      </c>
      <c r="Q8" s="10">
        <v>927222.79</v>
      </c>
      <c r="R8" s="10">
        <v>927270.79</v>
      </c>
      <c r="S8" s="10">
        <v>927222.79</v>
      </c>
      <c r="T8" s="10">
        <v>1344597.39</v>
      </c>
      <c r="U8" s="10">
        <v>17818147.27</v>
      </c>
      <c r="V8" s="10">
        <v>1853461.74</v>
      </c>
      <c r="W8" s="10">
        <v>1985526.74</v>
      </c>
      <c r="X8" s="10">
        <v>2056894.08</v>
      </c>
      <c r="Y8" s="10">
        <v>2225396.48</v>
      </c>
      <c r="Z8" s="10">
        <v>2119216.6800000002</v>
      </c>
      <c r="AA8" s="10">
        <v>2298535.27</v>
      </c>
      <c r="AB8" s="10">
        <v>997308.9</v>
      </c>
      <c r="AC8" s="10">
        <v>1254599.9099999999</v>
      </c>
      <c r="AD8" s="10">
        <v>28003199.84</v>
      </c>
      <c r="AE8" s="10">
        <v>28759555.530000001</v>
      </c>
      <c r="AF8" s="10">
        <v>31070214.280000001</v>
      </c>
      <c r="AG8" s="10">
        <v>21386314.280000001</v>
      </c>
      <c r="AH8" s="10">
        <v>41565282.450000003</v>
      </c>
      <c r="AI8" s="10">
        <v>39875502.539999999</v>
      </c>
      <c r="AJ8" s="10">
        <v>56118460.450000003</v>
      </c>
      <c r="AK8" s="10">
        <v>34825094.840000004</v>
      </c>
      <c r="AL8" s="10">
        <v>47344076.619999997</v>
      </c>
      <c r="AM8" s="10">
        <v>47820451.060000002</v>
      </c>
      <c r="AN8" s="10">
        <v>77785411.650000006</v>
      </c>
      <c r="AO8" s="10">
        <v>46407153.340000004</v>
      </c>
      <c r="AP8" s="10">
        <v>68786878.849999994</v>
      </c>
      <c r="AQ8" s="10">
        <v>65189432.07</v>
      </c>
      <c r="AR8" s="10">
        <v>103831215.66</v>
      </c>
      <c r="AS8" s="10">
        <v>67438863.700000003</v>
      </c>
      <c r="AT8" s="10">
        <v>78798820.950000003</v>
      </c>
      <c r="AU8" s="10">
        <v>68909631.170000002</v>
      </c>
      <c r="AV8" s="10">
        <v>61221809.439999998</v>
      </c>
      <c r="AW8" s="10">
        <v>43685990.329999998</v>
      </c>
      <c r="AX8" s="10">
        <v>40672843.719999999</v>
      </c>
      <c r="AY8" s="10">
        <v>45101032.82</v>
      </c>
      <c r="AZ8" s="10">
        <v>28773108.710000001</v>
      </c>
      <c r="BA8" s="10">
        <v>31277360.66</v>
      </c>
      <c r="BB8" s="10">
        <v>42938727.75</v>
      </c>
      <c r="BC8" s="10">
        <v>29019562.670000002</v>
      </c>
      <c r="BD8" s="10">
        <v>22935426.949999999</v>
      </c>
      <c r="BE8" s="10">
        <v>27486075.27</v>
      </c>
      <c r="BF8" s="10">
        <v>30028932.350000001</v>
      </c>
      <c r="BG8" s="10">
        <v>32813851.629999999</v>
      </c>
      <c r="BH8" s="10">
        <v>59698287.530000001</v>
      </c>
      <c r="BI8" s="10">
        <v>42735776.909999996</v>
      </c>
      <c r="BJ8" s="10">
        <v>69269778.560000002</v>
      </c>
      <c r="BK8" s="10">
        <v>41917386.700000003</v>
      </c>
      <c r="BL8" s="10">
        <v>67909035.709999993</v>
      </c>
      <c r="BM8" s="10">
        <v>46700450.369999997</v>
      </c>
      <c r="BN8" s="10">
        <v>45485831.93</v>
      </c>
      <c r="BO8" s="10">
        <v>47884805.68</v>
      </c>
      <c r="BP8" s="10">
        <v>58760152.619999997</v>
      </c>
      <c r="BQ8" s="10">
        <v>29350910</v>
      </c>
      <c r="BR8" s="10">
        <v>0</v>
      </c>
    </row>
    <row r="9" spans="1:70">
      <c r="A9" t="s">
        <v>128</v>
      </c>
      <c r="B9" s="10">
        <v>801295419.16999996</v>
      </c>
      <c r="C9" s="10">
        <v>984578688.41999996</v>
      </c>
      <c r="D9" s="10">
        <v>861069103.00999999</v>
      </c>
      <c r="E9" s="10">
        <v>1046100696.92</v>
      </c>
      <c r="F9" s="10">
        <v>1323120682.97</v>
      </c>
      <c r="G9" s="10">
        <v>1281379954.6099999</v>
      </c>
      <c r="H9" s="10">
        <v>1523446788.5599999</v>
      </c>
      <c r="I9" s="10">
        <v>1477734859.9000001</v>
      </c>
      <c r="J9" s="10">
        <v>1888387087.9400001</v>
      </c>
      <c r="K9" s="10">
        <v>2556244726.21</v>
      </c>
      <c r="L9" s="10">
        <v>3399221186.7399998</v>
      </c>
      <c r="M9" s="10">
        <v>2864210404.2800002</v>
      </c>
      <c r="N9" s="10">
        <v>4397548540.9899998</v>
      </c>
      <c r="O9" s="10">
        <v>3864638855.5</v>
      </c>
      <c r="P9" s="10">
        <v>3882463942.29</v>
      </c>
      <c r="Q9" s="10">
        <v>4304579299.6800003</v>
      </c>
      <c r="R9" s="10">
        <v>6514401257.1300001</v>
      </c>
      <c r="S9" s="10">
        <v>5560921770.1099997</v>
      </c>
      <c r="T9" s="10">
        <v>4682606669.5</v>
      </c>
      <c r="U9" s="10">
        <v>3872870407.8899999</v>
      </c>
      <c r="V9" s="10">
        <v>3967252707.7800002</v>
      </c>
      <c r="W9" s="10">
        <v>3010108854.5900002</v>
      </c>
      <c r="X9" s="10">
        <v>2326144239.71</v>
      </c>
      <c r="Y9" s="10">
        <v>1861027424.03</v>
      </c>
      <c r="Z9" s="10">
        <v>1911544400.1300001</v>
      </c>
      <c r="AA9" s="10">
        <v>1861395541.03</v>
      </c>
      <c r="AB9" s="10">
        <v>1609203876.23</v>
      </c>
      <c r="AC9" s="10">
        <v>1529868837.52</v>
      </c>
      <c r="AD9" s="10">
        <v>1696132652.8099999</v>
      </c>
      <c r="AE9" s="10">
        <v>1491650205.1199999</v>
      </c>
      <c r="AF9" s="10">
        <v>1450038504.22</v>
      </c>
      <c r="AG9" s="10">
        <v>1203126087.1600001</v>
      </c>
      <c r="AH9" s="10">
        <v>1140280815.6900001</v>
      </c>
      <c r="AI9" s="10">
        <v>896708844.5</v>
      </c>
      <c r="AJ9" s="10">
        <v>715183784.33000004</v>
      </c>
      <c r="AK9" s="10">
        <v>741638536.34000003</v>
      </c>
      <c r="AL9" s="10">
        <v>29936840.23</v>
      </c>
      <c r="AM9" s="10">
        <v>6728563.8700000001</v>
      </c>
      <c r="AN9" s="10">
        <v>2194804.11</v>
      </c>
      <c r="AO9" s="10">
        <v>6825624.6200000001</v>
      </c>
      <c r="AP9" s="10">
        <v>4056810.58</v>
      </c>
      <c r="AQ9" s="10">
        <v>629243.94999999995</v>
      </c>
      <c r="AR9" s="10">
        <v>5226084.2699999996</v>
      </c>
      <c r="AS9" s="10">
        <v>4242010.29</v>
      </c>
      <c r="AT9" s="10">
        <v>29101123.609999999</v>
      </c>
      <c r="AU9" s="10">
        <v>15830509.640000001</v>
      </c>
      <c r="AV9" s="10">
        <v>5682241.0099999998</v>
      </c>
      <c r="AW9" s="10">
        <v>12385914.41</v>
      </c>
      <c r="AX9" s="10">
        <v>8885528.6099999994</v>
      </c>
      <c r="AY9" s="10">
        <v>10016746.35</v>
      </c>
      <c r="AZ9" s="10">
        <v>7780206.7999999998</v>
      </c>
      <c r="BA9" s="10">
        <v>4744646.4000000004</v>
      </c>
      <c r="BB9" s="10">
        <v>7209175.5800000001</v>
      </c>
      <c r="BC9" s="10">
        <v>9198150.3399999999</v>
      </c>
      <c r="BD9" s="10">
        <v>11433268.529999999</v>
      </c>
      <c r="BE9" s="10">
        <v>6176790.79</v>
      </c>
      <c r="BF9" s="10">
        <v>5424392.3799999999</v>
      </c>
      <c r="BG9" s="10">
        <v>3096295.69</v>
      </c>
      <c r="BH9" s="10">
        <v>31437389.690000001</v>
      </c>
      <c r="BI9" s="10">
        <v>6120132.5</v>
      </c>
      <c r="BJ9" s="10">
        <v>4912526.1100000003</v>
      </c>
      <c r="BK9" s="10">
        <v>3978615.9</v>
      </c>
      <c r="BL9" s="10">
        <v>6243525.0999999996</v>
      </c>
      <c r="BM9" s="10">
        <v>3011768.4</v>
      </c>
      <c r="BN9" s="10">
        <v>2365520.34</v>
      </c>
      <c r="BO9" s="10">
        <v>15247081.699999999</v>
      </c>
      <c r="BP9" s="10">
        <v>8745548.2400000002</v>
      </c>
      <c r="BQ9" s="10">
        <v>10516948.130000001</v>
      </c>
      <c r="BR9" s="10">
        <v>0</v>
      </c>
    </row>
    <row r="10" spans="1:70">
      <c r="A10" t="s">
        <v>129</v>
      </c>
      <c r="B10" s="10">
        <v>242686627.52000001</v>
      </c>
      <c r="C10" s="10">
        <v>156890931.40000001</v>
      </c>
      <c r="D10" s="10">
        <v>239223538.55000001</v>
      </c>
      <c r="E10" s="10">
        <v>140904856.88</v>
      </c>
      <c r="F10" s="10">
        <v>125442817.73</v>
      </c>
      <c r="G10" s="10">
        <v>80171834.959999993</v>
      </c>
      <c r="H10" s="10">
        <v>133573079.36</v>
      </c>
      <c r="I10" s="10">
        <v>85347051.469999999</v>
      </c>
      <c r="J10" s="10">
        <v>136725651.16999999</v>
      </c>
      <c r="K10" s="10">
        <v>136529732.49000001</v>
      </c>
      <c r="L10" s="10">
        <v>117630548.84</v>
      </c>
      <c r="M10" s="10">
        <v>80602922.329999998</v>
      </c>
      <c r="N10" s="10">
        <v>35968733.609999999</v>
      </c>
      <c r="O10" s="10">
        <v>40227055.549999997</v>
      </c>
      <c r="P10" s="10">
        <v>69911833.340000004</v>
      </c>
      <c r="Q10" s="10">
        <v>188599147.22999999</v>
      </c>
      <c r="R10" s="10">
        <v>291069085.54000002</v>
      </c>
      <c r="S10" s="10">
        <v>237708837.44</v>
      </c>
      <c r="T10" s="10">
        <v>169802147.38</v>
      </c>
      <c r="U10" s="10">
        <v>264612813.22</v>
      </c>
      <c r="V10" s="10">
        <v>265954783.11000001</v>
      </c>
      <c r="W10" s="10">
        <v>213786369.86000001</v>
      </c>
      <c r="X10" s="10">
        <v>154585967.41999999</v>
      </c>
      <c r="Y10" s="10">
        <v>225182760.05000001</v>
      </c>
      <c r="Z10" s="10">
        <v>176109284.02000001</v>
      </c>
      <c r="AA10" s="10">
        <v>127606199.03</v>
      </c>
      <c r="AB10" s="10">
        <v>39447517.810000002</v>
      </c>
      <c r="AC10" s="10">
        <v>42728425.340000004</v>
      </c>
      <c r="AD10" s="10">
        <v>76696541.090000004</v>
      </c>
      <c r="AE10" s="10">
        <v>49443756.840000004</v>
      </c>
      <c r="AF10" s="10">
        <v>183700</v>
      </c>
      <c r="AG10" s="10">
        <v>1912600</v>
      </c>
      <c r="AH10" s="10">
        <v>1675275</v>
      </c>
      <c r="AI10" s="10">
        <v>1437950</v>
      </c>
      <c r="AJ10" s="10">
        <v>3084625</v>
      </c>
      <c r="AK10" s="10">
        <v>2783550</v>
      </c>
      <c r="AL10" s="10">
        <v>2482475</v>
      </c>
      <c r="AM10" s="10">
        <v>2181400</v>
      </c>
      <c r="AN10" s="10">
        <v>1880325</v>
      </c>
      <c r="AO10" s="10">
        <v>3584400</v>
      </c>
      <c r="AP10" s="10">
        <v>2629400</v>
      </c>
      <c r="AQ10" s="10">
        <v>2629400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</row>
    <row r="11" spans="1:70">
      <c r="A11" t="s">
        <v>130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10118265.609999999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</row>
    <row r="12" spans="1:70">
      <c r="A12" t="s">
        <v>131</v>
      </c>
      <c r="B12" s="10">
        <v>58475466.270000003</v>
      </c>
      <c r="C12" s="10">
        <v>48447614.909999996</v>
      </c>
      <c r="D12" s="10">
        <v>121467406.43000001</v>
      </c>
      <c r="E12" s="10">
        <v>77227565.370000005</v>
      </c>
      <c r="F12" s="10">
        <v>125415641.23</v>
      </c>
      <c r="G12" s="10">
        <v>56402587.5</v>
      </c>
      <c r="H12" s="10">
        <v>64872644.270000003</v>
      </c>
      <c r="I12" s="10">
        <v>48219018.75</v>
      </c>
      <c r="J12" s="10">
        <v>59819918.299999997</v>
      </c>
      <c r="K12" s="10">
        <v>71376458.319999993</v>
      </c>
      <c r="L12" s="10">
        <v>88011586.519999996</v>
      </c>
      <c r="M12" s="10">
        <v>80888920.579999998</v>
      </c>
      <c r="N12" s="10">
        <v>145347841.69999999</v>
      </c>
      <c r="O12" s="10">
        <v>95846344.879999995</v>
      </c>
      <c r="P12" s="10">
        <v>141988112.84999999</v>
      </c>
      <c r="Q12" s="10">
        <v>119574188.81999999</v>
      </c>
      <c r="R12" s="10">
        <v>140614152.96000001</v>
      </c>
      <c r="S12" s="10">
        <v>110283776.33</v>
      </c>
      <c r="T12" s="10">
        <v>111065467.06</v>
      </c>
      <c r="U12" s="10">
        <v>137968684.11000001</v>
      </c>
      <c r="V12" s="10">
        <v>324914133.94</v>
      </c>
      <c r="W12" s="10">
        <v>221192977.41999999</v>
      </c>
      <c r="X12" s="10">
        <v>88895233</v>
      </c>
      <c r="Y12" s="10">
        <v>47287488.890000001</v>
      </c>
      <c r="Z12" s="10">
        <v>79529417.680000007</v>
      </c>
      <c r="AA12" s="10">
        <v>54398087.07</v>
      </c>
      <c r="AB12" s="10">
        <v>101048054.41</v>
      </c>
      <c r="AC12" s="10">
        <v>59101891.630000003</v>
      </c>
      <c r="AD12" s="10">
        <v>65611949.079999998</v>
      </c>
      <c r="AE12" s="10">
        <v>69410894.239999995</v>
      </c>
      <c r="AF12" s="10">
        <v>91758741.030000001</v>
      </c>
      <c r="AG12" s="10">
        <v>96001483.150000006</v>
      </c>
      <c r="AH12" s="10">
        <v>84784967.439999998</v>
      </c>
      <c r="AI12" s="10">
        <v>69470701.019999996</v>
      </c>
      <c r="AJ12" s="10">
        <v>61047011.649999999</v>
      </c>
      <c r="AK12" s="10">
        <v>82601388.170000002</v>
      </c>
      <c r="AL12" s="10">
        <v>89917156.879999995</v>
      </c>
      <c r="AM12" s="10">
        <v>89092773.840000004</v>
      </c>
      <c r="AN12" s="10">
        <v>101816908.19</v>
      </c>
      <c r="AO12" s="10">
        <v>86114253.519999996</v>
      </c>
      <c r="AP12" s="10">
        <v>31805579.48</v>
      </c>
      <c r="AQ12" s="10">
        <v>96256039.760000005</v>
      </c>
      <c r="AR12" s="10">
        <v>69985881.109999999</v>
      </c>
      <c r="AS12" s="10">
        <v>55431205.840000004</v>
      </c>
      <c r="AT12" s="10">
        <v>45825294.799999997</v>
      </c>
      <c r="AU12" s="10">
        <v>59586527.93</v>
      </c>
      <c r="AV12" s="10">
        <v>66722558.240000002</v>
      </c>
      <c r="AW12" s="10">
        <v>51244124.020000003</v>
      </c>
      <c r="AX12" s="10">
        <v>71144267.859999999</v>
      </c>
      <c r="AY12" s="10">
        <v>55856617.920000002</v>
      </c>
      <c r="AZ12" s="10">
        <v>51292931.18</v>
      </c>
      <c r="BA12" s="10">
        <v>29172976.859999999</v>
      </c>
      <c r="BB12" s="10">
        <v>48728659.770000003</v>
      </c>
      <c r="BC12" s="10">
        <v>47259374.100000001</v>
      </c>
      <c r="BD12" s="10">
        <v>49557977.350000001</v>
      </c>
      <c r="BE12" s="10">
        <v>119865787.90000001</v>
      </c>
      <c r="BF12" s="10">
        <v>100482020.20999999</v>
      </c>
      <c r="BG12" s="10">
        <v>39505064.740000002</v>
      </c>
      <c r="BH12" s="10">
        <v>41010360.689999998</v>
      </c>
      <c r="BI12" s="10">
        <v>45195662.659999996</v>
      </c>
      <c r="BJ12" s="10">
        <v>47097802.979999997</v>
      </c>
      <c r="BK12" s="10">
        <v>39558251.939999998</v>
      </c>
      <c r="BL12" s="10">
        <v>28157899.100000001</v>
      </c>
      <c r="BM12" s="10">
        <v>33320706.809999999</v>
      </c>
      <c r="BN12" s="10">
        <v>12899599</v>
      </c>
      <c r="BO12" s="10">
        <v>9792294.1199999992</v>
      </c>
      <c r="BP12" s="10">
        <v>16920539.600000001</v>
      </c>
      <c r="BQ12" s="10">
        <v>43237967.210000001</v>
      </c>
      <c r="BR12" s="10">
        <v>0</v>
      </c>
    </row>
    <row r="13" spans="1:70">
      <c r="A13" t="s">
        <v>132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</row>
    <row r="14" spans="1:70">
      <c r="A14" t="s">
        <v>133</v>
      </c>
      <c r="B14" s="10">
        <v>20871002103.490002</v>
      </c>
      <c r="C14" s="10">
        <v>20850310407.040001</v>
      </c>
      <c r="D14" s="10">
        <v>20760473514.599998</v>
      </c>
      <c r="E14" s="10">
        <v>20622251825.549999</v>
      </c>
      <c r="F14" s="10">
        <v>18782523499.959999</v>
      </c>
      <c r="G14" s="10">
        <v>18444926424.66</v>
      </c>
      <c r="H14" s="10">
        <v>18537817778.200001</v>
      </c>
      <c r="I14" s="10">
        <v>18013297022.700001</v>
      </c>
      <c r="J14" s="10">
        <v>16381165059.870001</v>
      </c>
      <c r="K14" s="10">
        <v>16284072631.219999</v>
      </c>
      <c r="L14" s="10">
        <v>15619209608.459999</v>
      </c>
      <c r="M14" s="10">
        <v>14982364367.85</v>
      </c>
      <c r="N14" s="10">
        <v>13454959038.030001</v>
      </c>
      <c r="O14" s="10">
        <v>13240654522.65</v>
      </c>
      <c r="P14" s="10">
        <v>12697658854.74</v>
      </c>
      <c r="Q14" s="10">
        <v>11836810239.030001</v>
      </c>
      <c r="R14" s="10">
        <v>10686189842.1</v>
      </c>
      <c r="S14" s="10">
        <v>10339021451.719999</v>
      </c>
      <c r="T14" s="10">
        <v>10085273971.49</v>
      </c>
      <c r="U14" s="10">
        <v>9665727593.4200001</v>
      </c>
      <c r="V14" s="10">
        <v>7887354887.0600004</v>
      </c>
      <c r="W14" s="10">
        <v>7773834492.6700001</v>
      </c>
      <c r="X14" s="10">
        <v>7578019306.96</v>
      </c>
      <c r="Y14" s="10">
        <v>7187117552.8599997</v>
      </c>
      <c r="Z14" s="10">
        <v>6232185752.04</v>
      </c>
      <c r="AA14" s="10">
        <v>5915613288.3299999</v>
      </c>
      <c r="AB14" s="10">
        <v>5831734652.0799999</v>
      </c>
      <c r="AC14" s="10">
        <v>5574126083.4200001</v>
      </c>
      <c r="AD14" s="10">
        <v>4791428914.6599998</v>
      </c>
      <c r="AE14" s="10">
        <v>4495328930.5799999</v>
      </c>
      <c r="AF14" s="10">
        <v>4350958976.0299997</v>
      </c>
      <c r="AG14" s="10">
        <v>4192246440.3600001</v>
      </c>
      <c r="AH14" s="10">
        <v>3405325024.77</v>
      </c>
      <c r="AI14" s="10">
        <v>3256220582.6500001</v>
      </c>
      <c r="AJ14" s="10">
        <v>3222966302.98</v>
      </c>
      <c r="AK14" s="10">
        <v>3114567813.3299999</v>
      </c>
      <c r="AL14" s="10">
        <v>2588105778.73</v>
      </c>
      <c r="AM14" s="10">
        <v>2443474684.3400002</v>
      </c>
      <c r="AN14" s="10">
        <v>2388248473.75</v>
      </c>
      <c r="AO14" s="10">
        <v>2304818947.9200001</v>
      </c>
      <c r="AP14" s="10">
        <v>2100782615.3299999</v>
      </c>
      <c r="AQ14" s="10">
        <v>2120021426.0999999</v>
      </c>
      <c r="AR14" s="10">
        <v>2008331715.46</v>
      </c>
      <c r="AS14" s="10">
        <v>1974710283.3499999</v>
      </c>
      <c r="AT14" s="10">
        <v>1883507683.55</v>
      </c>
      <c r="AU14" s="10">
        <v>1855279898.3099999</v>
      </c>
      <c r="AV14" s="10">
        <v>1800160745.1700001</v>
      </c>
      <c r="AW14" s="10">
        <v>1860549625.24</v>
      </c>
      <c r="AX14" s="10">
        <v>1684279669.8499999</v>
      </c>
      <c r="AY14" s="10">
        <v>1668181460.46</v>
      </c>
      <c r="AZ14" s="10">
        <v>1640412382.3499999</v>
      </c>
      <c r="BA14" s="10">
        <v>1693741195.1099999</v>
      </c>
      <c r="BB14" s="10">
        <v>1516497795.8499999</v>
      </c>
      <c r="BC14" s="10">
        <v>1318555940.24</v>
      </c>
      <c r="BD14" s="10">
        <v>1279320067.02</v>
      </c>
      <c r="BE14" s="10">
        <v>1215006621.05</v>
      </c>
      <c r="BF14" s="10">
        <v>1215900105.02</v>
      </c>
      <c r="BG14" s="10">
        <v>1203247938.1400001</v>
      </c>
      <c r="BH14" s="10">
        <v>1045879054.34</v>
      </c>
      <c r="BI14" s="10">
        <v>1076612588.52</v>
      </c>
      <c r="BJ14" s="10">
        <v>1021098759.08</v>
      </c>
      <c r="BK14" s="10">
        <v>1011422579.27</v>
      </c>
      <c r="BL14" s="10">
        <v>819827003.17999995</v>
      </c>
      <c r="BM14" s="10">
        <v>786368826.80999994</v>
      </c>
      <c r="BN14" s="10">
        <v>575547814.27999997</v>
      </c>
      <c r="BO14" s="10">
        <v>512332818.61000001</v>
      </c>
      <c r="BP14" s="10">
        <v>423401102.17000002</v>
      </c>
      <c r="BQ14" s="10">
        <v>316665851.52999997</v>
      </c>
      <c r="BR14" s="10">
        <v>0</v>
      </c>
    </row>
    <row r="15" spans="1:70">
      <c r="A15" t="s">
        <v>134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</row>
    <row r="16" spans="1:70">
      <c r="A16" t="s">
        <v>135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17000000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</row>
    <row r="17" spans="1:70">
      <c r="A17" t="s">
        <v>136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2089751.57</v>
      </c>
      <c r="AU17" s="10">
        <v>4163123.12</v>
      </c>
      <c r="AV17" s="10">
        <v>5885590.2699999996</v>
      </c>
      <c r="AW17" s="10">
        <v>0</v>
      </c>
      <c r="AX17" s="10">
        <v>7270021.3700000001</v>
      </c>
      <c r="AY17" s="10">
        <v>3257900.75</v>
      </c>
      <c r="AZ17" s="10">
        <v>3505403.97</v>
      </c>
      <c r="BA17" s="10">
        <v>0</v>
      </c>
      <c r="BB17" s="10">
        <v>2013868.9</v>
      </c>
      <c r="BC17" s="10">
        <v>2681671.19</v>
      </c>
      <c r="BD17" s="10">
        <v>3789523.18</v>
      </c>
      <c r="BE17" s="10">
        <v>651300.25</v>
      </c>
      <c r="BF17" s="10">
        <v>5092386.79</v>
      </c>
      <c r="BG17" s="10">
        <v>9154338.6400000006</v>
      </c>
      <c r="BH17" s="10">
        <v>13216290.49</v>
      </c>
      <c r="BI17" s="10">
        <v>0</v>
      </c>
      <c r="BJ17" s="10">
        <v>2059993.64</v>
      </c>
      <c r="BK17" s="10">
        <v>6241285.9699999997</v>
      </c>
      <c r="BL17" s="10">
        <v>12574337.18</v>
      </c>
      <c r="BM17" s="10">
        <v>23350685.800000001</v>
      </c>
      <c r="BN17" s="10">
        <v>0</v>
      </c>
      <c r="BO17" s="10">
        <v>19421406.149999999</v>
      </c>
      <c r="BP17" s="10">
        <v>3757667.96</v>
      </c>
      <c r="BQ17" s="10">
        <v>0</v>
      </c>
      <c r="BR17" s="10">
        <v>0</v>
      </c>
    </row>
    <row r="18" spans="1:70">
      <c r="A18" t="s">
        <v>137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445348.75</v>
      </c>
      <c r="AY18" s="10">
        <v>424850.36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22679.23</v>
      </c>
      <c r="BQ18" s="10">
        <v>0</v>
      </c>
      <c r="BR18" s="10">
        <v>0</v>
      </c>
    </row>
    <row r="19" spans="1:70">
      <c r="A19" t="s">
        <v>138</v>
      </c>
      <c r="B19" s="10">
        <v>35530822.630000003</v>
      </c>
      <c r="C19" s="10">
        <v>24148290.789999999</v>
      </c>
      <c r="D19" s="10">
        <v>21954140.710000001</v>
      </c>
      <c r="E19" s="10">
        <v>231474570.63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25315.56</v>
      </c>
      <c r="AM19" s="10">
        <v>25315.56</v>
      </c>
      <c r="AN19" s="10">
        <v>41315.56</v>
      </c>
      <c r="AO19" s="10">
        <v>0</v>
      </c>
      <c r="AP19" s="10">
        <v>7770.58</v>
      </c>
      <c r="AQ19" s="10">
        <v>3604.78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10897017</v>
      </c>
      <c r="BO19" s="10">
        <v>0</v>
      </c>
      <c r="BP19" s="10">
        <v>0</v>
      </c>
      <c r="BQ19" s="10">
        <v>0</v>
      </c>
      <c r="BR19" s="10">
        <v>0</v>
      </c>
    </row>
    <row r="20" spans="1:70">
      <c r="A20" t="s">
        <v>139</v>
      </c>
      <c r="B20" s="10">
        <v>104803294790.2</v>
      </c>
      <c r="C20" s="10">
        <v>97397790192.990005</v>
      </c>
      <c r="D20" s="10">
        <v>95889423066.320007</v>
      </c>
      <c r="E20" s="10">
        <v>90180548805.570007</v>
      </c>
      <c r="F20" s="10">
        <v>83502886329.660004</v>
      </c>
      <c r="G20" s="10">
        <v>73953467032.619995</v>
      </c>
      <c r="H20" s="10">
        <v>69113796117.440002</v>
      </c>
      <c r="I20" s="10">
        <v>65004514023.589996</v>
      </c>
      <c r="J20" s="10">
        <v>57297442072.050003</v>
      </c>
      <c r="K20" s="10">
        <v>53239969447.099998</v>
      </c>
      <c r="L20" s="10">
        <v>50453374101.900002</v>
      </c>
      <c r="M20" s="10">
        <v>47570929074.32</v>
      </c>
      <c r="N20" s="10">
        <v>41990759893.730003</v>
      </c>
      <c r="O20" s="10">
        <v>38638356940.879997</v>
      </c>
      <c r="P20" s="10">
        <v>40446017445.099998</v>
      </c>
      <c r="Q20" s="10">
        <v>41931583434.230003</v>
      </c>
      <c r="R20" s="10">
        <v>39840847167.610001</v>
      </c>
      <c r="S20" s="10">
        <v>34682977069.900002</v>
      </c>
      <c r="T20" s="10">
        <v>36856097770.57</v>
      </c>
      <c r="U20" s="10">
        <v>36225076613.879997</v>
      </c>
      <c r="V20" s="10">
        <v>31485892751.189999</v>
      </c>
      <c r="W20" s="10">
        <v>32424279454.540001</v>
      </c>
      <c r="X20" s="10">
        <v>29232627192.330002</v>
      </c>
      <c r="Y20" s="10">
        <v>27829632180.43</v>
      </c>
      <c r="Z20" s="10">
        <v>26986665072.700001</v>
      </c>
      <c r="AA20" s="10">
        <v>25469484324.529999</v>
      </c>
      <c r="AB20" s="10">
        <v>23756789428.889999</v>
      </c>
      <c r="AC20" s="10">
        <v>20300284828.310001</v>
      </c>
      <c r="AD20" s="10">
        <v>17955706671.400002</v>
      </c>
      <c r="AE20" s="10">
        <v>16583306141.049999</v>
      </c>
      <c r="AF20" s="10">
        <v>16206601570.33</v>
      </c>
      <c r="AG20" s="10">
        <v>15655585363.389999</v>
      </c>
      <c r="AH20" s="10">
        <v>12844858380.950001</v>
      </c>
      <c r="AI20" s="10">
        <v>12216812426.32</v>
      </c>
      <c r="AJ20" s="10">
        <v>11896825659.309999</v>
      </c>
      <c r="AK20" s="10">
        <v>12240750882.84</v>
      </c>
      <c r="AL20" s="10">
        <v>9250435650.3600006</v>
      </c>
      <c r="AM20" s="10">
        <v>7750016910.2700005</v>
      </c>
      <c r="AN20" s="10">
        <v>8218538025.9499998</v>
      </c>
      <c r="AO20" s="10">
        <v>7271502903.4200001</v>
      </c>
      <c r="AP20" s="10">
        <v>7108059526.75</v>
      </c>
      <c r="AQ20" s="10">
        <v>7273932144.6199999</v>
      </c>
      <c r="AR20" s="10">
        <v>7038019760.2600002</v>
      </c>
      <c r="AS20" s="10">
        <v>6750574240.29</v>
      </c>
      <c r="AT20" s="10">
        <v>6356038829.3999996</v>
      </c>
      <c r="AU20" s="10">
        <v>5536434622.6300001</v>
      </c>
      <c r="AV20" s="10">
        <v>5987397832.8100004</v>
      </c>
      <c r="AW20" s="10">
        <v>6019520287.6099997</v>
      </c>
      <c r="AX20" s="10">
        <v>5172403302.9899998</v>
      </c>
      <c r="AY20" s="10">
        <v>4948039397.9300003</v>
      </c>
      <c r="AZ20" s="10">
        <v>4886452213.8400002</v>
      </c>
      <c r="BA20" s="10">
        <v>4772638507.8000002</v>
      </c>
      <c r="BB20" s="10">
        <v>4165118321.1100001</v>
      </c>
      <c r="BC20" s="10">
        <v>3642312515.9299998</v>
      </c>
      <c r="BD20" s="10">
        <v>3522858526.96</v>
      </c>
      <c r="BE20" s="10">
        <v>3756029033.9200001</v>
      </c>
      <c r="BF20" s="10">
        <v>3300783898.4000001</v>
      </c>
      <c r="BG20" s="10">
        <v>2847576931.6199999</v>
      </c>
      <c r="BH20" s="10">
        <v>2883969536.4000001</v>
      </c>
      <c r="BI20" s="10">
        <v>2991256359.4699998</v>
      </c>
      <c r="BJ20" s="10">
        <v>2836827322.8200002</v>
      </c>
      <c r="BK20" s="10">
        <v>2672385302.02</v>
      </c>
      <c r="BL20" s="10">
        <v>2838318928.77</v>
      </c>
      <c r="BM20" s="10">
        <v>2869925290.6999998</v>
      </c>
      <c r="BN20" s="10">
        <v>1011105602.63</v>
      </c>
      <c r="BO20" s="10">
        <v>1069969911.36</v>
      </c>
      <c r="BP20" s="10">
        <v>720079304.47000003</v>
      </c>
      <c r="BQ20" s="10">
        <v>520907601.75</v>
      </c>
      <c r="BR20" s="10">
        <v>0</v>
      </c>
    </row>
    <row r="21" spans="1:70">
      <c r="A21" t="s">
        <v>140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</row>
    <row r="22" spans="1:70">
      <c r="A22" t="s">
        <v>141</v>
      </c>
      <c r="B22" s="10">
        <v>29250000</v>
      </c>
      <c r="C22" s="10">
        <v>224250000</v>
      </c>
      <c r="D22" s="10">
        <v>242701246.38</v>
      </c>
      <c r="E22" s="10">
        <v>60833517.030000001</v>
      </c>
      <c r="F22" s="10">
        <v>169872720.99000001</v>
      </c>
      <c r="G22" s="10">
        <v>171638439.88999999</v>
      </c>
      <c r="H22" s="10">
        <v>136500000</v>
      </c>
      <c r="I22" s="10">
        <v>19500000</v>
      </c>
      <c r="J22" s="10">
        <v>21060000</v>
      </c>
      <c r="K22" s="10">
        <v>30810000</v>
      </c>
      <c r="L22" s="10">
        <v>30810000</v>
      </c>
      <c r="M22" s="10">
        <v>30810000</v>
      </c>
      <c r="N22" s="10">
        <v>9850000</v>
      </c>
      <c r="O22" s="10">
        <v>0</v>
      </c>
      <c r="P22" s="10">
        <v>16596250</v>
      </c>
      <c r="Q22" s="10">
        <v>90527500</v>
      </c>
      <c r="R22" s="10">
        <v>24750000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</row>
    <row r="23" spans="1:70">
      <c r="A23" t="s">
        <v>142</v>
      </c>
      <c r="B23" s="10">
        <v>29000000</v>
      </c>
      <c r="C23" s="10">
        <v>29000000</v>
      </c>
      <c r="D23" s="10">
        <v>29000000</v>
      </c>
      <c r="E23" s="10">
        <v>29000000</v>
      </c>
      <c r="F23" s="10">
        <v>29000000</v>
      </c>
      <c r="G23" s="10">
        <v>29000000</v>
      </c>
      <c r="H23" s="10">
        <v>29000000</v>
      </c>
      <c r="I23" s="10">
        <v>29000000</v>
      </c>
      <c r="J23" s="10">
        <v>29000000</v>
      </c>
      <c r="K23" s="10">
        <v>29000000</v>
      </c>
      <c r="L23" s="10">
        <v>4000000</v>
      </c>
      <c r="M23" s="10">
        <v>4000000</v>
      </c>
      <c r="N23" s="10">
        <v>4000000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</row>
    <row r="24" spans="1:70">
      <c r="A24" t="s">
        <v>143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50000000</v>
      </c>
      <c r="L24" s="10">
        <v>50000000</v>
      </c>
      <c r="M24" s="10">
        <v>60000000</v>
      </c>
      <c r="N24" s="10">
        <v>65000000</v>
      </c>
      <c r="O24" s="10">
        <v>65000000</v>
      </c>
      <c r="P24" s="10">
        <v>50000000</v>
      </c>
      <c r="Q24" s="10">
        <v>50000000</v>
      </c>
      <c r="R24" s="10">
        <v>50000000</v>
      </c>
      <c r="S24" s="10">
        <v>50000000</v>
      </c>
      <c r="T24" s="10">
        <v>50000000</v>
      </c>
      <c r="U24" s="10">
        <v>50000000</v>
      </c>
      <c r="V24" s="10">
        <v>50000000</v>
      </c>
      <c r="W24" s="10">
        <v>50000000</v>
      </c>
      <c r="X24" s="10">
        <v>50000000</v>
      </c>
      <c r="Y24" s="10">
        <v>60000000</v>
      </c>
      <c r="Z24" s="10">
        <v>60000000</v>
      </c>
      <c r="AA24" s="10">
        <v>60000000</v>
      </c>
      <c r="AB24" s="10">
        <v>60000000</v>
      </c>
      <c r="AC24" s="10">
        <v>60000000</v>
      </c>
      <c r="AD24" s="10">
        <v>60000000</v>
      </c>
      <c r="AE24" s="10">
        <v>60000000</v>
      </c>
      <c r="AF24" s="10">
        <v>10000000</v>
      </c>
      <c r="AG24" s="10">
        <v>10000000</v>
      </c>
      <c r="AH24" s="10">
        <v>27000000</v>
      </c>
      <c r="AI24" s="10">
        <v>27000000</v>
      </c>
      <c r="AJ24" s="10">
        <v>52000000</v>
      </c>
      <c r="AK24" s="10">
        <v>42000000</v>
      </c>
      <c r="AL24" s="10">
        <v>37000000</v>
      </c>
      <c r="AM24" s="10">
        <v>37000000</v>
      </c>
      <c r="AN24" s="10">
        <v>37000000</v>
      </c>
      <c r="AO24" s="10">
        <v>58000000</v>
      </c>
      <c r="AP24" s="10">
        <v>58000000</v>
      </c>
      <c r="AQ24" s="10">
        <v>58000000</v>
      </c>
      <c r="AR24" s="10">
        <v>59769450</v>
      </c>
      <c r="AS24" s="10">
        <v>42769450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</row>
    <row r="25" spans="1:70">
      <c r="A25" t="s">
        <v>144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</row>
    <row r="26" spans="1:70">
      <c r="A26" t="s">
        <v>145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2750000</v>
      </c>
      <c r="O26" s="10">
        <v>6750000</v>
      </c>
      <c r="P26" s="10">
        <v>6750000</v>
      </c>
      <c r="Q26" s="10">
        <v>4000000</v>
      </c>
      <c r="R26" s="10">
        <v>4000000</v>
      </c>
      <c r="S26" s="10">
        <v>4000000</v>
      </c>
      <c r="T26" s="10">
        <v>4000000</v>
      </c>
      <c r="U26" s="10">
        <v>4000000</v>
      </c>
      <c r="V26" s="10">
        <v>4000000</v>
      </c>
      <c r="W26" s="10">
        <v>4000000</v>
      </c>
      <c r="X26" s="10">
        <v>4000000</v>
      </c>
      <c r="Y26" s="10">
        <v>4000000</v>
      </c>
      <c r="Z26" s="10">
        <v>4000000</v>
      </c>
      <c r="AA26" s="10">
        <v>4000000</v>
      </c>
      <c r="AB26" s="10">
        <v>4000000</v>
      </c>
      <c r="AC26" s="10">
        <v>4000000</v>
      </c>
      <c r="AD26" s="10">
        <v>4000000</v>
      </c>
      <c r="AE26" s="10">
        <v>4000000</v>
      </c>
      <c r="AF26" s="10">
        <v>4000000</v>
      </c>
      <c r="AG26" s="10">
        <v>4000000</v>
      </c>
      <c r="AH26" s="10">
        <v>4000000</v>
      </c>
      <c r="AI26" s="10">
        <v>4000000</v>
      </c>
      <c r="AJ26" s="10">
        <v>4000000</v>
      </c>
      <c r="AK26" s="10">
        <v>4000000</v>
      </c>
      <c r="AL26" s="10">
        <v>4000000</v>
      </c>
      <c r="AM26" s="10">
        <v>4000000</v>
      </c>
      <c r="AN26" s="10">
        <v>4000000</v>
      </c>
      <c r="AO26" s="10">
        <v>4000000</v>
      </c>
      <c r="AP26" s="10">
        <v>4000000</v>
      </c>
      <c r="AQ26" s="10">
        <v>4000000</v>
      </c>
      <c r="AR26" s="10">
        <v>4000000</v>
      </c>
      <c r="AS26" s="10">
        <v>11486496.289999999</v>
      </c>
      <c r="AT26" s="10">
        <v>10767452.710000001</v>
      </c>
      <c r="AU26" s="10">
        <v>10387452.699999999</v>
      </c>
      <c r="AV26" s="10">
        <v>10243017.33</v>
      </c>
      <c r="AW26" s="10">
        <v>10243017.33</v>
      </c>
      <c r="AX26" s="10">
        <v>9838781.9600000009</v>
      </c>
      <c r="AY26" s="10">
        <v>9838781.9600000009</v>
      </c>
      <c r="AZ26" s="10">
        <v>9627405.1300000008</v>
      </c>
      <c r="BA26" s="10">
        <v>9815063.7300000004</v>
      </c>
      <c r="BB26" s="10">
        <v>4000000</v>
      </c>
      <c r="BC26" s="10">
        <v>4000000</v>
      </c>
      <c r="BD26" s="10">
        <v>4000000</v>
      </c>
      <c r="BE26" s="10">
        <v>4000000</v>
      </c>
      <c r="BF26" s="10">
        <v>4000000</v>
      </c>
      <c r="BG26" s="10">
        <v>4000000</v>
      </c>
      <c r="BH26" s="10">
        <v>4000000</v>
      </c>
      <c r="BI26" s="10">
        <v>4000000</v>
      </c>
      <c r="BJ26" s="10">
        <v>4000000</v>
      </c>
      <c r="BK26" s="10">
        <v>4000000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</row>
    <row r="27" spans="1:70">
      <c r="A27" t="s">
        <v>146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</row>
    <row r="28" spans="1:70">
      <c r="A28" t="s">
        <v>147</v>
      </c>
      <c r="B28" s="10">
        <v>14851183242.59</v>
      </c>
      <c r="C28" s="10">
        <v>15035615814.030001</v>
      </c>
      <c r="D28" s="10">
        <v>15197596002.52</v>
      </c>
      <c r="E28" s="10">
        <v>14453177439.34</v>
      </c>
      <c r="F28" s="10">
        <v>11249022570.67</v>
      </c>
      <c r="G28" s="10">
        <v>11357781630.610001</v>
      </c>
      <c r="H28" s="10">
        <v>11485879409.51</v>
      </c>
      <c r="I28" s="10">
        <v>11415953189.719999</v>
      </c>
      <c r="J28" s="10">
        <v>10891205189.389999</v>
      </c>
      <c r="K28" s="10">
        <v>10376471791.040001</v>
      </c>
      <c r="L28" s="10">
        <v>10438792823.57</v>
      </c>
      <c r="M28" s="10">
        <v>10375757771.59</v>
      </c>
      <c r="N28" s="10">
        <v>9003408249.8600006</v>
      </c>
      <c r="O28" s="10">
        <v>8917854215.1200008</v>
      </c>
      <c r="P28" s="10">
        <v>8768403594.1200008</v>
      </c>
      <c r="Q28" s="10">
        <v>8523256960.1099997</v>
      </c>
      <c r="R28" s="10">
        <v>7165765337.1599998</v>
      </c>
      <c r="S28" s="10">
        <v>7047000358.4200001</v>
      </c>
      <c r="T28" s="10">
        <v>6984113447.4300003</v>
      </c>
      <c r="U28" s="10">
        <v>6807333231.0900002</v>
      </c>
      <c r="V28" s="10">
        <v>5838430602.0500002</v>
      </c>
      <c r="W28" s="10">
        <v>5698697789.6599998</v>
      </c>
      <c r="X28" s="10">
        <v>5489821741.0500002</v>
      </c>
      <c r="Y28" s="10">
        <v>5426012349.6099997</v>
      </c>
      <c r="Z28" s="10">
        <v>4703882763.3800001</v>
      </c>
      <c r="AA28" s="10">
        <v>4268588603.6599998</v>
      </c>
      <c r="AB28" s="10">
        <v>4218762324.3099999</v>
      </c>
      <c r="AC28" s="10">
        <v>4191851111.9699998</v>
      </c>
      <c r="AD28" s="10">
        <v>3754654673.6300001</v>
      </c>
      <c r="AE28" s="10">
        <v>3731222904.1199999</v>
      </c>
      <c r="AF28" s="10">
        <v>3223949711.6999998</v>
      </c>
      <c r="AG28" s="10">
        <v>3168725156.29</v>
      </c>
      <c r="AH28" s="10">
        <v>2420836029.8800001</v>
      </c>
      <c r="AI28" s="10">
        <v>2285285756.6500001</v>
      </c>
      <c r="AJ28" s="10">
        <v>2247266187.8000002</v>
      </c>
      <c r="AK28" s="10">
        <v>2190171911.8899999</v>
      </c>
      <c r="AL28" s="10">
        <v>1962510407.21</v>
      </c>
      <c r="AM28" s="10">
        <v>1946505196.6800001</v>
      </c>
      <c r="AN28" s="10">
        <v>1869754284.6900001</v>
      </c>
      <c r="AO28" s="10">
        <v>1826983364.3599999</v>
      </c>
      <c r="AP28" s="10">
        <v>1435078966.8699999</v>
      </c>
      <c r="AQ28" s="10">
        <v>1431615294.0599999</v>
      </c>
      <c r="AR28" s="10">
        <v>1317726492.5999999</v>
      </c>
      <c r="AS28" s="10">
        <v>1222202623.3</v>
      </c>
      <c r="AT28" s="10">
        <v>1018003338.64</v>
      </c>
      <c r="AU28" s="10">
        <v>1030973670.35</v>
      </c>
      <c r="AV28" s="10">
        <v>1019701197.52</v>
      </c>
      <c r="AW28" s="10">
        <v>981382035.5</v>
      </c>
      <c r="AX28" s="10">
        <v>744749773.96000004</v>
      </c>
      <c r="AY28" s="10">
        <v>704628195.86000001</v>
      </c>
      <c r="AZ28" s="10">
        <v>718609837.72000003</v>
      </c>
      <c r="BA28" s="10">
        <v>715522677.41999996</v>
      </c>
      <c r="BB28" s="10">
        <v>650253702.34000003</v>
      </c>
      <c r="BC28" s="10">
        <v>651728272.55999994</v>
      </c>
      <c r="BD28" s="10">
        <v>644654996.78999996</v>
      </c>
      <c r="BE28" s="10">
        <v>440813831.82999998</v>
      </c>
      <c r="BF28" s="10">
        <v>436222878.81</v>
      </c>
      <c r="BG28" s="10">
        <v>445032882.23000002</v>
      </c>
      <c r="BH28" s="10">
        <v>453833289.69999999</v>
      </c>
      <c r="BI28" s="10">
        <v>470098687.69</v>
      </c>
      <c r="BJ28" s="10">
        <v>447507946.97000003</v>
      </c>
      <c r="BK28" s="10">
        <v>452942750.17000002</v>
      </c>
      <c r="BL28" s="10">
        <v>409558858.49000001</v>
      </c>
      <c r="BM28" s="10">
        <v>414239895.73000002</v>
      </c>
      <c r="BN28" s="10">
        <v>177835639.06999999</v>
      </c>
      <c r="BO28" s="10">
        <v>180320389.09</v>
      </c>
      <c r="BP28" s="10">
        <v>184936865.90000001</v>
      </c>
      <c r="BQ28" s="10">
        <v>213023445.34999999</v>
      </c>
      <c r="BR28" s="10">
        <v>0</v>
      </c>
    </row>
    <row r="29" spans="1:70">
      <c r="A29" t="s">
        <v>148</v>
      </c>
      <c r="B29" s="10">
        <v>2393782465.27</v>
      </c>
      <c r="C29" s="10">
        <v>2191037165.1399999</v>
      </c>
      <c r="D29" s="10">
        <v>2082556665.8099999</v>
      </c>
      <c r="E29" s="10">
        <v>2745579995.6799998</v>
      </c>
      <c r="F29" s="10">
        <v>5549022900.4099998</v>
      </c>
      <c r="G29" s="10">
        <v>5372267342.3199997</v>
      </c>
      <c r="H29" s="10">
        <v>5277866268.5</v>
      </c>
      <c r="I29" s="10">
        <v>4895150716.5100002</v>
      </c>
      <c r="J29" s="10">
        <v>4746332449.54</v>
      </c>
      <c r="K29" s="10">
        <v>4446804735.3000002</v>
      </c>
      <c r="L29" s="10">
        <v>3480877159.5599999</v>
      </c>
      <c r="M29" s="10">
        <v>3421774448.02</v>
      </c>
      <c r="N29" s="10">
        <v>3051662444.0799999</v>
      </c>
      <c r="O29" s="10">
        <v>2921492322.6199999</v>
      </c>
      <c r="P29" s="10">
        <v>2241975574.71</v>
      </c>
      <c r="Q29" s="10">
        <v>456328292.13</v>
      </c>
      <c r="R29" s="10">
        <v>508298207</v>
      </c>
      <c r="S29" s="10">
        <v>500633130.51999998</v>
      </c>
      <c r="T29" s="10">
        <v>477739596.64999998</v>
      </c>
      <c r="U29" s="10">
        <v>392672323.94999999</v>
      </c>
      <c r="V29" s="10">
        <v>357930180.56</v>
      </c>
      <c r="W29" s="10">
        <v>331098306.48000002</v>
      </c>
      <c r="X29" s="10">
        <v>316656062.33999997</v>
      </c>
      <c r="Y29" s="10">
        <v>251446326.43000001</v>
      </c>
      <c r="Z29" s="10">
        <v>293041026.48000002</v>
      </c>
      <c r="AA29" s="10">
        <v>341962470.41000003</v>
      </c>
      <c r="AB29" s="10">
        <v>312224946.49000001</v>
      </c>
      <c r="AC29" s="10">
        <v>263458445.09999999</v>
      </c>
      <c r="AD29" s="10">
        <v>267427752.28999999</v>
      </c>
      <c r="AE29" s="10">
        <v>277632965.17000002</v>
      </c>
      <c r="AF29" s="10">
        <v>270471465.01999998</v>
      </c>
      <c r="AG29" s="10">
        <v>193956334.38999999</v>
      </c>
      <c r="AH29" s="10">
        <v>811284321.63999999</v>
      </c>
      <c r="AI29" s="10">
        <v>819595902.76999998</v>
      </c>
      <c r="AJ29" s="10">
        <v>673327881.15999997</v>
      </c>
      <c r="AK29" s="10">
        <v>582860996.70000005</v>
      </c>
      <c r="AL29" s="10">
        <v>1314894893.3699999</v>
      </c>
      <c r="AM29" s="10">
        <v>1197950992.3099999</v>
      </c>
      <c r="AN29" s="10">
        <v>1043792132.59</v>
      </c>
      <c r="AO29" s="10">
        <v>994453165.72000003</v>
      </c>
      <c r="AP29" s="10">
        <v>1207096398.72</v>
      </c>
      <c r="AQ29" s="10">
        <v>1074086870.21</v>
      </c>
      <c r="AR29" s="10">
        <v>1073527595.41</v>
      </c>
      <c r="AS29" s="10">
        <v>1179883698.02</v>
      </c>
      <c r="AT29" s="10">
        <v>1208808413.78</v>
      </c>
      <c r="AU29" s="10">
        <v>1042924430.55</v>
      </c>
      <c r="AV29" s="10">
        <v>943031845.61000001</v>
      </c>
      <c r="AW29" s="10">
        <v>909890443.63</v>
      </c>
      <c r="AX29" s="10">
        <v>974012522.40999997</v>
      </c>
      <c r="AY29" s="10">
        <v>929053724.75</v>
      </c>
      <c r="AZ29" s="10">
        <v>849288036.95000005</v>
      </c>
      <c r="BA29" s="10">
        <v>776047024.87</v>
      </c>
      <c r="BB29" s="10">
        <v>733384383.46000004</v>
      </c>
      <c r="BC29" s="10">
        <v>675660352.38999999</v>
      </c>
      <c r="BD29" s="10">
        <v>637644833.05999994</v>
      </c>
      <c r="BE29" s="10">
        <v>721652502.10000002</v>
      </c>
      <c r="BF29" s="10">
        <v>697188715.02999997</v>
      </c>
      <c r="BG29" s="10">
        <v>617706515.54999995</v>
      </c>
      <c r="BH29" s="10">
        <v>536385132.75</v>
      </c>
      <c r="BI29" s="10">
        <v>442903497.32999998</v>
      </c>
      <c r="BJ29" s="10">
        <v>389477083.10000002</v>
      </c>
      <c r="BK29" s="10">
        <v>273149253.39999998</v>
      </c>
      <c r="BL29" s="10">
        <v>184181516.44999999</v>
      </c>
      <c r="BM29" s="10">
        <v>162048784.65000001</v>
      </c>
      <c r="BN29" s="10">
        <v>0</v>
      </c>
      <c r="BO29" s="10">
        <v>5776136.6299999999</v>
      </c>
      <c r="BP29" s="10">
        <v>25290</v>
      </c>
      <c r="BQ29" s="10">
        <v>0</v>
      </c>
      <c r="BR29" s="10">
        <v>0</v>
      </c>
    </row>
    <row r="30" spans="1:70">
      <c r="A30" t="s">
        <v>149</v>
      </c>
      <c r="B30" s="10">
        <v>0</v>
      </c>
      <c r="C30" s="10">
        <v>0</v>
      </c>
      <c r="D30" s="10">
        <v>0</v>
      </c>
      <c r="E30" s="10">
        <v>0</v>
      </c>
      <c r="F30" s="10">
        <v>269870.82</v>
      </c>
      <c r="G30" s="10">
        <v>269870.82</v>
      </c>
      <c r="H30" s="10">
        <v>260855.92</v>
      </c>
      <c r="I30" s="10">
        <v>260855.92</v>
      </c>
      <c r="J30" s="10">
        <v>260855.92</v>
      </c>
      <c r="K30" s="10">
        <v>260855.92</v>
      </c>
      <c r="L30" s="10">
        <v>260855.92</v>
      </c>
      <c r="M30" s="10">
        <v>260855.92</v>
      </c>
      <c r="N30" s="10">
        <v>1224766.1499999999</v>
      </c>
      <c r="O30" s="10">
        <v>1224766.1499999999</v>
      </c>
      <c r="P30" s="10">
        <v>1725110.46</v>
      </c>
      <c r="Q30" s="10">
        <v>1725110.46</v>
      </c>
      <c r="R30" s="10">
        <v>2676942.59</v>
      </c>
      <c r="S30" s="10">
        <v>2676942.59</v>
      </c>
      <c r="T30" s="10">
        <v>2676942.59</v>
      </c>
      <c r="U30" s="10">
        <v>2676942.59</v>
      </c>
      <c r="V30" s="10">
        <v>2090289.79</v>
      </c>
      <c r="W30" s="10">
        <v>2090289.79</v>
      </c>
      <c r="X30" s="10">
        <v>17063746.940000001</v>
      </c>
      <c r="Y30" s="10">
        <v>4918294.6399999997</v>
      </c>
      <c r="Z30" s="10">
        <v>9193593.0800000001</v>
      </c>
      <c r="AA30" s="10">
        <v>8457630.3800000008</v>
      </c>
      <c r="AB30" s="10">
        <v>13359601.050000001</v>
      </c>
      <c r="AC30" s="10">
        <v>18528802.460000001</v>
      </c>
      <c r="AD30" s="10">
        <v>29764562.68</v>
      </c>
      <c r="AE30" s="10">
        <v>28534493.73</v>
      </c>
      <c r="AF30" s="10">
        <v>34573760.18</v>
      </c>
      <c r="AG30" s="10">
        <v>24915041.530000001</v>
      </c>
      <c r="AH30" s="10">
        <v>58066303.960000001</v>
      </c>
      <c r="AI30" s="10">
        <v>48241829.450000003</v>
      </c>
      <c r="AJ30" s="10">
        <v>76212689.329999998</v>
      </c>
      <c r="AK30" s="10">
        <v>62368950.890000001</v>
      </c>
      <c r="AL30" s="10">
        <v>86238644.049999997</v>
      </c>
      <c r="AM30" s="10">
        <v>20951751.210000001</v>
      </c>
      <c r="AN30" s="10">
        <v>49874189.399999999</v>
      </c>
      <c r="AO30" s="10">
        <v>11931427.66</v>
      </c>
      <c r="AP30" s="10">
        <v>54999356.25</v>
      </c>
      <c r="AQ30" s="10">
        <v>23465945.789999999</v>
      </c>
      <c r="AR30" s="10">
        <v>15359723.76</v>
      </c>
      <c r="AS30" s="10">
        <v>47444702.520000003</v>
      </c>
      <c r="AT30" s="10">
        <v>81705306.280000001</v>
      </c>
      <c r="AU30" s="10">
        <v>49288779.32</v>
      </c>
      <c r="AV30" s="10">
        <v>27434478.82</v>
      </c>
      <c r="AW30" s="10">
        <v>19108529.359999999</v>
      </c>
      <c r="AX30" s="10">
        <v>60212675.93</v>
      </c>
      <c r="AY30" s="10">
        <v>45532107.710000001</v>
      </c>
      <c r="AZ30" s="10">
        <v>20256459.23</v>
      </c>
      <c r="BA30" s="10">
        <v>10991173.91</v>
      </c>
      <c r="BB30" s="10">
        <v>20644752.170000002</v>
      </c>
      <c r="BC30" s="10">
        <v>17528075.469999999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</row>
    <row r="31" spans="1:70">
      <c r="A31" t="s">
        <v>150</v>
      </c>
      <c r="B31" s="10">
        <v>0</v>
      </c>
      <c r="C31" s="10">
        <v>0</v>
      </c>
      <c r="D31" s="10">
        <v>0</v>
      </c>
      <c r="E31" s="10">
        <v>0</v>
      </c>
      <c r="F31" s="10">
        <v>1792981.04</v>
      </c>
      <c r="G31" s="10">
        <v>1792981.04</v>
      </c>
      <c r="H31" s="10">
        <v>1792981.04</v>
      </c>
      <c r="I31" s="10">
        <v>682594.04</v>
      </c>
      <c r="J31" s="10">
        <v>682594.04</v>
      </c>
      <c r="K31" s="10">
        <v>0</v>
      </c>
      <c r="L31" s="10">
        <v>0</v>
      </c>
      <c r="M31" s="10">
        <v>0</v>
      </c>
      <c r="N31" s="10">
        <v>836478.5</v>
      </c>
      <c r="O31" s="10">
        <v>260558.5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494592.89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164317.37</v>
      </c>
      <c r="AO31" s="10">
        <v>0</v>
      </c>
      <c r="AP31" s="10">
        <v>456645.64</v>
      </c>
      <c r="AQ31" s="10">
        <v>0</v>
      </c>
      <c r="AR31" s="10">
        <v>35490</v>
      </c>
      <c r="AS31" s="10">
        <v>0</v>
      </c>
      <c r="AT31" s="10">
        <v>140744.01</v>
      </c>
      <c r="AU31" s="10">
        <v>122591.96</v>
      </c>
      <c r="AV31" s="10">
        <v>15676.67</v>
      </c>
      <c r="AW31" s="10">
        <v>0</v>
      </c>
      <c r="AX31" s="10">
        <v>13066.32</v>
      </c>
      <c r="AY31" s="10">
        <v>0</v>
      </c>
      <c r="AZ31" s="10">
        <v>0</v>
      </c>
      <c r="BA31" s="10">
        <v>0</v>
      </c>
      <c r="BB31" s="10">
        <v>144779.23000000001</v>
      </c>
      <c r="BC31" s="10">
        <v>144779.23000000001</v>
      </c>
      <c r="BD31" s="10">
        <v>117684.47</v>
      </c>
      <c r="BE31" s="10">
        <v>6730</v>
      </c>
      <c r="BF31" s="10">
        <v>6730</v>
      </c>
      <c r="BG31" s="10">
        <v>6730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449993.46</v>
      </c>
      <c r="BP31" s="10">
        <v>0</v>
      </c>
      <c r="BQ31" s="10">
        <v>0</v>
      </c>
      <c r="BR31" s="10">
        <v>0</v>
      </c>
    </row>
    <row r="32" spans="1:70">
      <c r="A32" t="s">
        <v>151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</row>
    <row r="33" spans="1:70">
      <c r="A33" t="s">
        <v>152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</row>
    <row r="34" spans="1:70">
      <c r="A34" t="s">
        <v>153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</row>
    <row r="35" spans="1:70">
      <c r="A35" t="s">
        <v>154</v>
      </c>
      <c r="B35" s="10">
        <v>3473785664.3499999</v>
      </c>
      <c r="C35" s="10">
        <v>3486620572.5500002</v>
      </c>
      <c r="D35" s="10">
        <v>3506692179.8400002</v>
      </c>
      <c r="E35" s="10">
        <v>3531740625.5999999</v>
      </c>
      <c r="F35" s="10">
        <v>3551889907.73</v>
      </c>
      <c r="G35" s="10">
        <v>3572114511.04</v>
      </c>
      <c r="H35" s="10">
        <v>3562139114.3499999</v>
      </c>
      <c r="I35" s="10">
        <v>3582462431.04</v>
      </c>
      <c r="J35" s="10">
        <v>3603081357.7800002</v>
      </c>
      <c r="K35" s="10">
        <v>3612750116.1100001</v>
      </c>
      <c r="L35" s="10">
        <v>3562868314.6999998</v>
      </c>
      <c r="M35" s="10">
        <v>3582623682.2399998</v>
      </c>
      <c r="N35" s="10">
        <v>3565626838.7800002</v>
      </c>
      <c r="O35" s="10">
        <v>3700019421.5900002</v>
      </c>
      <c r="P35" s="10">
        <v>3686129714.0799999</v>
      </c>
      <c r="Q35" s="10">
        <v>3563308110.5100002</v>
      </c>
      <c r="R35" s="10">
        <v>1041613845.3099999</v>
      </c>
      <c r="S35" s="10">
        <v>1022370760.39</v>
      </c>
      <c r="T35" s="10">
        <v>950991339.07000005</v>
      </c>
      <c r="U35" s="10">
        <v>862615899.20000005</v>
      </c>
      <c r="V35" s="10">
        <v>803234798.05999994</v>
      </c>
      <c r="W35" s="10">
        <v>807769533.46000004</v>
      </c>
      <c r="X35" s="10">
        <v>805843181.95000005</v>
      </c>
      <c r="Y35" s="10">
        <v>808425512.33000004</v>
      </c>
      <c r="Z35" s="10">
        <v>464193004.38999999</v>
      </c>
      <c r="AA35" s="10">
        <v>465496995.37</v>
      </c>
      <c r="AB35" s="10">
        <v>467473261.33999997</v>
      </c>
      <c r="AC35" s="10">
        <v>452317235.72000003</v>
      </c>
      <c r="AD35" s="10">
        <v>460772956.60000002</v>
      </c>
      <c r="AE35" s="10">
        <v>463868158.93000001</v>
      </c>
      <c r="AF35" s="10">
        <v>462690687.36000001</v>
      </c>
      <c r="AG35" s="10">
        <v>465550825.17000002</v>
      </c>
      <c r="AH35" s="10">
        <v>466854656.80000001</v>
      </c>
      <c r="AI35" s="10">
        <v>473613977</v>
      </c>
      <c r="AJ35" s="10">
        <v>476520713.93000001</v>
      </c>
      <c r="AK35" s="10">
        <v>445207595.72000003</v>
      </c>
      <c r="AL35" s="10">
        <v>257618015.97</v>
      </c>
      <c r="AM35" s="10">
        <v>259113847.75999999</v>
      </c>
      <c r="AN35" s="10">
        <v>247652499.97999999</v>
      </c>
      <c r="AO35" s="10">
        <v>249274093.40000001</v>
      </c>
      <c r="AP35" s="10">
        <v>252846793.83000001</v>
      </c>
      <c r="AQ35" s="10">
        <v>254479095.53999999</v>
      </c>
      <c r="AR35" s="10">
        <v>255348897.25</v>
      </c>
      <c r="AS35" s="10">
        <v>66093918.659999996</v>
      </c>
      <c r="AT35" s="10">
        <v>66853374.939999998</v>
      </c>
      <c r="AU35" s="10">
        <v>69018445.219999999</v>
      </c>
      <c r="AV35" s="10">
        <v>56933580.289999999</v>
      </c>
      <c r="AW35" s="10">
        <v>57074911.579999998</v>
      </c>
      <c r="AX35" s="10">
        <v>57229688</v>
      </c>
      <c r="AY35" s="10">
        <v>39766396</v>
      </c>
      <c r="AZ35" s="10">
        <v>37656999.829999998</v>
      </c>
      <c r="BA35" s="10">
        <v>37699499.840000004</v>
      </c>
      <c r="BB35" s="10">
        <v>128704.85</v>
      </c>
      <c r="BC35" s="10">
        <v>171204.86</v>
      </c>
      <c r="BD35" s="10">
        <v>213704.87</v>
      </c>
      <c r="BE35" s="10">
        <v>256204.88</v>
      </c>
      <c r="BF35" s="10">
        <v>297499.89</v>
      </c>
      <c r="BG35" s="10">
        <v>339999.9</v>
      </c>
      <c r="BH35" s="10">
        <v>382499.91</v>
      </c>
      <c r="BI35" s="10">
        <v>424999.92</v>
      </c>
      <c r="BJ35" s="10">
        <v>467499.93</v>
      </c>
      <c r="BK35" s="10">
        <v>509999.94</v>
      </c>
      <c r="BL35" s="10">
        <v>552499.94999999995</v>
      </c>
      <c r="BM35" s="10">
        <v>594999.96</v>
      </c>
      <c r="BN35" s="10">
        <v>679999.98</v>
      </c>
      <c r="BO35" s="10">
        <v>765000</v>
      </c>
      <c r="BP35" s="10">
        <v>935000</v>
      </c>
      <c r="BQ35" s="10">
        <v>0</v>
      </c>
      <c r="BR35" s="10">
        <v>0</v>
      </c>
    </row>
    <row r="36" spans="1:70">
      <c r="A36" t="s">
        <v>155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</row>
    <row r="37" spans="1:70">
      <c r="A37" t="s">
        <v>156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</row>
    <row r="38" spans="1:70">
      <c r="A38" t="s">
        <v>157</v>
      </c>
      <c r="B38" s="10">
        <v>180381853.66999999</v>
      </c>
      <c r="C38" s="10">
        <v>182978339.78</v>
      </c>
      <c r="D38" s="10">
        <v>185603910.53</v>
      </c>
      <c r="E38" s="10">
        <v>188118776.50999999</v>
      </c>
      <c r="F38" s="10">
        <v>190287366.19999999</v>
      </c>
      <c r="G38" s="10">
        <v>192922015.68000001</v>
      </c>
      <c r="H38" s="10">
        <v>195934362.53999999</v>
      </c>
      <c r="I38" s="10">
        <v>198603537.81</v>
      </c>
      <c r="J38" s="10">
        <v>202031249.06</v>
      </c>
      <c r="K38" s="10">
        <v>2963228.01</v>
      </c>
      <c r="L38" s="10">
        <v>4437945.83</v>
      </c>
      <c r="M38" s="10">
        <v>5408286.8300000001</v>
      </c>
      <c r="N38" s="10">
        <v>5917951.8899999997</v>
      </c>
      <c r="O38" s="10">
        <v>6799810.7400000002</v>
      </c>
      <c r="P38" s="10">
        <v>7196207.0800000001</v>
      </c>
      <c r="Q38" s="10">
        <v>8048744.96</v>
      </c>
      <c r="R38" s="10">
        <v>8736497.5999999996</v>
      </c>
      <c r="S38" s="10">
        <v>8234551.5099999998</v>
      </c>
      <c r="T38" s="10">
        <v>9205790.4700000007</v>
      </c>
      <c r="U38" s="10">
        <v>10177029.43</v>
      </c>
      <c r="V38" s="10">
        <v>11148268.390000001</v>
      </c>
      <c r="W38" s="10">
        <v>11885526.800000001</v>
      </c>
      <c r="X38" s="10">
        <v>12845444.119999999</v>
      </c>
      <c r="Y38" s="10">
        <v>13805361.439999999</v>
      </c>
      <c r="Z38" s="10">
        <v>16893673.399999999</v>
      </c>
      <c r="AA38" s="10">
        <v>17838414.5</v>
      </c>
      <c r="AB38" s="10">
        <v>18202831.82</v>
      </c>
      <c r="AC38" s="10">
        <v>18701578.16</v>
      </c>
      <c r="AD38" s="10">
        <v>19768820.690000001</v>
      </c>
      <c r="AE38" s="10">
        <v>18891838.010000002</v>
      </c>
      <c r="AF38" s="10">
        <v>20112027.370000001</v>
      </c>
      <c r="AG38" s="10">
        <v>21469624.809999999</v>
      </c>
      <c r="AH38" s="10">
        <v>3152879.4</v>
      </c>
      <c r="AI38" s="10">
        <v>5462382.6500000004</v>
      </c>
      <c r="AJ38" s="10">
        <v>7803175.4299999997</v>
      </c>
      <c r="AK38" s="10">
        <v>10146520.77</v>
      </c>
      <c r="AL38" s="10">
        <v>8582962.8599999994</v>
      </c>
      <c r="AM38" s="10">
        <v>11461634.75</v>
      </c>
      <c r="AN38" s="10">
        <v>13941111.949999999</v>
      </c>
      <c r="AO38" s="10">
        <v>12477325.460000001</v>
      </c>
      <c r="AP38" s="10">
        <v>36691360.520000003</v>
      </c>
      <c r="AQ38" s="10">
        <v>70552699.730000004</v>
      </c>
      <c r="AR38" s="10">
        <v>68191994.959999993</v>
      </c>
      <c r="AS38" s="10">
        <v>68459874.909999996</v>
      </c>
      <c r="AT38" s="10">
        <v>64111146.829999998</v>
      </c>
      <c r="AU38" s="10">
        <v>60712606.950000003</v>
      </c>
      <c r="AV38" s="10">
        <v>58279125.240000002</v>
      </c>
      <c r="AW38" s="10">
        <v>60377239.579999998</v>
      </c>
      <c r="AX38" s="10">
        <v>58900390.140000001</v>
      </c>
      <c r="AY38" s="10">
        <v>52057433.049999997</v>
      </c>
      <c r="AZ38" s="10">
        <v>49971049.43</v>
      </c>
      <c r="BA38" s="10">
        <v>50939036</v>
      </c>
      <c r="BB38" s="10">
        <v>55014337.399999999</v>
      </c>
      <c r="BC38" s="10">
        <v>49561075.75</v>
      </c>
      <c r="BD38" s="10">
        <v>45668919.369999997</v>
      </c>
      <c r="BE38" s="10">
        <v>33607508.119999997</v>
      </c>
      <c r="BF38" s="10">
        <v>28195069.550000001</v>
      </c>
      <c r="BG38" s="10">
        <v>25847208.399999999</v>
      </c>
      <c r="BH38" s="10">
        <v>25173397.5</v>
      </c>
      <c r="BI38" s="10">
        <v>22221522.309999999</v>
      </c>
      <c r="BJ38" s="10">
        <v>18148500.66</v>
      </c>
      <c r="BK38" s="10">
        <v>18219423.449999999</v>
      </c>
      <c r="BL38" s="10">
        <v>16908806.059999999</v>
      </c>
      <c r="BM38" s="10">
        <v>16579763.939999999</v>
      </c>
      <c r="BN38" s="10">
        <v>16168889.27</v>
      </c>
      <c r="BO38" s="10">
        <v>11574814.359999999</v>
      </c>
      <c r="BP38" s="10">
        <v>8442496.9499999993</v>
      </c>
      <c r="BQ38" s="10">
        <v>7917934.4500000002</v>
      </c>
      <c r="BR38" s="10">
        <v>0</v>
      </c>
    </row>
    <row r="39" spans="1:70">
      <c r="A39" t="s">
        <v>158</v>
      </c>
      <c r="B39" s="10">
        <v>2019358117.1199999</v>
      </c>
      <c r="C39" s="10">
        <v>1835447883.46</v>
      </c>
      <c r="D39" s="10">
        <v>1845145948.6800001</v>
      </c>
      <c r="E39" s="10">
        <v>1745539120.6800001</v>
      </c>
      <c r="F39" s="10">
        <v>901987637.61000001</v>
      </c>
      <c r="G39" s="10">
        <v>895245348.82000005</v>
      </c>
      <c r="H39" s="10">
        <v>887280412.58000004</v>
      </c>
      <c r="I39" s="10">
        <v>1155336074.1400001</v>
      </c>
      <c r="J39" s="10">
        <v>767938421.36000001</v>
      </c>
      <c r="K39" s="10">
        <v>548714031.45000005</v>
      </c>
      <c r="L39" s="10">
        <v>743599436.94000006</v>
      </c>
      <c r="M39" s="10">
        <v>821601105.71000004</v>
      </c>
      <c r="N39" s="10">
        <v>950518493.65999997</v>
      </c>
      <c r="O39" s="10">
        <v>960373469.90999997</v>
      </c>
      <c r="P39" s="10">
        <v>804831808.55999994</v>
      </c>
      <c r="Q39" s="10">
        <v>825372524.64999998</v>
      </c>
      <c r="R39" s="10">
        <v>627749883.44000006</v>
      </c>
      <c r="S39" s="10">
        <v>302817568.36000001</v>
      </c>
      <c r="T39" s="10">
        <v>567395099.30999994</v>
      </c>
      <c r="U39" s="10">
        <v>643656913.32000005</v>
      </c>
      <c r="V39" s="10">
        <v>282149572.67000002</v>
      </c>
      <c r="W39" s="10">
        <v>381631064.63</v>
      </c>
      <c r="X39" s="10">
        <v>478727366.87</v>
      </c>
      <c r="Y39" s="10">
        <v>502628950.52999997</v>
      </c>
      <c r="Z39" s="10">
        <v>356389121.89999998</v>
      </c>
      <c r="AA39" s="10">
        <v>284320662.57999998</v>
      </c>
      <c r="AB39" s="10">
        <v>310887789.67000002</v>
      </c>
      <c r="AC39" s="10">
        <v>278437938.97000003</v>
      </c>
      <c r="AD39" s="10">
        <v>257933326.34999999</v>
      </c>
      <c r="AE39" s="10">
        <v>166372214.52000001</v>
      </c>
      <c r="AF39" s="10">
        <v>197205662.94</v>
      </c>
      <c r="AG39" s="10">
        <v>225420802.13999999</v>
      </c>
      <c r="AH39" s="10">
        <v>101887756.67</v>
      </c>
      <c r="AI39" s="10">
        <v>93737740.640000001</v>
      </c>
      <c r="AJ39" s="10">
        <v>191547177.25</v>
      </c>
      <c r="AK39" s="10">
        <v>176680977.53999999</v>
      </c>
      <c r="AL39" s="10">
        <v>68169347.540000007</v>
      </c>
      <c r="AM39" s="10">
        <v>49096749.719999999</v>
      </c>
      <c r="AN39" s="10">
        <v>72160364.549999997</v>
      </c>
      <c r="AO39" s="10">
        <v>52849560.43</v>
      </c>
      <c r="AP39" s="10">
        <v>36966481.409999996</v>
      </c>
      <c r="AQ39" s="10">
        <v>36799639.740000002</v>
      </c>
      <c r="AR39" s="10">
        <v>51325209.009999998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</row>
    <row r="40" spans="1:70">
      <c r="A40" t="s">
        <v>159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</row>
    <row r="41" spans="1:70">
      <c r="A41" t="s">
        <v>160</v>
      </c>
      <c r="B41" s="10">
        <v>22976741343</v>
      </c>
      <c r="C41" s="10">
        <v>22984949774.959999</v>
      </c>
      <c r="D41" s="10">
        <v>23089295953.759998</v>
      </c>
      <c r="E41" s="10">
        <v>22753989474.84</v>
      </c>
      <c r="F41" s="10">
        <v>21643145955.470001</v>
      </c>
      <c r="G41" s="10">
        <v>21593032140.220001</v>
      </c>
      <c r="H41" s="10">
        <v>21576653404.439999</v>
      </c>
      <c r="I41" s="10">
        <v>21296949399.18</v>
      </c>
      <c r="J41" s="10">
        <v>20261592117.09</v>
      </c>
      <c r="K41" s="10">
        <v>19097774757.830002</v>
      </c>
      <c r="L41" s="10">
        <v>18315646536.52</v>
      </c>
      <c r="M41" s="10">
        <v>18302236150.310001</v>
      </c>
      <c r="N41" s="10">
        <v>16660795222.92</v>
      </c>
      <c r="O41" s="10">
        <v>16579774564.629999</v>
      </c>
      <c r="P41" s="10">
        <v>15583608259.01</v>
      </c>
      <c r="Q41" s="10">
        <v>13522567242.82</v>
      </c>
      <c r="R41" s="10">
        <v>9433590713.1000004</v>
      </c>
      <c r="S41" s="10">
        <v>8937733311.7900009</v>
      </c>
      <c r="T41" s="10">
        <v>9046122215.5200005</v>
      </c>
      <c r="U41" s="10">
        <v>8773132339.5799999</v>
      </c>
      <c r="V41" s="10">
        <v>7348983711.5200005</v>
      </c>
      <c r="W41" s="10">
        <v>7287172510.8199997</v>
      </c>
      <c r="X41" s="10">
        <v>7174957543.2700005</v>
      </c>
      <c r="Y41" s="10">
        <v>7071236794.9799995</v>
      </c>
      <c r="Z41" s="10">
        <v>5907593182.6300001</v>
      </c>
      <c r="AA41" s="10">
        <v>5450664776.8999996</v>
      </c>
      <c r="AB41" s="10">
        <v>5404910754.6800003</v>
      </c>
      <c r="AC41" s="10">
        <v>5287295112.3800001</v>
      </c>
      <c r="AD41" s="10">
        <v>4854322092.2399998</v>
      </c>
      <c r="AE41" s="10">
        <v>4750522574.4799995</v>
      </c>
      <c r="AF41" s="10">
        <v>4223497907.46</v>
      </c>
      <c r="AG41" s="10">
        <v>4114037784.3299999</v>
      </c>
      <c r="AH41" s="10">
        <v>3893081948.3499999</v>
      </c>
      <c r="AI41" s="10">
        <v>3756937589.1599998</v>
      </c>
      <c r="AJ41" s="10">
        <v>3728677824.9000001</v>
      </c>
      <c r="AK41" s="10">
        <v>3513436953.5100002</v>
      </c>
      <c r="AL41" s="10">
        <v>3739014271</v>
      </c>
      <c r="AM41" s="10">
        <v>3526080172.4299998</v>
      </c>
      <c r="AN41" s="10">
        <v>3338338900.5300002</v>
      </c>
      <c r="AO41" s="10">
        <v>3209968937.0300002</v>
      </c>
      <c r="AP41" s="10">
        <v>3086136003.2399998</v>
      </c>
      <c r="AQ41" s="10">
        <v>2952999545.0700002</v>
      </c>
      <c r="AR41" s="10">
        <v>2845284852.9899998</v>
      </c>
      <c r="AS41" s="10">
        <v>2638340763.6999998</v>
      </c>
      <c r="AT41" s="10">
        <v>2450389777.1900001</v>
      </c>
      <c r="AU41" s="10">
        <v>2263427977.0500002</v>
      </c>
      <c r="AV41" s="10">
        <v>2115638921.48</v>
      </c>
      <c r="AW41" s="10">
        <v>2038076176.98</v>
      </c>
      <c r="AX41" s="10">
        <v>1904956898.72</v>
      </c>
      <c r="AY41" s="10">
        <v>1780876639.3299999</v>
      </c>
      <c r="AZ41" s="10">
        <v>1685409788.29</v>
      </c>
      <c r="BA41" s="10">
        <v>1601014475.77</v>
      </c>
      <c r="BB41" s="10">
        <v>1463570659.45</v>
      </c>
      <c r="BC41" s="10">
        <v>1398793760.26</v>
      </c>
      <c r="BD41" s="10">
        <v>1332300138.5599999</v>
      </c>
      <c r="BE41" s="10">
        <v>1200336776.9300001</v>
      </c>
      <c r="BF41" s="10">
        <v>1165910893.28</v>
      </c>
      <c r="BG41" s="10">
        <v>1092933336.0799999</v>
      </c>
      <c r="BH41" s="10">
        <v>1019774319.86</v>
      </c>
      <c r="BI41" s="10">
        <v>939648707.25</v>
      </c>
      <c r="BJ41" s="10">
        <v>859601030.65999997</v>
      </c>
      <c r="BK41" s="10">
        <v>748821426.96000004</v>
      </c>
      <c r="BL41" s="10">
        <v>611201680.95000005</v>
      </c>
      <c r="BM41" s="10">
        <v>593463444.27999997</v>
      </c>
      <c r="BN41" s="10">
        <v>203349614.99000001</v>
      </c>
      <c r="BO41" s="10">
        <v>198886333.53999999</v>
      </c>
      <c r="BP41" s="10">
        <v>194977652.84999999</v>
      </c>
      <c r="BQ41" s="10">
        <v>220941379.80000001</v>
      </c>
      <c r="BR41" s="10">
        <v>0</v>
      </c>
    </row>
    <row r="42" spans="1:70">
      <c r="A42" t="s">
        <v>161</v>
      </c>
      <c r="B42" s="10">
        <v>127780036133.2</v>
      </c>
      <c r="C42" s="10">
        <v>120382739967.95</v>
      </c>
      <c r="D42" s="10">
        <v>118978719020.08</v>
      </c>
      <c r="E42" s="10">
        <v>112934538280.41</v>
      </c>
      <c r="F42" s="10">
        <v>105146032285.13</v>
      </c>
      <c r="G42" s="10">
        <v>95546499172.839996</v>
      </c>
      <c r="H42" s="10">
        <v>90690449521.880005</v>
      </c>
      <c r="I42" s="10">
        <v>86301463422.770004</v>
      </c>
      <c r="J42" s="10">
        <v>77559034189.139999</v>
      </c>
      <c r="K42" s="10">
        <v>72337744204.929993</v>
      </c>
      <c r="L42" s="10">
        <v>68769020638.419998</v>
      </c>
      <c r="M42" s="10">
        <v>65873165224.629997</v>
      </c>
      <c r="N42" s="10">
        <v>58651555116.650002</v>
      </c>
      <c r="O42" s="10">
        <v>55218131505.510002</v>
      </c>
      <c r="P42" s="10">
        <v>56029625704.110001</v>
      </c>
      <c r="Q42" s="10">
        <v>55454150677.050003</v>
      </c>
      <c r="R42" s="10">
        <v>49274437880.709999</v>
      </c>
      <c r="S42" s="10">
        <v>43620710381.690002</v>
      </c>
      <c r="T42" s="10">
        <v>45902219986.089996</v>
      </c>
      <c r="U42" s="10">
        <v>44998208953.459999</v>
      </c>
      <c r="V42" s="10">
        <v>38834876462.709999</v>
      </c>
      <c r="W42" s="10">
        <v>39711451965.360001</v>
      </c>
      <c r="X42" s="10">
        <v>36407584735.599998</v>
      </c>
      <c r="Y42" s="10">
        <v>34900868975.410004</v>
      </c>
      <c r="Z42" s="10">
        <v>32894258255.330002</v>
      </c>
      <c r="AA42" s="10">
        <v>30920149101.43</v>
      </c>
      <c r="AB42" s="10">
        <v>29161700183.57</v>
      </c>
      <c r="AC42" s="10">
        <v>25587579940.689999</v>
      </c>
      <c r="AD42" s="10">
        <v>22810028763.639999</v>
      </c>
      <c r="AE42" s="10">
        <v>21333828715.529999</v>
      </c>
      <c r="AF42" s="10">
        <v>20430099477.790001</v>
      </c>
      <c r="AG42" s="10">
        <v>19769623147.720001</v>
      </c>
      <c r="AH42" s="10">
        <v>16737940329.299999</v>
      </c>
      <c r="AI42" s="10">
        <v>15973750015.48</v>
      </c>
      <c r="AJ42" s="10">
        <v>15625503484.209999</v>
      </c>
      <c r="AK42" s="10">
        <v>15754187836.35</v>
      </c>
      <c r="AL42" s="10">
        <v>12989449921.360001</v>
      </c>
      <c r="AM42" s="10">
        <v>11276097082.700001</v>
      </c>
      <c r="AN42" s="10">
        <v>11556876926.48</v>
      </c>
      <c r="AO42" s="10">
        <v>10481471840.450001</v>
      </c>
      <c r="AP42" s="10">
        <v>10194195529.99</v>
      </c>
      <c r="AQ42" s="10">
        <v>10226931689.690001</v>
      </c>
      <c r="AR42" s="10">
        <v>9883304613.25</v>
      </c>
      <c r="AS42" s="10">
        <v>9388915003.9899998</v>
      </c>
      <c r="AT42" s="10">
        <v>8806428606.5900002</v>
      </c>
      <c r="AU42" s="10">
        <v>7799862599.6800003</v>
      </c>
      <c r="AV42" s="10">
        <v>8103036754.29</v>
      </c>
      <c r="AW42" s="10">
        <v>8057596464.5900002</v>
      </c>
      <c r="AX42" s="10">
        <v>7077360201.71</v>
      </c>
      <c r="AY42" s="10">
        <v>6728916037.2600002</v>
      </c>
      <c r="AZ42" s="10">
        <v>6571862002.1300001</v>
      </c>
      <c r="BA42" s="10">
        <v>6373652983.5699997</v>
      </c>
      <c r="BB42" s="10">
        <v>5628688980.5600004</v>
      </c>
      <c r="BC42" s="10">
        <v>5041106276.1899996</v>
      </c>
      <c r="BD42" s="10">
        <v>4855158665.5200005</v>
      </c>
      <c r="BE42" s="10">
        <v>4956365810.8500004</v>
      </c>
      <c r="BF42" s="10">
        <v>4466694791.6800003</v>
      </c>
      <c r="BG42" s="10">
        <v>3940510267.6999998</v>
      </c>
      <c r="BH42" s="10">
        <v>3903743856.2600002</v>
      </c>
      <c r="BI42" s="10">
        <v>3930905066.7199998</v>
      </c>
      <c r="BJ42" s="10">
        <v>3696428353.48</v>
      </c>
      <c r="BK42" s="10">
        <v>3421206728.98</v>
      </c>
      <c r="BL42" s="10">
        <v>3449520609.7199998</v>
      </c>
      <c r="BM42" s="10">
        <v>3463388734.98</v>
      </c>
      <c r="BN42" s="10">
        <v>1214455217.6199999</v>
      </c>
      <c r="BO42" s="10">
        <v>1268856244.9000001</v>
      </c>
      <c r="BP42" s="10">
        <v>915056957.32000005</v>
      </c>
      <c r="BQ42" s="10">
        <v>741848981.54999995</v>
      </c>
      <c r="BR42" s="10">
        <v>0</v>
      </c>
    </row>
    <row r="43" spans="1:70">
      <c r="A43" t="s">
        <v>162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</row>
    <row r="44" spans="1:70">
      <c r="A44" t="s">
        <v>163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62552484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109000000</v>
      </c>
      <c r="BO44" s="10">
        <v>129000000</v>
      </c>
      <c r="BP44" s="10">
        <v>117100000</v>
      </c>
      <c r="BQ44" s="10">
        <v>147000000</v>
      </c>
      <c r="BR44" s="10">
        <v>0</v>
      </c>
    </row>
    <row r="45" spans="1:70">
      <c r="A45" t="s">
        <v>164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</row>
    <row r="46" spans="1:70">
      <c r="A46" t="s">
        <v>165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</row>
    <row r="47" spans="1:70">
      <c r="A47" t="s">
        <v>166</v>
      </c>
      <c r="B47" s="10">
        <v>1087911405.1900001</v>
      </c>
      <c r="C47" s="10">
        <v>1064431609.1799999</v>
      </c>
      <c r="D47" s="10">
        <v>1061686903.5</v>
      </c>
      <c r="E47" s="10">
        <v>1040608203.1799999</v>
      </c>
      <c r="F47" s="10">
        <v>196762048.31999999</v>
      </c>
      <c r="G47" s="10">
        <v>287201701.54000002</v>
      </c>
      <c r="H47" s="10">
        <v>527287333.60000002</v>
      </c>
      <c r="I47" s="10">
        <v>880976072.09000003</v>
      </c>
      <c r="J47" s="10">
        <v>316757090.77999997</v>
      </c>
      <c r="K47" s="10">
        <v>563904100.65999997</v>
      </c>
      <c r="L47" s="10">
        <v>280348676.61000001</v>
      </c>
      <c r="M47" s="10">
        <v>707534647.53999996</v>
      </c>
      <c r="N47" s="10">
        <v>254046624.27000001</v>
      </c>
      <c r="O47" s="10">
        <v>300447845.04000002</v>
      </c>
      <c r="P47" s="10">
        <v>179958598.31</v>
      </c>
      <c r="Q47" s="10">
        <v>284748288.88999999</v>
      </c>
      <c r="R47" s="10">
        <v>295246227.42000002</v>
      </c>
      <c r="S47" s="10">
        <v>154945158.11000001</v>
      </c>
      <c r="T47" s="10">
        <v>228373243.58000001</v>
      </c>
      <c r="U47" s="10">
        <v>345280977.68000001</v>
      </c>
      <c r="V47" s="10">
        <v>192020463.81999999</v>
      </c>
      <c r="W47" s="10">
        <v>177403043.46000001</v>
      </c>
      <c r="X47" s="10">
        <v>227653182.72</v>
      </c>
      <c r="Y47" s="10">
        <v>172343585.06</v>
      </c>
      <c r="Z47" s="10">
        <v>256736972.69</v>
      </c>
      <c r="AA47" s="10">
        <v>103561187.98</v>
      </c>
      <c r="AB47" s="10">
        <v>105625766.65000001</v>
      </c>
      <c r="AC47" s="10">
        <v>232013104.28</v>
      </c>
      <c r="AD47" s="10">
        <v>141223975.25</v>
      </c>
      <c r="AE47" s="10">
        <v>86036869.109999999</v>
      </c>
      <c r="AF47" s="10">
        <v>68881978.819999993</v>
      </c>
      <c r="AG47" s="10">
        <v>139121352.44999999</v>
      </c>
      <c r="AH47" s="10">
        <v>88587110.959999993</v>
      </c>
      <c r="AI47" s="10">
        <v>59902501.899999999</v>
      </c>
      <c r="AJ47" s="10">
        <v>56283240.369999997</v>
      </c>
      <c r="AK47" s="10">
        <v>121289073.56999999</v>
      </c>
      <c r="AL47" s="10">
        <v>121894425.3</v>
      </c>
      <c r="AM47" s="10">
        <v>74163740.540000007</v>
      </c>
      <c r="AN47" s="10">
        <v>67839733.090000004</v>
      </c>
      <c r="AO47" s="10">
        <v>59681964.5</v>
      </c>
      <c r="AP47" s="10">
        <v>58157974.630000003</v>
      </c>
      <c r="AQ47" s="10">
        <v>69880889.480000004</v>
      </c>
      <c r="AR47" s="10">
        <v>62111408.07</v>
      </c>
      <c r="AS47" s="10">
        <v>40813549.990000002</v>
      </c>
      <c r="AT47" s="10">
        <v>74371691.400000006</v>
      </c>
      <c r="AU47" s="10">
        <v>21723602.780000001</v>
      </c>
      <c r="AV47" s="10">
        <v>44681505.439999998</v>
      </c>
      <c r="AW47" s="10">
        <v>30329177.02</v>
      </c>
      <c r="AX47" s="10">
        <v>21384556.039999999</v>
      </c>
      <c r="AY47" s="10">
        <v>1663140.34</v>
      </c>
      <c r="AZ47" s="10">
        <v>37176128.240000002</v>
      </c>
      <c r="BA47" s="10">
        <v>35782831.799999997</v>
      </c>
      <c r="BB47" s="10">
        <v>29554677.23</v>
      </c>
      <c r="BC47" s="10">
        <v>25711328.100000001</v>
      </c>
      <c r="BD47" s="10">
        <v>18026442.379999999</v>
      </c>
      <c r="BE47" s="10">
        <v>40004706.009999998</v>
      </c>
      <c r="BF47" s="10">
        <v>45095250.130000003</v>
      </c>
      <c r="BG47" s="10">
        <v>30349687.07</v>
      </c>
      <c r="BH47" s="10">
        <v>92997296.129999995</v>
      </c>
      <c r="BI47" s="10">
        <v>24208759.649999999</v>
      </c>
      <c r="BJ47" s="10">
        <v>46612121.450000003</v>
      </c>
      <c r="BK47" s="10">
        <v>22218060.289999999</v>
      </c>
      <c r="BL47" s="10">
        <v>23806561.09</v>
      </c>
      <c r="BM47" s="10">
        <v>10084988.039999999</v>
      </c>
      <c r="BN47" s="10">
        <v>31911863.66</v>
      </c>
      <c r="BO47" s="10">
        <v>29849878.670000002</v>
      </c>
      <c r="BP47" s="10">
        <v>30919891.949999999</v>
      </c>
      <c r="BQ47" s="10">
        <v>25626956.390000001</v>
      </c>
      <c r="BR47" s="10">
        <v>0</v>
      </c>
    </row>
    <row r="48" spans="1:70">
      <c r="A48" t="s">
        <v>167</v>
      </c>
      <c r="B48" s="10">
        <v>17471599148.5</v>
      </c>
      <c r="C48" s="10">
        <v>17780462402.41</v>
      </c>
      <c r="D48" s="10">
        <v>18987716266.919998</v>
      </c>
      <c r="E48" s="10">
        <v>17541082237.009998</v>
      </c>
      <c r="F48" s="10">
        <v>17393113994.450001</v>
      </c>
      <c r="G48" s="10">
        <v>11481462347.1</v>
      </c>
      <c r="H48" s="10">
        <v>8544531234.9899998</v>
      </c>
      <c r="I48" s="10">
        <v>8261582073.04</v>
      </c>
      <c r="J48" s="10">
        <v>5605690314.3900003</v>
      </c>
      <c r="K48" s="10">
        <v>2336532250.0799999</v>
      </c>
      <c r="L48" s="10">
        <v>2791357240.5900002</v>
      </c>
      <c r="M48" s="10">
        <v>1476233096.0899999</v>
      </c>
      <c r="N48" s="10">
        <v>863078519.53999996</v>
      </c>
      <c r="O48" s="10">
        <v>544093908.05999994</v>
      </c>
      <c r="P48" s="10">
        <v>1620934562.9400001</v>
      </c>
      <c r="Q48" s="10">
        <v>3045113586.0999999</v>
      </c>
      <c r="R48" s="10">
        <v>1942323729.47</v>
      </c>
      <c r="S48" s="10">
        <v>834909649.15999997</v>
      </c>
      <c r="T48" s="10">
        <v>2866551653.98</v>
      </c>
      <c r="U48" s="10">
        <v>5091386269.5500002</v>
      </c>
      <c r="V48" s="10">
        <v>3747235013.6199999</v>
      </c>
      <c r="W48" s="10">
        <v>4045101878.2199998</v>
      </c>
      <c r="X48" s="10">
        <v>5771602337.29</v>
      </c>
      <c r="Y48" s="10">
        <v>7026648776.8000002</v>
      </c>
      <c r="Z48" s="10">
        <v>6818054223.3400002</v>
      </c>
      <c r="AA48" s="10">
        <v>4934943749.8800001</v>
      </c>
      <c r="AB48" s="10">
        <v>6343640233.4899998</v>
      </c>
      <c r="AC48" s="10">
        <v>4738570750.1599998</v>
      </c>
      <c r="AD48" s="10">
        <v>3261960544.9899998</v>
      </c>
      <c r="AE48" s="10">
        <v>1967772191.1500001</v>
      </c>
      <c r="AF48" s="10">
        <v>3061744018.5999999</v>
      </c>
      <c r="AG48" s="10">
        <v>3516423880.1999998</v>
      </c>
      <c r="AH48" s="10">
        <v>1291979488.28</v>
      </c>
      <c r="AI48" s="10">
        <v>656278377.95000005</v>
      </c>
      <c r="AJ48" s="10">
        <v>1843123125.75</v>
      </c>
      <c r="AK48" s="10">
        <v>2936266375.0999999</v>
      </c>
      <c r="AL48" s="10">
        <v>936307045.5</v>
      </c>
      <c r="AM48" s="10">
        <v>294309661.06</v>
      </c>
      <c r="AN48" s="10">
        <v>1299238882.0799999</v>
      </c>
      <c r="AO48" s="10">
        <v>1125288196.26</v>
      </c>
      <c r="AP48" s="10">
        <v>2225691510.1700001</v>
      </c>
      <c r="AQ48" s="10">
        <v>2442383982.6399999</v>
      </c>
      <c r="AR48" s="10">
        <v>2288687475.4299998</v>
      </c>
      <c r="AS48" s="10">
        <v>2136139561.53</v>
      </c>
      <c r="AT48" s="10">
        <v>2376011815.6199999</v>
      </c>
      <c r="AU48" s="10">
        <v>1930943022.1900001</v>
      </c>
      <c r="AV48" s="10">
        <v>1497531229.96</v>
      </c>
      <c r="AW48" s="10">
        <v>1543198286.97</v>
      </c>
      <c r="AX48" s="10">
        <v>1432522801.74</v>
      </c>
      <c r="AY48" s="10">
        <v>1142634233.98</v>
      </c>
      <c r="AZ48" s="10">
        <v>975658209.26999998</v>
      </c>
      <c r="BA48" s="10">
        <v>1036893726.13</v>
      </c>
      <c r="BB48" s="10">
        <v>940904599.92999995</v>
      </c>
      <c r="BC48" s="10">
        <v>689015516.62</v>
      </c>
      <c r="BD48" s="10">
        <v>559029622.73000002</v>
      </c>
      <c r="BE48" s="10">
        <v>745368392.5</v>
      </c>
      <c r="BF48" s="10">
        <v>740386373.70000005</v>
      </c>
      <c r="BG48" s="10">
        <v>405099682.74000001</v>
      </c>
      <c r="BH48" s="10">
        <v>163378923.87</v>
      </c>
      <c r="BI48" s="10">
        <v>452516762.87</v>
      </c>
      <c r="BJ48" s="10">
        <v>319415404.31999999</v>
      </c>
      <c r="BK48" s="10">
        <v>230405955.47</v>
      </c>
      <c r="BL48" s="10">
        <v>167693673.66999999</v>
      </c>
      <c r="BM48" s="10">
        <v>306147007.76999998</v>
      </c>
      <c r="BN48" s="10">
        <v>60338220.450000003</v>
      </c>
      <c r="BO48" s="10">
        <v>385340199.56</v>
      </c>
      <c r="BP48" s="10">
        <v>86012360.840000004</v>
      </c>
      <c r="BQ48" s="10">
        <v>93845099.560000002</v>
      </c>
      <c r="BR48" s="10">
        <v>0</v>
      </c>
    </row>
    <row r="49" spans="1:70">
      <c r="A49" t="s">
        <v>168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</row>
    <row r="50" spans="1:70">
      <c r="A50" t="s">
        <v>169</v>
      </c>
      <c r="B50" s="10">
        <v>438813137.86000001</v>
      </c>
      <c r="C50" s="10">
        <v>412607384.94</v>
      </c>
      <c r="D50" s="10">
        <v>428985472.00999999</v>
      </c>
      <c r="E50" s="10">
        <v>1628507252.03</v>
      </c>
      <c r="F50" s="10">
        <v>425171258.81999999</v>
      </c>
      <c r="G50" s="10">
        <v>426673790.70999998</v>
      </c>
      <c r="H50" s="10">
        <v>468031934.29000002</v>
      </c>
      <c r="I50" s="10">
        <v>975477747.05999994</v>
      </c>
      <c r="J50" s="10">
        <v>330010898.12</v>
      </c>
      <c r="K50" s="10">
        <v>272740804.58999997</v>
      </c>
      <c r="L50" s="10">
        <v>314852542.08999997</v>
      </c>
      <c r="M50" s="10">
        <v>988643842.55999994</v>
      </c>
      <c r="N50" s="10">
        <v>229074380.43000001</v>
      </c>
      <c r="O50" s="10">
        <v>206743735.74000001</v>
      </c>
      <c r="P50" s="10">
        <v>246301793.31999999</v>
      </c>
      <c r="Q50" s="10">
        <v>260284491.74000001</v>
      </c>
      <c r="R50" s="10">
        <v>234790816.41</v>
      </c>
      <c r="S50" s="10">
        <v>237704671.96000001</v>
      </c>
      <c r="T50" s="10">
        <v>243914542.02000001</v>
      </c>
      <c r="U50" s="10">
        <v>269657755.57999998</v>
      </c>
      <c r="V50" s="10">
        <v>230251781.13</v>
      </c>
      <c r="W50" s="10">
        <v>209540857.96000001</v>
      </c>
      <c r="X50" s="10">
        <v>239894196.91999999</v>
      </c>
      <c r="Y50" s="10">
        <v>577522908.05999994</v>
      </c>
      <c r="Z50" s="10">
        <v>224194887.56999999</v>
      </c>
      <c r="AA50" s="10">
        <v>236869502</v>
      </c>
      <c r="AB50" s="10">
        <v>315369564.19</v>
      </c>
      <c r="AC50" s="10">
        <v>500258690.69</v>
      </c>
      <c r="AD50" s="10">
        <v>228822513.61000001</v>
      </c>
      <c r="AE50" s="10">
        <v>219342568.91999999</v>
      </c>
      <c r="AF50" s="10">
        <v>221876918.46000001</v>
      </c>
      <c r="AG50" s="10">
        <v>463948636.85000002</v>
      </c>
      <c r="AH50" s="10">
        <v>85504323.519999996</v>
      </c>
      <c r="AI50" s="10">
        <v>81161284.650000006</v>
      </c>
      <c r="AJ50" s="10">
        <v>94590770.930000007</v>
      </c>
      <c r="AK50" s="10">
        <v>361007478.76999998</v>
      </c>
      <c r="AL50" s="10">
        <v>27515257.91</v>
      </c>
      <c r="AM50" s="10">
        <v>25823194.859999999</v>
      </c>
      <c r="AN50" s="10">
        <v>595973.82999999996</v>
      </c>
      <c r="AO50" s="10">
        <v>54596365.240000002</v>
      </c>
      <c r="AP50" s="10">
        <v>59665279.289999999</v>
      </c>
      <c r="AQ50" s="10">
        <v>55185885.549999997</v>
      </c>
      <c r="AR50" s="10">
        <v>32087669.52</v>
      </c>
      <c r="AS50" s="10">
        <v>97946613.019999996</v>
      </c>
      <c r="AT50" s="10">
        <v>61323495.32</v>
      </c>
      <c r="AU50" s="10">
        <v>55493188.909999996</v>
      </c>
      <c r="AV50" s="10">
        <v>51631572.920000002</v>
      </c>
      <c r="AW50" s="10">
        <v>94549201.409999996</v>
      </c>
      <c r="AX50" s="10">
        <v>41176966.369999997</v>
      </c>
      <c r="AY50" s="10">
        <v>41989017.979999997</v>
      </c>
      <c r="AZ50" s="10">
        <v>38014868.420000002</v>
      </c>
      <c r="BA50" s="10">
        <v>62895093.140000001</v>
      </c>
      <c r="BB50" s="10">
        <v>33756781.299999997</v>
      </c>
      <c r="BC50" s="10">
        <v>32351576.68</v>
      </c>
      <c r="BD50" s="10">
        <v>56944253.479999997</v>
      </c>
      <c r="BE50" s="10">
        <v>55513753.5</v>
      </c>
      <c r="BF50" s="10">
        <v>49277141.649999999</v>
      </c>
      <c r="BG50" s="10">
        <v>47550824.859999999</v>
      </c>
      <c r="BH50" s="10">
        <v>45728489.82</v>
      </c>
      <c r="BI50" s="10">
        <v>61785500.240000002</v>
      </c>
      <c r="BJ50" s="10">
        <v>26779980.550000001</v>
      </c>
      <c r="BK50" s="10">
        <v>10786313.76</v>
      </c>
      <c r="BL50" s="10">
        <v>19273924.690000001</v>
      </c>
      <c r="BM50" s="10">
        <v>19823059.32</v>
      </c>
      <c r="BN50" s="10">
        <v>0</v>
      </c>
      <c r="BO50" s="10">
        <v>6706990.0999999996</v>
      </c>
      <c r="BP50" s="10">
        <v>890294.04</v>
      </c>
      <c r="BQ50" s="10">
        <v>0</v>
      </c>
      <c r="BR50" s="10">
        <v>0</v>
      </c>
    </row>
    <row r="51" spans="1:70">
      <c r="A51" t="s">
        <v>170</v>
      </c>
      <c r="B51" s="10">
        <v>5369883309.7799997</v>
      </c>
      <c r="C51" s="10">
        <v>1942909140.98</v>
      </c>
      <c r="D51" s="10">
        <v>2972481741.98</v>
      </c>
      <c r="E51" s="10">
        <v>4272289194.5700002</v>
      </c>
      <c r="F51" s="10">
        <v>1940334705.9000001</v>
      </c>
      <c r="G51" s="10">
        <v>1839062337.4400001</v>
      </c>
      <c r="H51" s="10">
        <v>1872491613.95</v>
      </c>
      <c r="I51" s="10">
        <v>2515516156.8299999</v>
      </c>
      <c r="J51" s="10">
        <v>1747481864.04</v>
      </c>
      <c r="K51" s="10">
        <v>1160203414.3900001</v>
      </c>
      <c r="L51" s="10">
        <v>1394870953.3499999</v>
      </c>
      <c r="M51" s="10">
        <v>2105178165.8699999</v>
      </c>
      <c r="N51" s="10">
        <v>1739406024.6199999</v>
      </c>
      <c r="O51" s="10">
        <v>2044133978.8</v>
      </c>
      <c r="P51" s="10">
        <v>2154365485.9000001</v>
      </c>
      <c r="Q51" s="10">
        <v>3311880890.4899998</v>
      </c>
      <c r="R51" s="10">
        <v>2412250959.0700002</v>
      </c>
      <c r="S51" s="10">
        <v>1605568712.3900001</v>
      </c>
      <c r="T51" s="10">
        <v>1777802419.79</v>
      </c>
      <c r="U51" s="10">
        <v>2430093461.3800001</v>
      </c>
      <c r="V51" s="10">
        <v>1343260348.4100001</v>
      </c>
      <c r="W51" s="10">
        <v>1533917683.5599999</v>
      </c>
      <c r="X51" s="10">
        <v>759279831.04999995</v>
      </c>
      <c r="Y51" s="10">
        <v>788080887.25</v>
      </c>
      <c r="Z51" s="10">
        <v>1426862877.28</v>
      </c>
      <c r="AA51" s="10">
        <v>996570725.11000001</v>
      </c>
      <c r="AB51" s="10">
        <v>707250314.51999998</v>
      </c>
      <c r="AC51" s="10">
        <v>419882954.10000002</v>
      </c>
      <c r="AD51" s="10">
        <v>480477504.12</v>
      </c>
      <c r="AE51" s="10">
        <v>333972453.07999998</v>
      </c>
      <c r="AF51" s="10">
        <v>351232906.33999997</v>
      </c>
      <c r="AG51" s="10">
        <v>140524984.34</v>
      </c>
      <c r="AH51" s="10">
        <v>361096981.97000003</v>
      </c>
      <c r="AI51" s="10">
        <v>317344605.56999999</v>
      </c>
      <c r="AJ51" s="10">
        <v>256948214.31999999</v>
      </c>
      <c r="AK51" s="10">
        <v>256300257.22999999</v>
      </c>
      <c r="AL51" s="10">
        <v>338517455.50999999</v>
      </c>
      <c r="AM51" s="10">
        <v>274146541.99000001</v>
      </c>
      <c r="AN51" s="10">
        <v>223988069.66999999</v>
      </c>
      <c r="AO51" s="10">
        <v>407747376.14999998</v>
      </c>
      <c r="AP51" s="10">
        <v>444610409.02999997</v>
      </c>
      <c r="AQ51" s="10">
        <v>302508705.35000002</v>
      </c>
      <c r="AR51" s="10">
        <v>580497443.63999999</v>
      </c>
      <c r="AS51" s="10">
        <v>799888744.17999995</v>
      </c>
      <c r="AT51" s="10">
        <v>579933248.23000002</v>
      </c>
      <c r="AU51" s="10">
        <v>518046187.67000002</v>
      </c>
      <c r="AV51" s="10">
        <v>650983556.03999996</v>
      </c>
      <c r="AW51" s="10">
        <v>910874634.37</v>
      </c>
      <c r="AX51" s="10">
        <v>571081576.00999999</v>
      </c>
      <c r="AY51" s="10">
        <v>488276213.82999998</v>
      </c>
      <c r="AZ51" s="10">
        <v>572520719.29999995</v>
      </c>
      <c r="BA51" s="10">
        <v>592839376.00999999</v>
      </c>
      <c r="BB51" s="10">
        <v>267592270.5</v>
      </c>
      <c r="BC51" s="10">
        <v>201851940.25</v>
      </c>
      <c r="BD51" s="10">
        <v>207579844.30000001</v>
      </c>
      <c r="BE51" s="10">
        <v>415165509.57999998</v>
      </c>
      <c r="BF51" s="10">
        <v>148931189.75999999</v>
      </c>
      <c r="BG51" s="10">
        <v>107864087.18000001</v>
      </c>
      <c r="BH51" s="10">
        <v>280379277.95999998</v>
      </c>
      <c r="BI51" s="10">
        <v>320854102.24000001</v>
      </c>
      <c r="BJ51" s="10">
        <v>185026778.38</v>
      </c>
      <c r="BK51" s="10">
        <v>105457534.38</v>
      </c>
      <c r="BL51" s="10">
        <v>201581710.71000001</v>
      </c>
      <c r="BM51" s="10">
        <v>237655974.44</v>
      </c>
      <c r="BN51" s="10">
        <v>218621799.30000001</v>
      </c>
      <c r="BO51" s="10">
        <v>163768961.56</v>
      </c>
      <c r="BP51" s="10">
        <v>279994490.42000002</v>
      </c>
      <c r="BQ51" s="10">
        <v>157969304.36000001</v>
      </c>
      <c r="BR51" s="10">
        <v>0</v>
      </c>
    </row>
    <row r="52" spans="1:70">
      <c r="A52" t="s">
        <v>171</v>
      </c>
      <c r="B52" s="10">
        <v>24740964.149999999</v>
      </c>
      <c r="C52" s="10">
        <v>39370998.079999998</v>
      </c>
      <c r="D52" s="10">
        <v>39606282.75</v>
      </c>
      <c r="E52" s="10">
        <v>34481635.329999998</v>
      </c>
      <c r="F52" s="10">
        <v>21599948.09</v>
      </c>
      <c r="G52" s="10">
        <v>46904631.719999999</v>
      </c>
      <c r="H52" s="10">
        <v>40428159.979999997</v>
      </c>
      <c r="I52" s="10">
        <v>27409447.399999999</v>
      </c>
      <c r="J52" s="10">
        <v>15831375.970000001</v>
      </c>
      <c r="K52" s="10">
        <v>33124441.800000001</v>
      </c>
      <c r="L52" s="10">
        <v>23734467.609999999</v>
      </c>
      <c r="M52" s="10">
        <v>15365197.91</v>
      </c>
      <c r="N52" s="10">
        <v>7473820.4900000002</v>
      </c>
      <c r="O52" s="10">
        <v>33684820.810000002</v>
      </c>
      <c r="P52" s="10">
        <v>24308411.109999999</v>
      </c>
      <c r="Q52" s="10">
        <v>27383888.890000001</v>
      </c>
      <c r="R52" s="10">
        <v>13514111.109999999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</row>
    <row r="53" spans="1:70">
      <c r="A53" t="s">
        <v>172</v>
      </c>
      <c r="B53" s="10">
        <v>0</v>
      </c>
      <c r="C53" s="10">
        <v>8529177880.8000002</v>
      </c>
      <c r="D53" s="10">
        <v>0</v>
      </c>
      <c r="E53" s="10">
        <v>0</v>
      </c>
      <c r="F53" s="10">
        <v>0</v>
      </c>
      <c r="G53" s="10">
        <v>4977430129.3599997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564392547.62</v>
      </c>
      <c r="Q53" s="10">
        <v>0</v>
      </c>
      <c r="R53" s="10">
        <v>0</v>
      </c>
      <c r="S53" s="10">
        <v>429516584.81999999</v>
      </c>
      <c r="T53" s="10">
        <v>629516584.82000005</v>
      </c>
      <c r="U53" s="10">
        <v>0</v>
      </c>
      <c r="V53" s="10">
        <v>195688455.97999999</v>
      </c>
      <c r="W53" s="10">
        <v>4233765263.5700002</v>
      </c>
      <c r="X53" s="10">
        <v>2250000</v>
      </c>
      <c r="Y53" s="10">
        <v>0</v>
      </c>
      <c r="Z53" s="10">
        <v>225593890.94999999</v>
      </c>
      <c r="AA53" s="10">
        <v>2269077517.96</v>
      </c>
      <c r="AB53" s="10">
        <v>318584196.29000002</v>
      </c>
      <c r="AC53" s="10">
        <v>318584196.29000002</v>
      </c>
      <c r="AD53" s="10">
        <v>220246678.33000001</v>
      </c>
      <c r="AE53" s="10">
        <v>1186664698.0599999</v>
      </c>
      <c r="AF53" s="10">
        <v>0</v>
      </c>
      <c r="AG53" s="10">
        <v>137207662.62</v>
      </c>
      <c r="AH53" s="10">
        <v>0</v>
      </c>
      <c r="AI53" s="10">
        <v>1058642428.87</v>
      </c>
      <c r="AJ53" s="10">
        <v>172451384.72999999</v>
      </c>
      <c r="AK53" s="10">
        <v>0</v>
      </c>
      <c r="AL53" s="10">
        <v>115386977.67</v>
      </c>
      <c r="AM53" s="10">
        <v>118186308.62</v>
      </c>
      <c r="AN53" s="10">
        <v>41806958.039999999</v>
      </c>
      <c r="AO53" s="10">
        <v>41806958.039999999</v>
      </c>
      <c r="AP53" s="10">
        <v>41806958.039999999</v>
      </c>
      <c r="AQ53" s="10">
        <v>722871772.95000005</v>
      </c>
      <c r="AR53" s="10">
        <v>722688505.62</v>
      </c>
      <c r="AS53" s="10">
        <v>0</v>
      </c>
      <c r="AT53" s="10">
        <v>545065.19999999995</v>
      </c>
      <c r="AU53" s="10">
        <v>0</v>
      </c>
      <c r="AV53" s="10">
        <v>42665714.490000002</v>
      </c>
      <c r="AW53" s="10">
        <v>37181810</v>
      </c>
      <c r="AX53" s="10">
        <v>0</v>
      </c>
      <c r="AY53" s="10">
        <v>0</v>
      </c>
      <c r="AZ53" s="10">
        <v>0</v>
      </c>
      <c r="BA53" s="10">
        <v>17440859.68</v>
      </c>
      <c r="BB53" s="10">
        <v>17652617.600000001</v>
      </c>
      <c r="BC53" s="10">
        <v>17864375.52</v>
      </c>
      <c r="BD53" s="10">
        <v>27982641.129999999</v>
      </c>
      <c r="BE53" s="10">
        <v>1212795.3600000001</v>
      </c>
      <c r="BF53" s="10">
        <v>1212795.3600000001</v>
      </c>
      <c r="BG53" s="10">
        <v>55577521.600000001</v>
      </c>
      <c r="BH53" s="10">
        <v>55577521.600000001</v>
      </c>
      <c r="BI53" s="10">
        <v>55577521.600000001</v>
      </c>
      <c r="BJ53" s="10">
        <v>97601152.799999997</v>
      </c>
      <c r="BK53" s="10">
        <v>155488801.46000001</v>
      </c>
      <c r="BL53" s="10">
        <v>155488801.46000001</v>
      </c>
      <c r="BM53" s="10">
        <v>165107825.69999999</v>
      </c>
      <c r="BN53" s="10">
        <v>106865617.66</v>
      </c>
      <c r="BO53" s="10">
        <v>5617043.5599999996</v>
      </c>
      <c r="BP53" s="10">
        <v>0</v>
      </c>
      <c r="BQ53" s="10">
        <v>0</v>
      </c>
      <c r="BR53" s="10">
        <v>0</v>
      </c>
    </row>
    <row r="54" spans="1:70">
      <c r="A54" t="s">
        <v>173</v>
      </c>
      <c r="B54" s="10">
        <v>3092024975.4400001</v>
      </c>
      <c r="C54" s="10">
        <v>2745801694.9200001</v>
      </c>
      <c r="D54" s="10">
        <v>2473356946.23</v>
      </c>
      <c r="E54" s="10">
        <v>1724638571.4400001</v>
      </c>
      <c r="F54" s="10">
        <v>1388858403.96</v>
      </c>
      <c r="G54" s="10">
        <v>1439340879.6400001</v>
      </c>
      <c r="H54" s="10">
        <v>1322204243.4400001</v>
      </c>
      <c r="I54" s="10">
        <v>1423139205.9300001</v>
      </c>
      <c r="J54" s="10">
        <v>1240211431.3299999</v>
      </c>
      <c r="K54" s="10">
        <v>1242727741.6400001</v>
      </c>
      <c r="L54" s="10">
        <v>1181440647.8800001</v>
      </c>
      <c r="M54" s="10">
        <v>1231886240.3499999</v>
      </c>
      <c r="N54" s="10">
        <v>1121122683.4000001</v>
      </c>
      <c r="O54" s="10">
        <v>1297059321.48</v>
      </c>
      <c r="P54" s="10">
        <v>1297181405.1400001</v>
      </c>
      <c r="Q54" s="10">
        <v>1604688158.1400001</v>
      </c>
      <c r="R54" s="10">
        <v>1325343399.9000001</v>
      </c>
      <c r="S54" s="10">
        <v>1339057191.5599999</v>
      </c>
      <c r="T54" s="10">
        <v>1542658486.48</v>
      </c>
      <c r="U54" s="10">
        <v>1389984092.02</v>
      </c>
      <c r="V54" s="10">
        <v>1117084930.97</v>
      </c>
      <c r="W54" s="10">
        <v>1089178004.96</v>
      </c>
      <c r="X54" s="10">
        <v>858514785.59000003</v>
      </c>
      <c r="Y54" s="10">
        <v>916123206.95000005</v>
      </c>
      <c r="Z54" s="10">
        <v>839515287.22000003</v>
      </c>
      <c r="AA54" s="10">
        <v>814640531.35000002</v>
      </c>
      <c r="AB54" s="10">
        <v>820549084.16999996</v>
      </c>
      <c r="AC54" s="10">
        <v>818880550.54999995</v>
      </c>
      <c r="AD54" s="10">
        <v>745527353.89999998</v>
      </c>
      <c r="AE54" s="10">
        <v>792826638.99000001</v>
      </c>
      <c r="AF54" s="10">
        <v>720415463.54999995</v>
      </c>
      <c r="AG54" s="10">
        <v>710831237.04999995</v>
      </c>
      <c r="AH54" s="10">
        <v>685092693.53999996</v>
      </c>
      <c r="AI54" s="10">
        <v>623444447.46000004</v>
      </c>
      <c r="AJ54" s="10">
        <v>584099269.07000005</v>
      </c>
      <c r="AK54" s="10">
        <v>575906355.73000002</v>
      </c>
      <c r="AL54" s="10">
        <v>642824025.63</v>
      </c>
      <c r="AM54" s="10">
        <v>634832659.15999997</v>
      </c>
      <c r="AN54" s="10">
        <v>637466044.74000001</v>
      </c>
      <c r="AO54" s="10">
        <v>423495209.81999999</v>
      </c>
      <c r="AP54" s="10">
        <v>411364074.5</v>
      </c>
      <c r="AQ54" s="10">
        <v>414688558.23000002</v>
      </c>
      <c r="AR54" s="10">
        <v>308664076.18000001</v>
      </c>
      <c r="AS54" s="10">
        <v>310137150.24000001</v>
      </c>
      <c r="AT54" s="10">
        <v>240631371.05000001</v>
      </c>
      <c r="AU54" s="10">
        <v>208860858.97</v>
      </c>
      <c r="AV54" s="10">
        <v>178052630.78</v>
      </c>
      <c r="AW54" s="10">
        <v>269348761.11000001</v>
      </c>
      <c r="AX54" s="10">
        <v>188286286.91999999</v>
      </c>
      <c r="AY54" s="10">
        <v>320008573.99000001</v>
      </c>
      <c r="AZ54" s="10">
        <v>275403561.31999999</v>
      </c>
      <c r="BA54" s="10">
        <v>396044896.51999998</v>
      </c>
      <c r="BB54" s="10">
        <v>325601208.31999999</v>
      </c>
      <c r="BC54" s="10">
        <v>199590239.62</v>
      </c>
      <c r="BD54" s="10">
        <v>200822198.28</v>
      </c>
      <c r="BE54" s="10">
        <v>213109026.88999999</v>
      </c>
      <c r="BF54" s="10">
        <v>173188379.44999999</v>
      </c>
      <c r="BG54" s="10">
        <v>139850240.44999999</v>
      </c>
      <c r="BH54" s="10">
        <v>135595654.83000001</v>
      </c>
      <c r="BI54" s="10">
        <v>127453900</v>
      </c>
      <c r="BJ54" s="10">
        <v>101540468.89</v>
      </c>
      <c r="BK54" s="10">
        <v>81084064.260000005</v>
      </c>
      <c r="BL54" s="10">
        <v>88203915.760000005</v>
      </c>
      <c r="BM54" s="10">
        <v>176692131.93000001</v>
      </c>
      <c r="BN54" s="10">
        <v>61064695.939999998</v>
      </c>
      <c r="BO54" s="10">
        <v>105580857.90000001</v>
      </c>
      <c r="BP54" s="10">
        <v>59024931.399999999</v>
      </c>
      <c r="BQ54" s="10">
        <v>18613175.010000002</v>
      </c>
      <c r="BR54" s="10">
        <v>0</v>
      </c>
    </row>
    <row r="55" spans="1:70">
      <c r="A55" t="s">
        <v>174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126932.01</v>
      </c>
      <c r="AT55" s="10">
        <v>54545315.979999997</v>
      </c>
      <c r="AU55" s="10">
        <v>3475830.49</v>
      </c>
      <c r="AV55" s="10">
        <v>46087349.149999999</v>
      </c>
      <c r="AW55" s="10">
        <v>1305119.69</v>
      </c>
      <c r="AX55" s="10">
        <v>53688595.810000002</v>
      </c>
      <c r="AY55" s="10">
        <v>40775668.579999998</v>
      </c>
      <c r="AZ55" s="10">
        <v>63003991.93</v>
      </c>
      <c r="BA55" s="10">
        <v>7450299.3799999999</v>
      </c>
      <c r="BB55" s="10">
        <v>105209502.48999999</v>
      </c>
      <c r="BC55" s="10">
        <v>53387181.340000004</v>
      </c>
      <c r="BD55" s="10">
        <v>49856432.439999998</v>
      </c>
      <c r="BE55" s="10">
        <v>5224656.87</v>
      </c>
      <c r="BF55" s="10">
        <v>75262903.829999998</v>
      </c>
      <c r="BG55" s="10">
        <v>27956929.609999999</v>
      </c>
      <c r="BH55" s="10">
        <v>23863647.309999999</v>
      </c>
      <c r="BI55" s="10">
        <v>3548598.58</v>
      </c>
      <c r="BJ55" s="10">
        <v>57419281.799999997</v>
      </c>
      <c r="BK55" s="10">
        <v>29882599.23</v>
      </c>
      <c r="BL55" s="10">
        <v>36635399.289999999</v>
      </c>
      <c r="BM55" s="10">
        <v>233559.23</v>
      </c>
      <c r="BN55" s="10">
        <v>19256032.09</v>
      </c>
      <c r="BO55" s="10">
        <v>8163.87</v>
      </c>
      <c r="BP55" s="10">
        <v>36647.61</v>
      </c>
      <c r="BQ55" s="10">
        <v>0</v>
      </c>
      <c r="BR55" s="10">
        <v>0</v>
      </c>
    </row>
    <row r="56" spans="1:70">
      <c r="A56" t="s">
        <v>175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</row>
    <row r="57" spans="1:70">
      <c r="A57" t="s">
        <v>176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</row>
    <row r="58" spans="1:70">
      <c r="A58" t="s">
        <v>177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57360000</v>
      </c>
      <c r="BQ58" s="10">
        <v>0</v>
      </c>
      <c r="BR58" s="10">
        <v>0</v>
      </c>
    </row>
    <row r="59" spans="1:70">
      <c r="A59" t="s">
        <v>178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191241.2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</row>
    <row r="60" spans="1:70">
      <c r="A60" t="s">
        <v>179</v>
      </c>
      <c r="B60" s="10">
        <v>39383620859.07</v>
      </c>
      <c r="C60" s="10">
        <v>41303919297.489998</v>
      </c>
      <c r="D60" s="10">
        <v>36509261704.5</v>
      </c>
      <c r="E60" s="10">
        <v>37020425425.690002</v>
      </c>
      <c r="F60" s="10">
        <v>33846958824.060001</v>
      </c>
      <c r="G60" s="10">
        <v>28177767489.459999</v>
      </c>
      <c r="H60" s="10">
        <v>19733620532.259998</v>
      </c>
      <c r="I60" s="10">
        <v>20051723001.48</v>
      </c>
      <c r="J60" s="10">
        <v>15622421631.059999</v>
      </c>
      <c r="K60" s="10">
        <v>8658192015.3899994</v>
      </c>
      <c r="L60" s="10">
        <v>8821102511.4599991</v>
      </c>
      <c r="M60" s="10">
        <v>10543844383.51</v>
      </c>
      <c r="N60" s="10">
        <v>8292456545.1400003</v>
      </c>
      <c r="O60" s="10">
        <v>8576184624.29</v>
      </c>
      <c r="P60" s="10">
        <v>8558284059.4799995</v>
      </c>
      <c r="Q60" s="10">
        <v>11307288403.790001</v>
      </c>
      <c r="R60" s="10">
        <v>9436300178.5200005</v>
      </c>
      <c r="S60" s="10">
        <v>7823833198.1700001</v>
      </c>
      <c r="T60" s="10">
        <v>7288816930.6700001</v>
      </c>
      <c r="U60" s="10">
        <v>9526402556.2099991</v>
      </c>
      <c r="V60" s="10">
        <v>6825540993.9300003</v>
      </c>
      <c r="W60" s="10">
        <v>11288906731.73</v>
      </c>
      <c r="X60" s="10">
        <v>7859194333.5699997</v>
      </c>
      <c r="Y60" s="10">
        <v>9480719364.1200008</v>
      </c>
      <c r="Z60" s="10">
        <v>9790958139.0499992</v>
      </c>
      <c r="AA60" s="10">
        <v>9355663214.2800007</v>
      </c>
      <c r="AB60" s="10">
        <v>8611019159.3099995</v>
      </c>
      <c r="AC60" s="10">
        <v>7028190246.0699997</v>
      </c>
      <c r="AD60" s="10">
        <v>5078258570.1999998</v>
      </c>
      <c r="AE60" s="10">
        <v>4586615419.3100004</v>
      </c>
      <c r="AF60" s="10">
        <v>4424151285.7700005</v>
      </c>
      <c r="AG60" s="10">
        <v>5108057753.5100002</v>
      </c>
      <c r="AH60" s="10">
        <v>2512260598.27</v>
      </c>
      <c r="AI60" s="10">
        <v>2796773646.4000001</v>
      </c>
      <c r="AJ60" s="10">
        <v>3007496005.1700001</v>
      </c>
      <c r="AK60" s="10">
        <v>4250769540.4000001</v>
      </c>
      <c r="AL60" s="10">
        <v>2182445187.52</v>
      </c>
      <c r="AM60" s="10">
        <v>1421462106.23</v>
      </c>
      <c r="AN60" s="10">
        <v>2270935661.4499998</v>
      </c>
      <c r="AO60" s="10">
        <v>2112616070.01</v>
      </c>
      <c r="AP60" s="10">
        <v>3241296205.6599998</v>
      </c>
      <c r="AQ60" s="10">
        <v>4007519794.1999998</v>
      </c>
      <c r="AR60" s="10">
        <v>3994927819.6599998</v>
      </c>
      <c r="AS60" s="10">
        <v>3393886354.5599999</v>
      </c>
      <c r="AT60" s="10">
        <v>3391384178.48</v>
      </c>
      <c r="AU60" s="10">
        <v>2741388243.54</v>
      </c>
      <c r="AV60" s="10">
        <v>2514741182.5500002</v>
      </c>
      <c r="AW60" s="10">
        <v>2895201383.0700002</v>
      </c>
      <c r="AX60" s="10">
        <v>2311856854.6799998</v>
      </c>
      <c r="AY60" s="10">
        <v>2037078706.51</v>
      </c>
      <c r="AZ60" s="10">
        <v>1970912838.1400001</v>
      </c>
      <c r="BA60" s="10">
        <v>2156645236.8400002</v>
      </c>
      <c r="BB60" s="10">
        <v>1727914614.4300001</v>
      </c>
      <c r="BC60" s="10">
        <v>1223660980.51</v>
      </c>
      <c r="BD60" s="10">
        <v>1127064171.48</v>
      </c>
      <c r="BE60" s="10">
        <v>1485541719.9200001</v>
      </c>
      <c r="BF60" s="10">
        <v>1235178166.3399999</v>
      </c>
      <c r="BG60" s="10">
        <v>815737095.15999997</v>
      </c>
      <c r="BH60" s="10">
        <v>803271179.95000005</v>
      </c>
      <c r="BI60" s="10">
        <v>1055556072.14</v>
      </c>
      <c r="BJ60" s="10">
        <v>838624003.00999999</v>
      </c>
      <c r="BK60" s="10">
        <v>637153988.20000005</v>
      </c>
      <c r="BL60" s="10">
        <v>698058233.12</v>
      </c>
      <c r="BM60" s="10">
        <v>925757031.16999996</v>
      </c>
      <c r="BN60" s="10">
        <v>642491805.84000003</v>
      </c>
      <c r="BO60" s="10">
        <v>825076621.86000001</v>
      </c>
      <c r="BP60" s="10">
        <v>629695102.09000003</v>
      </c>
      <c r="BQ60" s="10">
        <v>447397453.56999999</v>
      </c>
      <c r="BR60" s="10">
        <v>0</v>
      </c>
    </row>
    <row r="61" spans="1:70">
      <c r="A61" t="s">
        <v>180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</row>
    <row r="62" spans="1:70">
      <c r="A62" t="s">
        <v>181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300000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60360000</v>
      </c>
      <c r="BR62" s="10">
        <v>0</v>
      </c>
    </row>
    <row r="63" spans="1:70">
      <c r="A63" t="s">
        <v>182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</row>
    <row r="64" spans="1:70">
      <c r="A64" t="s">
        <v>183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</row>
    <row r="65" spans="1:70">
      <c r="A65" t="s">
        <v>184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</row>
    <row r="66" spans="1:70">
      <c r="A66" t="s">
        <v>185</v>
      </c>
      <c r="B66" s="10">
        <v>15570000</v>
      </c>
      <c r="C66" s="10">
        <v>15570000</v>
      </c>
      <c r="D66" s="10">
        <v>15570000</v>
      </c>
      <c r="E66" s="10">
        <v>15570000</v>
      </c>
      <c r="F66" s="10">
        <v>15570000</v>
      </c>
      <c r="G66" s="10">
        <v>15570000</v>
      </c>
      <c r="H66" s="10">
        <v>15570000</v>
      </c>
      <c r="I66" s="10">
        <v>15570000</v>
      </c>
      <c r="J66" s="10">
        <v>17770000</v>
      </c>
      <c r="K66" s="10">
        <v>17770000</v>
      </c>
      <c r="L66" s="10">
        <v>17770000</v>
      </c>
      <c r="M66" s="10">
        <v>17770000</v>
      </c>
      <c r="N66" s="10">
        <v>17770000</v>
      </c>
      <c r="O66" s="10">
        <v>17770000</v>
      </c>
      <c r="P66" s="10">
        <v>17770000</v>
      </c>
      <c r="Q66" s="10">
        <v>17770000</v>
      </c>
      <c r="R66" s="10">
        <v>17770000</v>
      </c>
      <c r="S66" s="10">
        <v>17770000</v>
      </c>
      <c r="T66" s="10">
        <v>17770000</v>
      </c>
      <c r="U66" s="10">
        <v>17770000</v>
      </c>
      <c r="V66" s="10">
        <v>17770000</v>
      </c>
      <c r="W66" s="10">
        <v>17770000</v>
      </c>
      <c r="X66" s="10">
        <v>17770000</v>
      </c>
      <c r="Y66" s="10">
        <v>16770000</v>
      </c>
      <c r="Z66" s="10">
        <v>19530000</v>
      </c>
      <c r="AA66" s="10">
        <v>19530000</v>
      </c>
      <c r="AB66" s="10">
        <v>10000000</v>
      </c>
      <c r="AC66" s="10">
        <v>10000000</v>
      </c>
      <c r="AD66" s="10">
        <v>10000000</v>
      </c>
      <c r="AE66" s="10">
        <v>10000000</v>
      </c>
      <c r="AF66" s="10">
        <v>10000000</v>
      </c>
      <c r="AG66" s="10">
        <v>10000000</v>
      </c>
      <c r="AH66" s="10">
        <v>10000000</v>
      </c>
      <c r="AI66" s="10">
        <v>10000000</v>
      </c>
      <c r="AJ66" s="10">
        <v>10000000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300000</v>
      </c>
      <c r="BA66" s="10">
        <v>0</v>
      </c>
      <c r="BB66" s="10">
        <v>300000</v>
      </c>
      <c r="BC66" s="10">
        <v>300000</v>
      </c>
      <c r="BD66" s="10">
        <v>300000</v>
      </c>
      <c r="BE66" s="10">
        <v>300000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</row>
    <row r="67" spans="1:70">
      <c r="A67" t="s">
        <v>186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</row>
    <row r="68" spans="1:70">
      <c r="A68" t="s">
        <v>187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</row>
    <row r="69" spans="1:70">
      <c r="A69" t="s">
        <v>188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</row>
    <row r="70" spans="1:70">
      <c r="A70" t="s">
        <v>189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</row>
    <row r="71" spans="1:70">
      <c r="A71" t="s">
        <v>190</v>
      </c>
      <c r="B71" s="10">
        <v>15570000</v>
      </c>
      <c r="C71" s="10">
        <v>15570000</v>
      </c>
      <c r="D71" s="10">
        <v>15570000</v>
      </c>
      <c r="E71" s="10">
        <v>15570000</v>
      </c>
      <c r="F71" s="10">
        <v>15570000</v>
      </c>
      <c r="G71" s="10">
        <v>15570000</v>
      </c>
      <c r="H71" s="10">
        <v>15570000</v>
      </c>
      <c r="I71" s="10">
        <v>15570000</v>
      </c>
      <c r="J71" s="10">
        <v>17770000</v>
      </c>
      <c r="K71" s="10">
        <v>17770000</v>
      </c>
      <c r="L71" s="10">
        <v>17770000</v>
      </c>
      <c r="M71" s="10">
        <v>17770000</v>
      </c>
      <c r="N71" s="10">
        <v>17770000</v>
      </c>
      <c r="O71" s="10">
        <v>17770000</v>
      </c>
      <c r="P71" s="10">
        <v>17770000</v>
      </c>
      <c r="Q71" s="10">
        <v>17770000</v>
      </c>
      <c r="R71" s="10">
        <v>17770000</v>
      </c>
      <c r="S71" s="10">
        <v>17770000</v>
      </c>
      <c r="T71" s="10">
        <v>17770000</v>
      </c>
      <c r="U71" s="10">
        <v>17770000</v>
      </c>
      <c r="V71" s="10">
        <v>17770000</v>
      </c>
      <c r="W71" s="10">
        <v>17770000</v>
      </c>
      <c r="X71" s="10">
        <v>17770000</v>
      </c>
      <c r="Y71" s="10">
        <v>16770000</v>
      </c>
      <c r="Z71" s="10">
        <v>19530000</v>
      </c>
      <c r="AA71" s="10">
        <v>19530000</v>
      </c>
      <c r="AB71" s="10">
        <v>10000000</v>
      </c>
      <c r="AC71" s="10">
        <v>10000000</v>
      </c>
      <c r="AD71" s="10">
        <v>10000000</v>
      </c>
      <c r="AE71" s="10">
        <v>10000000</v>
      </c>
      <c r="AF71" s="10">
        <v>10000000</v>
      </c>
      <c r="AG71" s="10">
        <v>10000000</v>
      </c>
      <c r="AH71" s="10">
        <v>10000000</v>
      </c>
      <c r="AI71" s="10">
        <v>10000000</v>
      </c>
      <c r="AJ71" s="10">
        <v>10000000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300000</v>
      </c>
      <c r="BA71" s="10">
        <v>300000</v>
      </c>
      <c r="BB71" s="10">
        <v>300000</v>
      </c>
      <c r="BC71" s="10">
        <v>300000</v>
      </c>
      <c r="BD71" s="10">
        <v>300000</v>
      </c>
      <c r="BE71" s="10">
        <v>300000</v>
      </c>
      <c r="BF71" s="10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  <c r="BO71" s="10">
        <v>0</v>
      </c>
      <c r="BP71" s="10">
        <v>0</v>
      </c>
      <c r="BQ71" s="10">
        <v>60360000</v>
      </c>
      <c r="BR71" s="10">
        <v>0</v>
      </c>
    </row>
    <row r="72" spans="1:70">
      <c r="A72" t="s">
        <v>191</v>
      </c>
      <c r="B72" s="10">
        <v>39399190859.07</v>
      </c>
      <c r="C72" s="10">
        <v>41319489297.489998</v>
      </c>
      <c r="D72" s="10">
        <v>36524831704.5</v>
      </c>
      <c r="E72" s="10">
        <v>37035995425.690002</v>
      </c>
      <c r="F72" s="10">
        <v>33862528824.060001</v>
      </c>
      <c r="G72" s="10">
        <v>28193337489.459999</v>
      </c>
      <c r="H72" s="10">
        <v>19749190532.259998</v>
      </c>
      <c r="I72" s="10">
        <v>20067293001.48</v>
      </c>
      <c r="J72" s="10">
        <v>15640191631.059999</v>
      </c>
      <c r="K72" s="10">
        <v>8675962015.3899994</v>
      </c>
      <c r="L72" s="10">
        <v>8838872511.4599991</v>
      </c>
      <c r="M72" s="10">
        <v>10561614383.51</v>
      </c>
      <c r="N72" s="10">
        <v>8310226545.1400003</v>
      </c>
      <c r="O72" s="10">
        <v>8593954624.2900009</v>
      </c>
      <c r="P72" s="10">
        <v>8576054059.4799995</v>
      </c>
      <c r="Q72" s="10">
        <v>11325058403.790001</v>
      </c>
      <c r="R72" s="10">
        <v>9454070178.5200005</v>
      </c>
      <c r="S72" s="10">
        <v>7841603198.1700001</v>
      </c>
      <c r="T72" s="10">
        <v>7306586930.6700001</v>
      </c>
      <c r="U72" s="10">
        <v>9544172556.2099991</v>
      </c>
      <c r="V72" s="10">
        <v>6843310993.9300003</v>
      </c>
      <c r="W72" s="10">
        <v>11306676731.73</v>
      </c>
      <c r="X72" s="10">
        <v>7876964333.5699997</v>
      </c>
      <c r="Y72" s="10">
        <v>9497489364.1200008</v>
      </c>
      <c r="Z72" s="10">
        <v>9810488139.0499992</v>
      </c>
      <c r="AA72" s="10">
        <v>9375193214.2800007</v>
      </c>
      <c r="AB72" s="10">
        <v>8621019159.3099995</v>
      </c>
      <c r="AC72" s="10">
        <v>7038190246.0699997</v>
      </c>
      <c r="AD72" s="10">
        <v>5088258570.1999998</v>
      </c>
      <c r="AE72" s="10">
        <v>4596615419.3100004</v>
      </c>
      <c r="AF72" s="10">
        <v>4434151285.7700005</v>
      </c>
      <c r="AG72" s="10">
        <v>5118057753.5100002</v>
      </c>
      <c r="AH72" s="10">
        <v>2522260598.27</v>
      </c>
      <c r="AI72" s="10">
        <v>2806773646.4000001</v>
      </c>
      <c r="AJ72" s="10">
        <v>3017496005.1700001</v>
      </c>
      <c r="AK72" s="10">
        <v>4250769540.4000001</v>
      </c>
      <c r="AL72" s="10">
        <v>2182445187.52</v>
      </c>
      <c r="AM72" s="10">
        <v>1421462106.23</v>
      </c>
      <c r="AN72" s="10">
        <v>2270935661.4499998</v>
      </c>
      <c r="AO72" s="10">
        <v>2112616070.01</v>
      </c>
      <c r="AP72" s="10">
        <v>3241296205.6599998</v>
      </c>
      <c r="AQ72" s="10">
        <v>4007519794.1999998</v>
      </c>
      <c r="AR72" s="10">
        <v>3994927819.6599998</v>
      </c>
      <c r="AS72" s="10">
        <v>3393886354.5599999</v>
      </c>
      <c r="AT72" s="10">
        <v>3391384178.48</v>
      </c>
      <c r="AU72" s="10">
        <v>2741388243.54</v>
      </c>
      <c r="AV72" s="10">
        <v>2514741182.5500002</v>
      </c>
      <c r="AW72" s="10">
        <v>2895201383.0700002</v>
      </c>
      <c r="AX72" s="10">
        <v>2311856854.6799998</v>
      </c>
      <c r="AY72" s="10">
        <v>2037078706.51</v>
      </c>
      <c r="AZ72" s="10">
        <v>1971212838.1400001</v>
      </c>
      <c r="BA72" s="10">
        <v>2156945236.8400002</v>
      </c>
      <c r="BB72" s="10">
        <v>1728214614.4300001</v>
      </c>
      <c r="BC72" s="10">
        <v>1223960980.51</v>
      </c>
      <c r="BD72" s="10">
        <v>1127364171.48</v>
      </c>
      <c r="BE72" s="10">
        <v>1485841719.9200001</v>
      </c>
      <c r="BF72" s="10">
        <v>1235178166.3399999</v>
      </c>
      <c r="BG72" s="10">
        <v>815737095.15999997</v>
      </c>
      <c r="BH72" s="10">
        <v>803271179.95000005</v>
      </c>
      <c r="BI72" s="10">
        <v>1055556072.14</v>
      </c>
      <c r="BJ72" s="10">
        <v>838624003.00999999</v>
      </c>
      <c r="BK72" s="10">
        <v>637153988.20000005</v>
      </c>
      <c r="BL72" s="10">
        <v>698058233.12</v>
      </c>
      <c r="BM72" s="10">
        <v>925757031.16999996</v>
      </c>
      <c r="BN72" s="10">
        <v>642491805.84000003</v>
      </c>
      <c r="BO72" s="10">
        <v>825076621.86000001</v>
      </c>
      <c r="BP72" s="10">
        <v>629695102.09000003</v>
      </c>
      <c r="BQ72" s="10">
        <v>507757453.56999999</v>
      </c>
      <c r="BR72" s="10">
        <v>0</v>
      </c>
    </row>
    <row r="73" spans="1:70">
      <c r="A73" t="s">
        <v>192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</row>
    <row r="74" spans="1:70">
      <c r="A74" t="s">
        <v>193</v>
      </c>
      <c r="B74" s="10">
        <v>1256197800</v>
      </c>
      <c r="C74" s="10">
        <v>1256197800</v>
      </c>
      <c r="D74" s="10">
        <v>1256197800</v>
      </c>
      <c r="E74" s="10">
        <v>1256197800</v>
      </c>
      <c r="F74" s="10">
        <v>1256197800</v>
      </c>
      <c r="G74" s="10">
        <v>1256197800</v>
      </c>
      <c r="H74" s="10">
        <v>1256197800</v>
      </c>
      <c r="I74" s="10">
        <v>1256197800</v>
      </c>
      <c r="J74" s="10">
        <v>1256197800</v>
      </c>
      <c r="K74" s="10">
        <v>1141998000</v>
      </c>
      <c r="L74" s="10">
        <v>1141998000</v>
      </c>
      <c r="M74" s="10">
        <v>1141998000</v>
      </c>
      <c r="N74" s="10">
        <v>1141998000</v>
      </c>
      <c r="O74" s="10">
        <v>1141998000</v>
      </c>
      <c r="P74" s="10">
        <v>1038180000</v>
      </c>
      <c r="Q74" s="10">
        <v>1038180000</v>
      </c>
      <c r="R74" s="10">
        <v>1038180000</v>
      </c>
      <c r="S74" s="10">
        <v>1038180000</v>
      </c>
      <c r="T74" s="10">
        <v>1038180000</v>
      </c>
      <c r="U74" s="10">
        <v>1038180000</v>
      </c>
      <c r="V74" s="10">
        <v>1038180000</v>
      </c>
      <c r="W74" s="10">
        <v>1038180000</v>
      </c>
      <c r="X74" s="10">
        <v>1038180000</v>
      </c>
      <c r="Y74" s="10">
        <v>1038180000</v>
      </c>
      <c r="Z74" s="10">
        <v>1038180000</v>
      </c>
      <c r="AA74" s="10">
        <v>943800000</v>
      </c>
      <c r="AB74" s="10">
        <v>943800000</v>
      </c>
      <c r="AC74" s="10">
        <v>943800000</v>
      </c>
      <c r="AD74" s="10">
        <v>943800000</v>
      </c>
      <c r="AE74" s="10">
        <v>943800000</v>
      </c>
      <c r="AF74" s="10">
        <v>943800000</v>
      </c>
      <c r="AG74" s="10">
        <v>943800000</v>
      </c>
      <c r="AH74" s="10">
        <v>943800000</v>
      </c>
      <c r="AI74" s="10">
        <v>943800000</v>
      </c>
      <c r="AJ74" s="10">
        <v>943800000</v>
      </c>
      <c r="AK74" s="10">
        <v>943800000</v>
      </c>
      <c r="AL74" s="10">
        <v>943800000</v>
      </c>
      <c r="AM74" s="10">
        <v>943800000</v>
      </c>
      <c r="AN74" s="10">
        <v>943800000</v>
      </c>
      <c r="AO74" s="10">
        <v>943800000</v>
      </c>
      <c r="AP74" s="10">
        <v>943800000</v>
      </c>
      <c r="AQ74" s="10">
        <v>943800000</v>
      </c>
      <c r="AR74" s="10">
        <v>943800000</v>
      </c>
      <c r="AS74" s="10">
        <v>943800000</v>
      </c>
      <c r="AT74" s="10">
        <v>943800000</v>
      </c>
      <c r="AU74" s="10">
        <v>943800000</v>
      </c>
      <c r="AV74" s="10">
        <v>471900000</v>
      </c>
      <c r="AW74" s="10">
        <v>471900000</v>
      </c>
      <c r="AX74" s="10">
        <v>471900000</v>
      </c>
      <c r="AY74" s="10">
        <v>393250000</v>
      </c>
      <c r="AZ74" s="10">
        <v>393250000</v>
      </c>
      <c r="BA74" s="10">
        <v>393250000</v>
      </c>
      <c r="BB74" s="10">
        <v>393250000</v>
      </c>
      <c r="BC74" s="10">
        <v>275000000</v>
      </c>
      <c r="BD74" s="10">
        <v>275000000</v>
      </c>
      <c r="BE74" s="10">
        <v>275000000</v>
      </c>
      <c r="BF74" s="10">
        <v>275000000</v>
      </c>
      <c r="BG74" s="10">
        <v>275000000</v>
      </c>
      <c r="BH74" s="10">
        <v>275000000</v>
      </c>
      <c r="BI74" s="10">
        <v>275000000</v>
      </c>
      <c r="BJ74" s="10">
        <v>250000000</v>
      </c>
      <c r="BK74" s="10">
        <v>250000000</v>
      </c>
      <c r="BL74" s="10">
        <v>250000000</v>
      </c>
      <c r="BM74" s="10">
        <v>250000000</v>
      </c>
      <c r="BN74" s="10">
        <v>185000000</v>
      </c>
      <c r="BO74" s="10">
        <v>185000000</v>
      </c>
      <c r="BP74" s="10">
        <v>185000000</v>
      </c>
      <c r="BQ74" s="10">
        <v>0</v>
      </c>
      <c r="BR74" s="10">
        <v>0</v>
      </c>
    </row>
    <row r="75" spans="1:70">
      <c r="A75" t="s">
        <v>194</v>
      </c>
      <c r="B75" s="10">
        <v>1374964415.72</v>
      </c>
      <c r="C75" s="10">
        <v>1374964415.72</v>
      </c>
      <c r="D75" s="10">
        <v>1374964415.72</v>
      </c>
      <c r="E75" s="10">
        <v>1374964415.72</v>
      </c>
      <c r="F75" s="10">
        <v>1374964415.72</v>
      </c>
      <c r="G75" s="10">
        <v>1374964415.72</v>
      </c>
      <c r="H75" s="10">
        <v>1374964415.72</v>
      </c>
      <c r="I75" s="10">
        <v>1374964415.72</v>
      </c>
      <c r="J75" s="10">
        <v>1374964415.72</v>
      </c>
      <c r="K75" s="10">
        <v>1374964415.72</v>
      </c>
      <c r="L75" s="10">
        <v>1374964415.72</v>
      </c>
      <c r="M75" s="10">
        <v>1374964415.72</v>
      </c>
      <c r="N75" s="10">
        <v>1374964415.72</v>
      </c>
      <c r="O75" s="10">
        <v>1374964415.72</v>
      </c>
      <c r="P75" s="10">
        <v>1374964415.72</v>
      </c>
      <c r="Q75" s="10">
        <v>1374964415.72</v>
      </c>
      <c r="R75" s="10">
        <v>1374964415.72</v>
      </c>
      <c r="S75" s="10">
        <v>1374964415.72</v>
      </c>
      <c r="T75" s="10">
        <v>1374964415.72</v>
      </c>
      <c r="U75" s="10">
        <v>1374964415.72</v>
      </c>
      <c r="V75" s="10">
        <v>1374964415.72</v>
      </c>
      <c r="W75" s="10">
        <v>1374964415.72</v>
      </c>
      <c r="X75" s="10">
        <v>1374964415.72</v>
      </c>
      <c r="Y75" s="10">
        <v>1374964415.72</v>
      </c>
      <c r="Z75" s="10">
        <v>1374964415.72</v>
      </c>
      <c r="AA75" s="10">
        <v>1374964415.72</v>
      </c>
      <c r="AB75" s="10">
        <v>1374964415.72</v>
      </c>
      <c r="AC75" s="10">
        <v>1374964415.72</v>
      </c>
      <c r="AD75" s="10">
        <v>1374964415.72</v>
      </c>
      <c r="AE75" s="10">
        <v>1374964415.72</v>
      </c>
      <c r="AF75" s="10">
        <v>1374964415.72</v>
      </c>
      <c r="AG75" s="10">
        <v>1374964415.72</v>
      </c>
      <c r="AH75" s="10">
        <v>1374964415.72</v>
      </c>
      <c r="AI75" s="10">
        <v>1374964415.72</v>
      </c>
      <c r="AJ75" s="10">
        <v>1374964415.72</v>
      </c>
      <c r="AK75" s="10">
        <v>1374964415.72</v>
      </c>
      <c r="AL75" s="10">
        <v>1375111415.72</v>
      </c>
      <c r="AM75" s="10">
        <v>1375001165.72</v>
      </c>
      <c r="AN75" s="10">
        <v>1375001165.72</v>
      </c>
      <c r="AO75" s="10">
        <v>1374964415.72</v>
      </c>
      <c r="AP75" s="10">
        <v>1374898755.72</v>
      </c>
      <c r="AQ75" s="10">
        <v>1374878083.6099999</v>
      </c>
      <c r="AR75" s="10">
        <v>1374779593.6099999</v>
      </c>
      <c r="AS75" s="10">
        <v>1374449260.6099999</v>
      </c>
      <c r="AT75" s="10">
        <v>1374750770.6099999</v>
      </c>
      <c r="AU75" s="10">
        <v>1374285110.6099999</v>
      </c>
      <c r="AV75" s="10">
        <v>1846185110.6099999</v>
      </c>
      <c r="AW75" s="10">
        <v>1846119450.6099999</v>
      </c>
      <c r="AX75" s="10">
        <v>1845673790.6099999</v>
      </c>
      <c r="AY75" s="10">
        <v>1924023790.6099999</v>
      </c>
      <c r="AZ75" s="10">
        <v>1923937320.54</v>
      </c>
      <c r="BA75" s="10">
        <v>1923937320.54</v>
      </c>
      <c r="BB75" s="10">
        <v>1923800640.54</v>
      </c>
      <c r="BC75" s="10">
        <v>2014484980.54</v>
      </c>
      <c r="BD75" s="10">
        <v>2014484980.54</v>
      </c>
      <c r="BE75" s="10">
        <v>2014484980.54</v>
      </c>
      <c r="BF75" s="10">
        <v>2014419320.54</v>
      </c>
      <c r="BG75" s="10">
        <v>2014386490.54</v>
      </c>
      <c r="BH75" s="10">
        <v>2014320830.54</v>
      </c>
      <c r="BI75" s="10">
        <v>2014320830.54</v>
      </c>
      <c r="BJ75" s="10">
        <v>2039255170.54</v>
      </c>
      <c r="BK75" s="10">
        <v>2039255170.54</v>
      </c>
      <c r="BL75" s="10">
        <v>2039221850.54</v>
      </c>
      <c r="BM75" s="10">
        <v>2039189510.54</v>
      </c>
      <c r="BN75" s="10">
        <v>89470324.019999996</v>
      </c>
      <c r="BO75" s="10">
        <v>88432681.620000005</v>
      </c>
      <c r="BP75" s="10">
        <v>88432681.620000005</v>
      </c>
      <c r="BQ75" s="10">
        <v>0</v>
      </c>
      <c r="BR75" s="10">
        <v>0</v>
      </c>
    </row>
    <row r="76" spans="1:70">
      <c r="A76" t="s">
        <v>195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0</v>
      </c>
      <c r="BM76" s="10">
        <v>0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</row>
    <row r="77" spans="1:70">
      <c r="A77" t="s">
        <v>196</v>
      </c>
      <c r="B77" s="10">
        <v>-7229608.1600000001</v>
      </c>
      <c r="C77" s="10">
        <v>-7793841.0499999998</v>
      </c>
      <c r="D77" s="10">
        <v>-10729839.77</v>
      </c>
      <c r="E77" s="10">
        <v>-11240841.560000001</v>
      </c>
      <c r="F77" s="10">
        <v>-9828907.2300000004</v>
      </c>
      <c r="G77" s="10">
        <v>-10741866.18</v>
      </c>
      <c r="H77" s="10">
        <v>-9516873.0800000001</v>
      </c>
      <c r="I77" s="10">
        <v>-13034075.470000001</v>
      </c>
      <c r="J77" s="10">
        <v>-12472326.27</v>
      </c>
      <c r="K77" s="10">
        <v>-14908204.18</v>
      </c>
      <c r="L77" s="10">
        <v>-10342175.050000001</v>
      </c>
      <c r="M77" s="10">
        <v>-619043.99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0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</row>
    <row r="78" spans="1:70">
      <c r="A78" t="s">
        <v>197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</row>
    <row r="79" spans="1:70">
      <c r="A79" t="s">
        <v>198</v>
      </c>
      <c r="B79" s="10">
        <v>8032437263.1199999</v>
      </c>
      <c r="C79" s="10">
        <v>8032437263.1199999</v>
      </c>
      <c r="D79" s="10">
        <v>7135649963.1199999</v>
      </c>
      <c r="E79" s="10">
        <v>7135649963.1199999</v>
      </c>
      <c r="F79" s="10">
        <v>7083825670.9399996</v>
      </c>
      <c r="G79" s="10">
        <v>7083825670.9399996</v>
      </c>
      <c r="H79" s="10">
        <v>6210524497.54</v>
      </c>
      <c r="I79" s="10">
        <v>6210524497.54</v>
      </c>
      <c r="J79" s="10">
        <v>5249407234.6199999</v>
      </c>
      <c r="K79" s="10">
        <v>5249407234.6199999</v>
      </c>
      <c r="L79" s="10">
        <v>5249407234.6199999</v>
      </c>
      <c r="M79" s="10">
        <v>5249407234.6199999</v>
      </c>
      <c r="N79" s="10">
        <v>5276552448.5200005</v>
      </c>
      <c r="O79" s="10">
        <v>5276552448.5200005</v>
      </c>
      <c r="P79" s="10">
        <v>4220803927.1799998</v>
      </c>
      <c r="Q79" s="10">
        <v>4220803927.1799998</v>
      </c>
      <c r="R79" s="10">
        <v>4221669105.9299998</v>
      </c>
      <c r="S79" s="10">
        <v>4221669105.9299998</v>
      </c>
      <c r="T79" s="10">
        <v>3036434460.46</v>
      </c>
      <c r="U79" s="10">
        <v>3036434460.46</v>
      </c>
      <c r="V79" s="10">
        <v>3038678758.3000002</v>
      </c>
      <c r="W79" s="10">
        <v>3038678758.3000002</v>
      </c>
      <c r="X79" s="10">
        <v>2640916373.3499999</v>
      </c>
      <c r="Y79" s="10">
        <v>2640916373.3499999</v>
      </c>
      <c r="Z79" s="10">
        <v>2206854637.2199998</v>
      </c>
      <c r="AA79" s="10">
        <v>2206854637.2199998</v>
      </c>
      <c r="AB79" s="10">
        <v>2176754189.4699998</v>
      </c>
      <c r="AC79" s="10">
        <v>2176754189.4699998</v>
      </c>
      <c r="AD79" s="10">
        <v>1702957797.0999999</v>
      </c>
      <c r="AE79" s="10">
        <v>1702957797.0999999</v>
      </c>
      <c r="AF79" s="10">
        <v>1585666147.4000001</v>
      </c>
      <c r="AG79" s="10">
        <v>1585666147.4000001</v>
      </c>
      <c r="AH79" s="10">
        <v>1344191389.0599999</v>
      </c>
      <c r="AI79" s="10">
        <v>1344191389.0599999</v>
      </c>
      <c r="AJ79" s="10">
        <v>1001133829.72</v>
      </c>
      <c r="AK79" s="10">
        <v>1001133829.72</v>
      </c>
      <c r="AL79" s="10">
        <v>996505519.39999998</v>
      </c>
      <c r="AM79" s="10">
        <v>996505519.39999998</v>
      </c>
      <c r="AN79" s="10">
        <v>838320965.63</v>
      </c>
      <c r="AO79" s="10">
        <v>838320965.63</v>
      </c>
      <c r="AP79" s="10">
        <v>1264879718.52</v>
      </c>
      <c r="AQ79" s="10">
        <v>1264879718.52</v>
      </c>
      <c r="AR79" s="10">
        <v>1254272843.9200001</v>
      </c>
      <c r="AS79" s="10">
        <v>1253305422.0599999</v>
      </c>
      <c r="AT79" s="10">
        <v>967252340.82000005</v>
      </c>
      <c r="AU79" s="10">
        <v>967252340.82000005</v>
      </c>
      <c r="AV79" s="10">
        <v>967252340.82000005</v>
      </c>
      <c r="AW79" s="10">
        <v>967252340.82000005</v>
      </c>
      <c r="AX79" s="10">
        <v>648560928.29999995</v>
      </c>
      <c r="AY79" s="10">
        <v>648560928.29999995</v>
      </c>
      <c r="AZ79" s="10">
        <v>648560928.29999995</v>
      </c>
      <c r="BA79" s="10">
        <v>648560928.29999995</v>
      </c>
      <c r="BB79" s="10">
        <v>424392525.00999999</v>
      </c>
      <c r="BC79" s="10">
        <v>424392525.00999999</v>
      </c>
      <c r="BD79" s="10">
        <v>424392525.00999999</v>
      </c>
      <c r="BE79" s="10">
        <v>424392228.41000003</v>
      </c>
      <c r="BF79" s="10">
        <v>341468411.01999998</v>
      </c>
      <c r="BG79" s="10">
        <v>341440996.33999997</v>
      </c>
      <c r="BH79" s="10">
        <v>275280085.31999999</v>
      </c>
      <c r="BI79" s="10">
        <v>275280085.31999999</v>
      </c>
      <c r="BJ79" s="10">
        <v>227558468.19</v>
      </c>
      <c r="BK79" s="10">
        <v>227558468.19</v>
      </c>
      <c r="BL79" s="10">
        <v>163612517.12</v>
      </c>
      <c r="BM79" s="10">
        <v>163612517.12</v>
      </c>
      <c r="BN79" s="10">
        <v>114734706.56</v>
      </c>
      <c r="BO79" s="10">
        <v>63435431.119999997</v>
      </c>
      <c r="BP79" s="10">
        <v>6166053.1900000004</v>
      </c>
      <c r="BQ79" s="10">
        <v>0</v>
      </c>
      <c r="BR79" s="10">
        <v>0</v>
      </c>
    </row>
    <row r="80" spans="1:70">
      <c r="A80" t="s">
        <v>199</v>
      </c>
      <c r="B80" s="10">
        <v>420758409.36000001</v>
      </c>
      <c r="C80" s="10">
        <v>420758409.36000001</v>
      </c>
      <c r="D80" s="10">
        <v>420758409.36000001</v>
      </c>
      <c r="E80" s="10">
        <v>420758409.36000001</v>
      </c>
      <c r="F80" s="10">
        <v>218361303.43000001</v>
      </c>
      <c r="G80" s="10">
        <v>218361303.43000001</v>
      </c>
      <c r="H80" s="10">
        <v>218361303.43000001</v>
      </c>
      <c r="I80" s="10">
        <v>218361303.43000001</v>
      </c>
      <c r="J80" s="10">
        <v>134294502.37</v>
      </c>
      <c r="K80" s="10">
        <v>134294502.37</v>
      </c>
      <c r="L80" s="10">
        <v>98594502.370000005</v>
      </c>
      <c r="M80" s="10">
        <v>98594502.370000005</v>
      </c>
      <c r="N80" s="10">
        <v>28596286.27</v>
      </c>
      <c r="O80" s="10">
        <v>28596286.27</v>
      </c>
      <c r="P80" s="10">
        <v>13296286.27</v>
      </c>
      <c r="Q80" s="10">
        <v>13296286.27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</row>
    <row r="81" spans="1:70">
      <c r="A81" t="s">
        <v>200</v>
      </c>
      <c r="B81" s="10">
        <v>73279053245.520004</v>
      </c>
      <c r="C81" s="10">
        <v>64546067191.129997</v>
      </c>
      <c r="D81" s="10">
        <v>68840927360.740005</v>
      </c>
      <c r="E81" s="10">
        <v>62717808036.610001</v>
      </c>
      <c r="F81" s="10">
        <v>58719244464.699997</v>
      </c>
      <c r="G81" s="10">
        <v>55056303838.580002</v>
      </c>
      <c r="H81" s="10">
        <v>59768236093.089996</v>
      </c>
      <c r="I81" s="10">
        <v>54878964497.769997</v>
      </c>
      <c r="J81" s="10">
        <v>51845696029.080002</v>
      </c>
      <c r="K81" s="10">
        <v>53418589613.540001</v>
      </c>
      <c r="L81" s="10">
        <v>49930959058.260002</v>
      </c>
      <c r="M81" s="10">
        <v>45566057337.370003</v>
      </c>
      <c r="N81" s="10">
        <v>40918438890.050003</v>
      </c>
      <c r="O81" s="10">
        <v>37454963518.709999</v>
      </c>
      <c r="P81" s="10">
        <v>39640361782.25</v>
      </c>
      <c r="Q81" s="10">
        <v>35974971858.639999</v>
      </c>
      <c r="R81" s="10">
        <v>31915957705.959999</v>
      </c>
      <c r="S81" s="10">
        <v>28098707911.970001</v>
      </c>
      <c r="T81" s="10">
        <v>32293173381.169998</v>
      </c>
      <c r="U81" s="10">
        <v>28700075247.5</v>
      </c>
      <c r="V81" s="10">
        <v>25807560553.650002</v>
      </c>
      <c r="W81" s="10">
        <v>22385472933.189999</v>
      </c>
      <c r="X81" s="10">
        <v>22906334977.689999</v>
      </c>
      <c r="Y81" s="10">
        <v>19937119181.959999</v>
      </c>
      <c r="Z81" s="10">
        <v>18177119652.080002</v>
      </c>
      <c r="AA81" s="10">
        <v>16609592149.389999</v>
      </c>
      <c r="AB81" s="10">
        <v>15787250430.540001</v>
      </c>
      <c r="AC81" s="10">
        <v>13903255455.610001</v>
      </c>
      <c r="AD81" s="10">
        <v>13500031622.98</v>
      </c>
      <c r="AE81" s="10">
        <v>12425614934.950001</v>
      </c>
      <c r="AF81" s="10">
        <v>11827214855.1</v>
      </c>
      <c r="AG81" s="10">
        <v>10561552279.690001</v>
      </c>
      <c r="AH81" s="10">
        <v>10277532334.969999</v>
      </c>
      <c r="AI81" s="10">
        <v>9280857397.3999996</v>
      </c>
      <c r="AJ81" s="10">
        <v>9141680742.6900005</v>
      </c>
      <c r="AK81" s="10">
        <v>7924671271.0299997</v>
      </c>
      <c r="AL81" s="10">
        <v>7274577877.2399998</v>
      </c>
      <c r="AM81" s="10">
        <v>6369380098.8400002</v>
      </c>
      <c r="AN81" s="10">
        <v>5950374457.8599997</v>
      </c>
      <c r="AO81" s="10">
        <v>5077020374.5799999</v>
      </c>
      <c r="AP81" s="10">
        <v>3291064389.6399999</v>
      </c>
      <c r="AQ81" s="10">
        <v>2550293482.9499998</v>
      </c>
      <c r="AR81" s="10">
        <v>2247683074.8000002</v>
      </c>
      <c r="AS81" s="10">
        <v>1664790770.9100001</v>
      </c>
      <c r="AT81" s="10">
        <v>2058380373.47</v>
      </c>
      <c r="AU81" s="10">
        <v>1712637291.5699999</v>
      </c>
      <c r="AV81" s="10">
        <v>2114646547.6199999</v>
      </c>
      <c r="AW81" s="10">
        <v>1665055777.74</v>
      </c>
      <c r="AX81" s="10">
        <v>1708963307.54</v>
      </c>
      <c r="AY81" s="10">
        <v>1487562486.74</v>
      </c>
      <c r="AZ81" s="10">
        <v>1375914951.6300001</v>
      </c>
      <c r="BA81" s="10">
        <v>1006775560.89</v>
      </c>
      <c r="BB81" s="10">
        <v>1122584115.97</v>
      </c>
      <c r="BC81" s="10">
        <v>983599159.49000001</v>
      </c>
      <c r="BD81" s="10">
        <v>899399260.28999996</v>
      </c>
      <c r="BE81" s="10">
        <v>634515263.59000003</v>
      </c>
      <c r="BF81" s="10">
        <v>575940966.96000004</v>
      </c>
      <c r="BG81" s="10">
        <v>474604497.82999998</v>
      </c>
      <c r="BH81" s="10">
        <v>505853609.79000002</v>
      </c>
      <c r="BI81" s="10">
        <v>288244590.30000001</v>
      </c>
      <c r="BJ81" s="10">
        <v>323418256.06999999</v>
      </c>
      <c r="BK81" s="10">
        <v>252443665.06</v>
      </c>
      <c r="BL81" s="10">
        <v>284561899.63</v>
      </c>
      <c r="BM81" s="10">
        <v>78113637.140000001</v>
      </c>
      <c r="BN81" s="10">
        <v>172340372.66</v>
      </c>
      <c r="BO81" s="10">
        <v>105552620.23</v>
      </c>
      <c r="BP81" s="10">
        <v>5763120.4199999999</v>
      </c>
      <c r="BQ81" s="10">
        <v>0</v>
      </c>
      <c r="BR81" s="10">
        <v>0</v>
      </c>
    </row>
    <row r="82" spans="1:70">
      <c r="A82" t="s">
        <v>201</v>
      </c>
      <c r="B82" s="10">
        <v>84356181525.559998</v>
      </c>
      <c r="C82" s="10">
        <v>75622631238.279999</v>
      </c>
      <c r="D82" s="10">
        <v>79017768109.169998</v>
      </c>
      <c r="E82" s="10">
        <v>72894137783.25</v>
      </c>
      <c r="F82" s="10">
        <v>68642764747.559998</v>
      </c>
      <c r="G82" s="10">
        <v>64978911162.489998</v>
      </c>
      <c r="H82" s="10">
        <v>68818767236.699997</v>
      </c>
      <c r="I82" s="10">
        <v>63925978438.989998</v>
      </c>
      <c r="J82" s="10">
        <v>59848087655.519997</v>
      </c>
      <c r="K82" s="10">
        <v>61304345562.07</v>
      </c>
      <c r="L82" s="10">
        <v>57785581035.919998</v>
      </c>
      <c r="M82" s="10">
        <v>53430402446.089996</v>
      </c>
      <c r="N82" s="10">
        <v>48740550040.559998</v>
      </c>
      <c r="O82" s="10">
        <v>45277074669.220001</v>
      </c>
      <c r="P82" s="10">
        <v>46287606411.419998</v>
      </c>
      <c r="Q82" s="10">
        <v>42622216487.809998</v>
      </c>
      <c r="R82" s="10">
        <v>38550771227.610001</v>
      </c>
      <c r="S82" s="10">
        <v>34733521433.620003</v>
      </c>
      <c r="T82" s="10">
        <v>37742752257.349998</v>
      </c>
      <c r="U82" s="10">
        <v>34149654123.68</v>
      </c>
      <c r="V82" s="10">
        <v>31259383727.669998</v>
      </c>
      <c r="W82" s="10">
        <v>27837296107.209999</v>
      </c>
      <c r="X82" s="10">
        <v>27960395766.759998</v>
      </c>
      <c r="Y82" s="10">
        <v>24991179971.029999</v>
      </c>
      <c r="Z82" s="10">
        <v>22797118705.02</v>
      </c>
      <c r="AA82" s="10">
        <v>21135211202.330002</v>
      </c>
      <c r="AB82" s="10">
        <v>20282769035.73</v>
      </c>
      <c r="AC82" s="10">
        <v>18398774060.799999</v>
      </c>
      <c r="AD82" s="10">
        <v>17521753835.799999</v>
      </c>
      <c r="AE82" s="10">
        <v>16447337147.77</v>
      </c>
      <c r="AF82" s="10">
        <v>15731645418.219999</v>
      </c>
      <c r="AG82" s="10">
        <v>14465982842.809999</v>
      </c>
      <c r="AH82" s="10">
        <v>13940488139.75</v>
      </c>
      <c r="AI82" s="10">
        <v>12943813202.18</v>
      </c>
      <c r="AJ82" s="10">
        <v>12461578988.129999</v>
      </c>
      <c r="AK82" s="10">
        <v>11244569516.469999</v>
      </c>
      <c r="AL82" s="10">
        <v>10589994812.360001</v>
      </c>
      <c r="AM82" s="10">
        <v>9684686783.9599991</v>
      </c>
      <c r="AN82" s="10">
        <v>9107496589.2099991</v>
      </c>
      <c r="AO82" s="10">
        <v>8234105755.9300003</v>
      </c>
      <c r="AP82" s="10">
        <v>6874642863.8800001</v>
      </c>
      <c r="AQ82" s="10">
        <v>6133851285.0799999</v>
      </c>
      <c r="AR82" s="10">
        <v>5820535512.3299999</v>
      </c>
      <c r="AS82" s="10">
        <v>5897005453.5799999</v>
      </c>
      <c r="AT82" s="10">
        <v>5344183484.8999996</v>
      </c>
      <c r="AU82" s="10">
        <v>5001822019.8000002</v>
      </c>
      <c r="AV82" s="10">
        <v>5541553999.0500002</v>
      </c>
      <c r="AW82" s="10">
        <v>5091897569.1700001</v>
      </c>
      <c r="AX82" s="10">
        <v>4713459586.4499998</v>
      </c>
      <c r="AY82" s="10">
        <v>4650022205.6499996</v>
      </c>
      <c r="AZ82" s="10">
        <v>4538288200.4700003</v>
      </c>
      <c r="BA82" s="10">
        <v>4169148809.73</v>
      </c>
      <c r="BB82" s="10">
        <v>3864027281.52</v>
      </c>
      <c r="BC82" s="10">
        <v>3788226665.04</v>
      </c>
      <c r="BD82" s="10">
        <v>3704026765.8400002</v>
      </c>
      <c r="BE82" s="10">
        <v>3439142472.54</v>
      </c>
      <c r="BF82" s="10">
        <v>3206828698.52</v>
      </c>
      <c r="BG82" s="10">
        <v>3105431984.71</v>
      </c>
      <c r="BH82" s="10">
        <v>3070454525.6500001</v>
      </c>
      <c r="BI82" s="10">
        <v>2852230484.27</v>
      </c>
      <c r="BJ82" s="10">
        <v>2840231894.8000002</v>
      </c>
      <c r="BK82" s="10">
        <v>2769257303.79</v>
      </c>
      <c r="BL82" s="10">
        <v>2737396267.29</v>
      </c>
      <c r="BM82" s="10">
        <v>2530915664.8000002</v>
      </c>
      <c r="BN82" s="10">
        <v>561545403.24000001</v>
      </c>
      <c r="BO82" s="10">
        <v>442420732.97000003</v>
      </c>
      <c r="BP82" s="10">
        <v>285361855.23000002</v>
      </c>
      <c r="BQ82" s="10">
        <v>234091527.97999999</v>
      </c>
      <c r="BR82" s="10">
        <v>0</v>
      </c>
    </row>
    <row r="83" spans="1:70">
      <c r="A83" t="s">
        <v>6</v>
      </c>
      <c r="B83" s="10">
        <v>4024663748.5700002</v>
      </c>
      <c r="C83" s="10">
        <v>3440619432.1799998</v>
      </c>
      <c r="D83" s="10">
        <v>3436119206.4099998</v>
      </c>
      <c r="E83" s="10">
        <v>3004405071.4699998</v>
      </c>
      <c r="F83" s="10">
        <v>2640738713.5100002</v>
      </c>
      <c r="G83" s="10">
        <v>2374250520.8899999</v>
      </c>
      <c r="H83" s="10">
        <v>2122491752.9200001</v>
      </c>
      <c r="I83" s="10">
        <v>2308191982.3000002</v>
      </c>
      <c r="J83" s="10">
        <v>2070754902.5599999</v>
      </c>
      <c r="K83" s="10">
        <v>2357436627.4699998</v>
      </c>
      <c r="L83" s="10">
        <v>2144567091.04</v>
      </c>
      <c r="M83" s="10">
        <v>1881148395.03</v>
      </c>
      <c r="N83" s="10">
        <v>1600778530.95</v>
      </c>
      <c r="O83" s="10">
        <v>1347102212</v>
      </c>
      <c r="P83" s="10">
        <v>1165965233.21</v>
      </c>
      <c r="Q83" s="10">
        <v>1506875785.45</v>
      </c>
      <c r="R83" s="10">
        <v>1269596474.5799999</v>
      </c>
      <c r="S83" s="10">
        <v>1045585749.9</v>
      </c>
      <c r="T83" s="10">
        <v>852880798.07000005</v>
      </c>
      <c r="U83" s="10">
        <v>1304382273.5699999</v>
      </c>
      <c r="V83" s="10">
        <v>732181741.11000001</v>
      </c>
      <c r="W83" s="10">
        <v>567479126.41999996</v>
      </c>
      <c r="X83" s="10">
        <v>570224635.26999998</v>
      </c>
      <c r="Y83" s="10">
        <v>412199640.25999999</v>
      </c>
      <c r="Z83" s="10">
        <v>286651411.25999999</v>
      </c>
      <c r="AA83" s="10">
        <v>409744684.81999999</v>
      </c>
      <c r="AB83" s="10">
        <v>257911988.53</v>
      </c>
      <c r="AC83" s="10">
        <v>150615633.81999999</v>
      </c>
      <c r="AD83" s="10">
        <v>200016357.63999999</v>
      </c>
      <c r="AE83" s="10">
        <v>289876148.44999999</v>
      </c>
      <c r="AF83" s="10">
        <v>264302773.80000001</v>
      </c>
      <c r="AG83" s="10">
        <v>185582551.40000001</v>
      </c>
      <c r="AH83" s="10">
        <v>275191591.27999997</v>
      </c>
      <c r="AI83" s="10">
        <v>223163166.90000001</v>
      </c>
      <c r="AJ83" s="10">
        <v>146428490.91</v>
      </c>
      <c r="AK83" s="10">
        <v>258848779.47999999</v>
      </c>
      <c r="AL83" s="10">
        <v>217009921.47999999</v>
      </c>
      <c r="AM83" s="10">
        <v>169948192.50999999</v>
      </c>
      <c r="AN83" s="10">
        <v>178444675.81999999</v>
      </c>
      <c r="AO83" s="10">
        <v>134750014.50999999</v>
      </c>
      <c r="AP83" s="10">
        <v>78256460.450000003</v>
      </c>
      <c r="AQ83" s="10">
        <v>85560610.409999996</v>
      </c>
      <c r="AR83" s="10">
        <v>67841281.260000005</v>
      </c>
      <c r="AS83" s="10">
        <v>98023195.849999994</v>
      </c>
      <c r="AT83" s="10">
        <v>70860943.209999993</v>
      </c>
      <c r="AU83" s="10">
        <v>56652336.340000004</v>
      </c>
      <c r="AV83" s="10">
        <v>46741572.689999998</v>
      </c>
      <c r="AW83" s="10">
        <v>70497512.349999994</v>
      </c>
      <c r="AX83" s="10">
        <v>52043760.579999998</v>
      </c>
      <c r="AY83" s="10">
        <v>41815125.100000001</v>
      </c>
      <c r="AZ83" s="10">
        <v>62360963.520000003</v>
      </c>
      <c r="BA83" s="10">
        <v>47558937</v>
      </c>
      <c r="BB83" s="10">
        <v>36447084.609999999</v>
      </c>
      <c r="BC83" s="10">
        <v>28918630.640000001</v>
      </c>
      <c r="BD83" s="10">
        <v>23767728.199999999</v>
      </c>
      <c r="BE83" s="10">
        <v>31381618.390000001</v>
      </c>
      <c r="BF83" s="10">
        <v>24687926.82</v>
      </c>
      <c r="BG83" s="10">
        <v>19341187.829999998</v>
      </c>
      <c r="BH83" s="10">
        <v>30018150.66</v>
      </c>
      <c r="BI83" s="10">
        <v>22503488.420000002</v>
      </c>
      <c r="BJ83" s="10">
        <v>17572455.670000002</v>
      </c>
      <c r="BK83" s="10">
        <v>14795436.99</v>
      </c>
      <c r="BL83" s="10">
        <v>14066109.310000001</v>
      </c>
      <c r="BM83" s="10">
        <v>6716039.0099999998</v>
      </c>
      <c r="BN83" s="10">
        <v>0</v>
      </c>
      <c r="BO83" s="10">
        <v>1358890.07</v>
      </c>
      <c r="BP83" s="10">
        <v>0</v>
      </c>
      <c r="BQ83" s="10">
        <v>0</v>
      </c>
      <c r="BR83" s="10">
        <v>0</v>
      </c>
    </row>
    <row r="84" spans="1:70">
      <c r="A84" t="s">
        <v>202</v>
      </c>
      <c r="B84" s="10">
        <v>88380845274.130005</v>
      </c>
      <c r="C84" s="10">
        <v>79063250670.460007</v>
      </c>
      <c r="D84" s="10">
        <v>82453887315.580002</v>
      </c>
      <c r="E84" s="10">
        <v>75898542854.720001</v>
      </c>
      <c r="F84" s="10">
        <v>71283503461.070007</v>
      </c>
      <c r="G84" s="10">
        <v>67353161683.379997</v>
      </c>
      <c r="H84" s="10">
        <v>70941258989.619995</v>
      </c>
      <c r="I84" s="10">
        <v>66234170421.290001</v>
      </c>
      <c r="J84" s="10">
        <v>61918842558.080002</v>
      </c>
      <c r="K84" s="10">
        <v>63661782189.540001</v>
      </c>
      <c r="L84" s="10">
        <v>59930148126.959999</v>
      </c>
      <c r="M84" s="10">
        <v>55311550841.120003</v>
      </c>
      <c r="N84" s="10">
        <v>50341328571.510002</v>
      </c>
      <c r="O84" s="10">
        <v>46624176881.220001</v>
      </c>
      <c r="P84" s="10">
        <v>47453571644.629997</v>
      </c>
      <c r="Q84" s="10">
        <v>44129092273.260002</v>
      </c>
      <c r="R84" s="10">
        <v>39820367702.190002</v>
      </c>
      <c r="S84" s="10">
        <v>35779107183.519997</v>
      </c>
      <c r="T84" s="10">
        <v>38595633055.419998</v>
      </c>
      <c r="U84" s="10">
        <v>35454036397.25</v>
      </c>
      <c r="V84" s="10">
        <v>31991565468.779999</v>
      </c>
      <c r="W84" s="10">
        <v>28404775233.630001</v>
      </c>
      <c r="X84" s="10">
        <v>28530620402.029999</v>
      </c>
      <c r="Y84" s="10">
        <v>25403379611.290001</v>
      </c>
      <c r="Z84" s="10">
        <v>23083770116.279999</v>
      </c>
      <c r="AA84" s="10">
        <v>21544955887.150002</v>
      </c>
      <c r="AB84" s="10">
        <v>20540681024.259998</v>
      </c>
      <c r="AC84" s="10">
        <v>18549389694.619999</v>
      </c>
      <c r="AD84" s="10">
        <v>17721770193.439999</v>
      </c>
      <c r="AE84" s="10">
        <v>16737213296.219999</v>
      </c>
      <c r="AF84" s="10">
        <v>15995948192.02</v>
      </c>
      <c r="AG84" s="10">
        <v>14651565394.209999</v>
      </c>
      <c r="AH84" s="10">
        <v>14215679731.030001</v>
      </c>
      <c r="AI84" s="10">
        <v>13166976369.08</v>
      </c>
      <c r="AJ84" s="10">
        <v>12608007479.040001</v>
      </c>
      <c r="AK84" s="10">
        <v>11503418295.950001</v>
      </c>
      <c r="AL84" s="10">
        <v>10807004733.84</v>
      </c>
      <c r="AM84" s="10">
        <v>9854634976.4699993</v>
      </c>
      <c r="AN84" s="10">
        <v>9285941265.0300007</v>
      </c>
      <c r="AO84" s="10">
        <v>8368855770.4399996</v>
      </c>
      <c r="AP84" s="10">
        <v>6952899324.3299999</v>
      </c>
      <c r="AQ84" s="10">
        <v>6219411895.4899998</v>
      </c>
      <c r="AR84" s="10">
        <v>5888376793.5900002</v>
      </c>
      <c r="AS84" s="10">
        <v>5995028649.4300003</v>
      </c>
      <c r="AT84" s="10">
        <v>5415044428.1099997</v>
      </c>
      <c r="AU84" s="10">
        <v>5058474356.1400003</v>
      </c>
      <c r="AV84" s="10">
        <v>5588295571.7399998</v>
      </c>
      <c r="AW84" s="10">
        <v>5162395081.5200005</v>
      </c>
      <c r="AX84" s="10">
        <v>4765503347.0299997</v>
      </c>
      <c r="AY84" s="10">
        <v>4691837330.75</v>
      </c>
      <c r="AZ84" s="10">
        <v>4600649163.9899998</v>
      </c>
      <c r="BA84" s="10">
        <v>4216707746.73</v>
      </c>
      <c r="BB84" s="10">
        <v>3900474366.1300001</v>
      </c>
      <c r="BC84" s="10">
        <v>3817145295.6799998</v>
      </c>
      <c r="BD84" s="10">
        <v>3727794494.04</v>
      </c>
      <c r="BE84" s="10">
        <v>3470524090.9299998</v>
      </c>
      <c r="BF84" s="10">
        <v>3231516625.3400002</v>
      </c>
      <c r="BG84" s="10">
        <v>3124773172.54</v>
      </c>
      <c r="BH84" s="10">
        <v>3100472676.3099999</v>
      </c>
      <c r="BI84" s="10">
        <v>2874733972.6900001</v>
      </c>
      <c r="BJ84" s="10">
        <v>2857804350.4699998</v>
      </c>
      <c r="BK84" s="10">
        <v>2784052740.7800002</v>
      </c>
      <c r="BL84" s="10">
        <v>2751462376.5999999</v>
      </c>
      <c r="BM84" s="10">
        <v>2537631703.8099999</v>
      </c>
      <c r="BN84" s="10">
        <v>561545403.24000001</v>
      </c>
      <c r="BO84" s="10">
        <v>443779623.04000002</v>
      </c>
      <c r="BP84" s="10">
        <v>285361855.23000002</v>
      </c>
      <c r="BQ84" s="10">
        <v>234091527.97999999</v>
      </c>
      <c r="BR84" s="10">
        <v>0</v>
      </c>
    </row>
    <row r="85" spans="1:70">
      <c r="A85" t="s">
        <v>203</v>
      </c>
      <c r="B85" s="10">
        <v>127780036133.2</v>
      </c>
      <c r="C85" s="10">
        <v>120382739967.95</v>
      </c>
      <c r="D85" s="10">
        <v>118978719020.08</v>
      </c>
      <c r="E85" s="10">
        <v>112934538280.41</v>
      </c>
      <c r="F85" s="10">
        <v>105146032285.13</v>
      </c>
      <c r="G85" s="10">
        <v>95546499172.839996</v>
      </c>
      <c r="H85" s="10">
        <v>90690449521.880005</v>
      </c>
      <c r="I85" s="10">
        <v>86301463422.770004</v>
      </c>
      <c r="J85" s="10">
        <v>77559034189.139999</v>
      </c>
      <c r="K85" s="10">
        <v>72337744204.929993</v>
      </c>
      <c r="L85" s="10">
        <v>68769020638.419998</v>
      </c>
      <c r="M85" s="10">
        <v>65873165224.629997</v>
      </c>
      <c r="N85" s="10">
        <v>58651555116.650002</v>
      </c>
      <c r="O85" s="10">
        <v>55218131505.510002</v>
      </c>
      <c r="P85" s="10">
        <v>56029625704.110001</v>
      </c>
      <c r="Q85" s="10">
        <v>55454150677.050003</v>
      </c>
      <c r="R85" s="10">
        <v>49274437880.709999</v>
      </c>
      <c r="S85" s="10">
        <v>43620710381.690002</v>
      </c>
      <c r="T85" s="10">
        <v>45902219986.089996</v>
      </c>
      <c r="U85" s="10">
        <v>44998208953.459999</v>
      </c>
      <c r="V85" s="10">
        <v>38834876462.709999</v>
      </c>
      <c r="W85" s="10">
        <v>39711451965.360001</v>
      </c>
      <c r="X85" s="10">
        <v>36407584735.599998</v>
      </c>
      <c r="Y85" s="10">
        <v>34900868975.410004</v>
      </c>
      <c r="Z85" s="10">
        <v>32894258255.330002</v>
      </c>
      <c r="AA85" s="10">
        <v>30920149101.43</v>
      </c>
      <c r="AB85" s="10">
        <v>29161700183.57</v>
      </c>
      <c r="AC85" s="10">
        <v>25587579940.689999</v>
      </c>
      <c r="AD85" s="10">
        <v>22810028763.639999</v>
      </c>
      <c r="AE85" s="10">
        <v>21333828715.529999</v>
      </c>
      <c r="AF85" s="10">
        <v>20430099477.790001</v>
      </c>
      <c r="AG85" s="10">
        <v>19769623147.720001</v>
      </c>
      <c r="AH85" s="10">
        <v>16737940329.299999</v>
      </c>
      <c r="AI85" s="10">
        <v>15973750015.48</v>
      </c>
      <c r="AJ85" s="10">
        <v>15625503484.209999</v>
      </c>
      <c r="AK85" s="10">
        <v>15754187836.35</v>
      </c>
      <c r="AL85" s="10">
        <v>12989449921.360001</v>
      </c>
      <c r="AM85" s="10">
        <v>11276097082.700001</v>
      </c>
      <c r="AN85" s="10">
        <v>11556876926.48</v>
      </c>
      <c r="AO85" s="10">
        <v>10481471840.450001</v>
      </c>
      <c r="AP85" s="10">
        <v>10194195529.99</v>
      </c>
      <c r="AQ85" s="10">
        <v>10226931689.690001</v>
      </c>
      <c r="AR85" s="10">
        <v>9883304613.25</v>
      </c>
      <c r="AS85" s="10">
        <v>9388915003.9899998</v>
      </c>
      <c r="AT85" s="10">
        <v>8806428606.5900002</v>
      </c>
      <c r="AU85" s="10">
        <v>7799862599.6800003</v>
      </c>
      <c r="AV85" s="10">
        <v>8103036754.29</v>
      </c>
      <c r="AW85" s="10">
        <v>8057596464.5900002</v>
      </c>
      <c r="AX85" s="10">
        <v>7077360201.71</v>
      </c>
      <c r="AY85" s="10">
        <v>6728916037.2600002</v>
      </c>
      <c r="AZ85" s="10">
        <v>6571862002.1300001</v>
      </c>
      <c r="BA85" s="10">
        <v>6373652983.5699997</v>
      </c>
      <c r="BB85" s="10">
        <v>5628688980.5600004</v>
      </c>
      <c r="BC85" s="10">
        <v>5041106276.1899996</v>
      </c>
      <c r="BD85" s="10">
        <v>4855158665.5200005</v>
      </c>
      <c r="BE85" s="10">
        <v>4956365810.8500004</v>
      </c>
      <c r="BF85" s="10">
        <v>4466694791.6800003</v>
      </c>
      <c r="BG85" s="10">
        <v>3940510267.6999998</v>
      </c>
      <c r="BH85" s="10">
        <v>3903743856.2600002</v>
      </c>
      <c r="BI85" s="10">
        <v>3930905066.7199998</v>
      </c>
      <c r="BJ85" s="10">
        <v>3696428353.48</v>
      </c>
      <c r="BK85" s="10">
        <v>3421206728.98</v>
      </c>
      <c r="BL85" s="10">
        <v>3449520609.7199998</v>
      </c>
      <c r="BM85" s="10">
        <v>3463388734.98</v>
      </c>
      <c r="BN85" s="10">
        <v>1214455217.6199999</v>
      </c>
      <c r="BO85" s="10">
        <v>1268856244.9000001</v>
      </c>
      <c r="BP85" s="10">
        <v>915056957.32000005</v>
      </c>
      <c r="BQ85" s="10">
        <v>741848981.54999995</v>
      </c>
      <c r="BR85" s="1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R31"/>
  <sheetViews>
    <sheetView topLeftCell="A7" zoomScale="85" zoomScaleNormal="85" workbookViewId="0">
      <selection activeCell="B29" sqref="B29"/>
    </sheetView>
  </sheetViews>
  <sheetFormatPr defaultRowHeight="13.5"/>
  <cols>
    <col min="1" max="1" width="41.125" bestFit="1" customWidth="1"/>
    <col min="2" max="5" width="13.875" bestFit="1" customWidth="1"/>
  </cols>
  <sheetData>
    <row r="1" spans="1:70">
      <c r="A1" t="s">
        <v>0</v>
      </c>
      <c r="B1">
        <v>20170930</v>
      </c>
      <c r="C1">
        <v>20170630</v>
      </c>
      <c r="D1">
        <v>20170331</v>
      </c>
      <c r="E1">
        <v>20161231</v>
      </c>
      <c r="F1">
        <v>20160930</v>
      </c>
      <c r="G1">
        <v>20160630</v>
      </c>
      <c r="H1">
        <v>20160331</v>
      </c>
      <c r="I1">
        <v>20151231</v>
      </c>
      <c r="J1">
        <v>20150930</v>
      </c>
      <c r="K1">
        <v>20150630</v>
      </c>
      <c r="L1">
        <v>20150331</v>
      </c>
      <c r="M1">
        <v>20141231</v>
      </c>
      <c r="N1">
        <v>20140930</v>
      </c>
      <c r="O1">
        <v>20140630</v>
      </c>
      <c r="P1">
        <v>20140331</v>
      </c>
      <c r="Q1">
        <v>20131231</v>
      </c>
      <c r="R1">
        <v>20130930</v>
      </c>
      <c r="S1">
        <v>20130630</v>
      </c>
      <c r="T1">
        <v>20130331</v>
      </c>
      <c r="U1">
        <v>20121231</v>
      </c>
      <c r="V1">
        <v>20120930</v>
      </c>
      <c r="W1">
        <v>20120630</v>
      </c>
      <c r="X1">
        <v>20120331</v>
      </c>
      <c r="Y1">
        <v>20111231</v>
      </c>
      <c r="Z1">
        <v>20110930</v>
      </c>
      <c r="AA1">
        <v>20110630</v>
      </c>
      <c r="AB1">
        <v>20110331</v>
      </c>
      <c r="AC1">
        <v>20101231</v>
      </c>
      <c r="AD1">
        <v>20100930</v>
      </c>
      <c r="AE1">
        <v>20100630</v>
      </c>
      <c r="AF1">
        <v>20100331</v>
      </c>
      <c r="AG1">
        <v>20091231</v>
      </c>
      <c r="AH1">
        <v>20090930</v>
      </c>
      <c r="AI1">
        <v>20090630</v>
      </c>
      <c r="AJ1">
        <v>20090331</v>
      </c>
      <c r="AK1">
        <v>20081231</v>
      </c>
      <c r="AL1">
        <v>20080930</v>
      </c>
      <c r="AM1">
        <v>20080630</v>
      </c>
      <c r="AN1">
        <v>20080331</v>
      </c>
      <c r="AO1">
        <v>20071231</v>
      </c>
      <c r="AP1">
        <v>20070930</v>
      </c>
      <c r="AQ1">
        <v>20070630</v>
      </c>
      <c r="AR1">
        <v>20070331</v>
      </c>
      <c r="AS1">
        <v>20061231</v>
      </c>
      <c r="AT1">
        <v>20060930</v>
      </c>
      <c r="AU1">
        <v>20060630</v>
      </c>
      <c r="AV1">
        <v>20060331</v>
      </c>
      <c r="AW1">
        <v>20051231</v>
      </c>
      <c r="AX1">
        <v>20050930</v>
      </c>
      <c r="AY1">
        <v>20050630</v>
      </c>
      <c r="AZ1">
        <v>20050331</v>
      </c>
      <c r="BA1">
        <v>20041231</v>
      </c>
      <c r="BB1">
        <v>20040930</v>
      </c>
      <c r="BC1">
        <v>20040630</v>
      </c>
      <c r="BD1">
        <v>20040331</v>
      </c>
      <c r="BE1">
        <v>20031231</v>
      </c>
      <c r="BF1">
        <v>20030930</v>
      </c>
      <c r="BG1">
        <v>20030630</v>
      </c>
      <c r="BH1">
        <v>20030331</v>
      </c>
      <c r="BI1">
        <v>20021231</v>
      </c>
      <c r="BJ1">
        <v>20020930</v>
      </c>
      <c r="BK1">
        <v>20020630</v>
      </c>
      <c r="BL1">
        <v>20020331</v>
      </c>
      <c r="BM1">
        <v>20011231</v>
      </c>
      <c r="BN1">
        <v>20010630</v>
      </c>
      <c r="BO1">
        <v>20001231</v>
      </c>
      <c r="BP1">
        <v>19991231</v>
      </c>
      <c r="BQ1">
        <v>19981231</v>
      </c>
      <c r="BR1">
        <v>19700101</v>
      </c>
    </row>
    <row r="2" spans="1:70">
      <c r="A2" t="s">
        <v>90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91</v>
      </c>
      <c r="AL2" t="s">
        <v>91</v>
      </c>
      <c r="AM2" t="s">
        <v>91</v>
      </c>
      <c r="AN2" t="s">
        <v>91</v>
      </c>
      <c r="AO2" t="s">
        <v>91</v>
      </c>
      <c r="AP2" t="s">
        <v>91</v>
      </c>
      <c r="AQ2" t="s">
        <v>91</v>
      </c>
      <c r="AR2" t="s">
        <v>91</v>
      </c>
      <c r="AS2" t="s">
        <v>91</v>
      </c>
      <c r="AT2" t="s">
        <v>91</v>
      </c>
      <c r="AU2" t="s">
        <v>91</v>
      </c>
      <c r="AV2" t="s">
        <v>91</v>
      </c>
      <c r="AW2" t="s">
        <v>91</v>
      </c>
      <c r="AX2" t="s">
        <v>91</v>
      </c>
      <c r="AY2" t="s">
        <v>91</v>
      </c>
      <c r="AZ2" t="s">
        <v>91</v>
      </c>
      <c r="BA2" t="s">
        <v>91</v>
      </c>
      <c r="BB2" t="s">
        <v>91</v>
      </c>
      <c r="BC2" t="s">
        <v>91</v>
      </c>
      <c r="BD2" t="s">
        <v>91</v>
      </c>
      <c r="BE2" t="s">
        <v>91</v>
      </c>
      <c r="BF2" t="s">
        <v>91</v>
      </c>
      <c r="BG2" t="s">
        <v>91</v>
      </c>
      <c r="BH2" t="s">
        <v>91</v>
      </c>
      <c r="BI2" t="s">
        <v>91</v>
      </c>
      <c r="BJ2" t="s">
        <v>91</v>
      </c>
      <c r="BK2" t="s">
        <v>91</v>
      </c>
      <c r="BL2" t="s">
        <v>91</v>
      </c>
      <c r="BM2" t="s">
        <v>91</v>
      </c>
      <c r="BN2" t="s">
        <v>91</v>
      </c>
      <c r="BO2" t="s">
        <v>91</v>
      </c>
      <c r="BP2" t="s">
        <v>91</v>
      </c>
      <c r="BQ2" t="s">
        <v>91</v>
      </c>
    </row>
    <row r="3" spans="1:70">
      <c r="A3" t="s">
        <v>96</v>
      </c>
      <c r="B3">
        <v>44487374571.440002</v>
      </c>
      <c r="C3">
        <v>25493896745.029999</v>
      </c>
      <c r="D3">
        <v>13913411369.299999</v>
      </c>
      <c r="E3">
        <v>40155084412.93</v>
      </c>
      <c r="F3">
        <v>27532735151.02</v>
      </c>
      <c r="G3">
        <v>18737617091.82</v>
      </c>
      <c r="H3">
        <v>10250867583.690001</v>
      </c>
      <c r="I3">
        <v>33446859045.580002</v>
      </c>
      <c r="J3">
        <v>23734319250.48</v>
      </c>
      <c r="K3">
        <v>16185651569.469999</v>
      </c>
      <c r="L3">
        <v>8760367928.2199993</v>
      </c>
      <c r="M3">
        <v>32217213741.080002</v>
      </c>
      <c r="N3">
        <v>22173257722.32</v>
      </c>
      <c r="O3">
        <v>14615639258.110001</v>
      </c>
      <c r="P3">
        <v>7581739634.1400003</v>
      </c>
      <c r="Q3">
        <v>31070596222.23</v>
      </c>
      <c r="R3">
        <v>22002381371.16</v>
      </c>
      <c r="S3">
        <v>14137431736.59</v>
      </c>
      <c r="T3">
        <v>7165785851.6099997</v>
      </c>
      <c r="U3">
        <v>26455335152.990002</v>
      </c>
      <c r="V3">
        <v>19931438600.48</v>
      </c>
      <c r="W3">
        <v>13264437836.41</v>
      </c>
      <c r="X3">
        <v>6015967741.6199999</v>
      </c>
      <c r="Y3">
        <v>18402355207.299999</v>
      </c>
      <c r="Z3">
        <v>13642075480.07</v>
      </c>
      <c r="AA3">
        <v>9825823427.0799999</v>
      </c>
      <c r="AB3">
        <v>4220589097.9400001</v>
      </c>
      <c r="AC3">
        <v>11633283740.18</v>
      </c>
      <c r="AD3">
        <v>9327577784.1200008</v>
      </c>
      <c r="AE3">
        <v>6587266362.7799997</v>
      </c>
      <c r="AF3">
        <v>3039906100.4099998</v>
      </c>
      <c r="AG3">
        <v>9669999065.3899994</v>
      </c>
      <c r="AH3">
        <v>7807202385.7799997</v>
      </c>
      <c r="AI3">
        <v>5546006031.29</v>
      </c>
      <c r="AJ3">
        <v>2512537167.1999998</v>
      </c>
      <c r="AK3">
        <v>8241685564.1099997</v>
      </c>
      <c r="AL3">
        <v>6486517281.0100002</v>
      </c>
      <c r="AM3">
        <v>4619717309.6000004</v>
      </c>
      <c r="AN3">
        <v>1993496395.46</v>
      </c>
      <c r="AO3">
        <v>7237430747.1199999</v>
      </c>
      <c r="AP3">
        <v>4458382249.2600002</v>
      </c>
      <c r="AQ3">
        <v>2629088876.4200001</v>
      </c>
      <c r="AR3">
        <v>1587538095.6800001</v>
      </c>
      <c r="AS3">
        <v>4896582817.0200005</v>
      </c>
      <c r="AT3">
        <v>3249824937.8800001</v>
      </c>
      <c r="AU3">
        <v>2029466570.98</v>
      </c>
      <c r="AV3">
        <v>1354500055.8699999</v>
      </c>
      <c r="AW3">
        <v>3930564202.5700002</v>
      </c>
      <c r="AX3">
        <v>2580364529.21</v>
      </c>
      <c r="AY3">
        <v>1686177749</v>
      </c>
      <c r="AZ3">
        <v>1144018545.8399999</v>
      </c>
      <c r="BA3">
        <v>3009795402.3400002</v>
      </c>
      <c r="BB3">
        <v>2070521111.48</v>
      </c>
      <c r="BC3">
        <v>1314118558.0899999</v>
      </c>
      <c r="BD3">
        <v>853431905.86000001</v>
      </c>
      <c r="BE3">
        <v>2402101953.8600001</v>
      </c>
      <c r="BF3">
        <v>1554532689.3499999</v>
      </c>
      <c r="BG3">
        <v>1010782352.89</v>
      </c>
      <c r="BH3">
        <v>735224645.91999996</v>
      </c>
      <c r="BI3">
        <v>1838129976.3399999</v>
      </c>
      <c r="BJ3">
        <v>1366363003.04</v>
      </c>
      <c r="BK3">
        <v>956401891.61000001</v>
      </c>
      <c r="BL3">
        <v>718793418.69000006</v>
      </c>
      <c r="BM3">
        <v>1619202408.97</v>
      </c>
      <c r="BN3">
        <v>874826252.94000006</v>
      </c>
      <c r="BO3">
        <v>1113019554.9100001</v>
      </c>
      <c r="BP3">
        <v>891237329.50999999</v>
      </c>
      <c r="BQ3">
        <v>629217329.19000006</v>
      </c>
      <c r="BR3">
        <v>0</v>
      </c>
    </row>
    <row r="4" spans="1:70">
      <c r="A4" t="s">
        <v>97</v>
      </c>
      <c r="B4">
        <v>42450467500.010002</v>
      </c>
      <c r="C4">
        <v>24190030218.959999</v>
      </c>
      <c r="D4">
        <v>13308639084.870001</v>
      </c>
      <c r="E4">
        <v>38862189993.839996</v>
      </c>
      <c r="F4">
        <v>26631884032.43</v>
      </c>
      <c r="G4">
        <v>18173234673.439999</v>
      </c>
      <c r="H4">
        <v>9988753730.9699993</v>
      </c>
      <c r="I4">
        <v>32659583725.279999</v>
      </c>
      <c r="J4">
        <v>23148688960.889999</v>
      </c>
      <c r="K4">
        <v>15778647465.950001</v>
      </c>
      <c r="L4">
        <v>8544273436</v>
      </c>
      <c r="M4">
        <v>31573928530.939999</v>
      </c>
      <c r="N4">
        <v>21718189167.610001</v>
      </c>
      <c r="O4">
        <v>14321628403.09</v>
      </c>
      <c r="P4">
        <v>7449825750.6400003</v>
      </c>
      <c r="Q4">
        <v>30921801316.599998</v>
      </c>
      <c r="R4">
        <v>21935713045.240002</v>
      </c>
      <c r="S4">
        <v>14127867191.110001</v>
      </c>
      <c r="T4">
        <v>7165785851.6099997</v>
      </c>
      <c r="U4">
        <v>26455335152.990002</v>
      </c>
      <c r="V4">
        <v>19931438600.48</v>
      </c>
      <c r="W4">
        <v>13264437836.41</v>
      </c>
      <c r="X4">
        <v>6015967741.6199999</v>
      </c>
      <c r="Y4">
        <v>18402355207.299999</v>
      </c>
      <c r="Z4">
        <v>13642075480.07</v>
      </c>
      <c r="AA4">
        <v>9825823427.0799999</v>
      </c>
      <c r="AB4">
        <v>4220589097.9400001</v>
      </c>
      <c r="AC4">
        <v>11633283740.18</v>
      </c>
      <c r="AD4">
        <v>9327577784.1200008</v>
      </c>
      <c r="AE4">
        <v>6587266362.7799997</v>
      </c>
      <c r="AF4">
        <v>3039906100.4099998</v>
      </c>
      <c r="AG4">
        <v>9669999065.3899994</v>
      </c>
      <c r="AH4">
        <v>7807202385.7799997</v>
      </c>
      <c r="AI4">
        <v>5546006031.29</v>
      </c>
      <c r="AJ4">
        <v>2512537167.1999998</v>
      </c>
      <c r="AK4">
        <v>8241685564.1099997</v>
      </c>
      <c r="AL4">
        <v>6486517281.0100002</v>
      </c>
      <c r="AM4">
        <v>4619717309.6000004</v>
      </c>
      <c r="AN4">
        <v>1993496395.46</v>
      </c>
      <c r="AO4">
        <v>7237430747.1199999</v>
      </c>
      <c r="AP4">
        <v>4458382249.2600002</v>
      </c>
      <c r="AQ4">
        <v>2629088876.4200001</v>
      </c>
      <c r="AR4">
        <v>1587538095.6800001</v>
      </c>
      <c r="AS4">
        <v>4896186901.21</v>
      </c>
      <c r="AT4">
        <v>3249453246.71</v>
      </c>
      <c r="AU4">
        <v>2029461983.6600001</v>
      </c>
      <c r="AV4">
        <v>1354498050.1700001</v>
      </c>
      <c r="AW4">
        <v>3930515237.6100001</v>
      </c>
      <c r="AX4">
        <v>2580318873.25</v>
      </c>
      <c r="AY4">
        <v>1686144341.9100001</v>
      </c>
      <c r="AZ4">
        <v>1144017320.6199999</v>
      </c>
      <c r="BA4">
        <v>3009793519.9200001</v>
      </c>
      <c r="BB4">
        <v>2070438172.6500001</v>
      </c>
      <c r="BC4">
        <v>1314109209.0599999</v>
      </c>
      <c r="BD4">
        <v>853431905.86000001</v>
      </c>
      <c r="BE4">
        <v>2401017934.9299998</v>
      </c>
      <c r="BF4">
        <v>1552744360.0999999</v>
      </c>
      <c r="BG4">
        <v>1009047565.48</v>
      </c>
      <c r="BH4">
        <v>733889255.88999999</v>
      </c>
      <c r="BI4">
        <v>1834898294.9000001</v>
      </c>
      <c r="BJ4">
        <v>1363886224.3199999</v>
      </c>
      <c r="BK4">
        <v>955654212.62</v>
      </c>
      <c r="BL4">
        <v>718014858.52999997</v>
      </c>
      <c r="BM4">
        <v>1618046660.3099999</v>
      </c>
      <c r="BN4">
        <v>873863478.94000006</v>
      </c>
      <c r="BO4">
        <v>1114000813.26</v>
      </c>
      <c r="BP4">
        <v>890858185.63999999</v>
      </c>
      <c r="BQ4">
        <v>628184433.19000006</v>
      </c>
      <c r="BR4">
        <v>0</v>
      </c>
    </row>
    <row r="5" spans="1:70">
      <c r="A5" t="s">
        <v>98</v>
      </c>
      <c r="B5">
        <v>15850431186.09</v>
      </c>
      <c r="C5">
        <v>9370126828.7600002</v>
      </c>
      <c r="D5">
        <v>5123258606.7399998</v>
      </c>
      <c r="E5">
        <v>15889459243.51</v>
      </c>
      <c r="F5">
        <v>9383156947.5900002</v>
      </c>
      <c r="G5">
        <v>5977493622.96</v>
      </c>
      <c r="H5">
        <v>3048304476.48</v>
      </c>
      <c r="I5">
        <v>11291736359.610001</v>
      </c>
      <c r="J5">
        <v>7443208922.79</v>
      </c>
      <c r="K5">
        <v>5037379854.4300003</v>
      </c>
      <c r="L5">
        <v>2556368078.3499999</v>
      </c>
      <c r="M5">
        <v>10117335755.93</v>
      </c>
      <c r="N5">
        <v>6859822984.0200005</v>
      </c>
      <c r="O5">
        <v>4367672274.0100002</v>
      </c>
      <c r="P5">
        <v>2261820069.27</v>
      </c>
      <c r="Q5">
        <v>9282061270.2299995</v>
      </c>
      <c r="R5">
        <v>5992181828.3199997</v>
      </c>
      <c r="S5">
        <v>3742695315.77</v>
      </c>
      <c r="T5">
        <v>1795606131.46</v>
      </c>
      <c r="U5">
        <v>7627698585.3400002</v>
      </c>
      <c r="V5">
        <v>5247248428.4499998</v>
      </c>
      <c r="W5">
        <v>3467852031.9499998</v>
      </c>
      <c r="X5">
        <v>1843049067.4200001</v>
      </c>
      <c r="Y5">
        <v>6069573782.2200003</v>
      </c>
      <c r="Z5">
        <v>4362971847.4799995</v>
      </c>
      <c r="AA5">
        <v>2939426779.3699999</v>
      </c>
      <c r="AB5">
        <v>1568403990.9100001</v>
      </c>
      <c r="AC5">
        <v>4472846560.6800003</v>
      </c>
      <c r="AD5">
        <v>3430445852.0700002</v>
      </c>
      <c r="AE5">
        <v>2206793433.0700002</v>
      </c>
      <c r="AF5">
        <v>1244335755.22</v>
      </c>
      <c r="AG5">
        <v>3595688001.9299998</v>
      </c>
      <c r="AH5">
        <v>2502215363.9200001</v>
      </c>
      <c r="AI5">
        <v>1641794409.3099999</v>
      </c>
      <c r="AJ5">
        <v>808026701.87</v>
      </c>
      <c r="AK5">
        <v>2852622959.0799999</v>
      </c>
      <c r="AL5">
        <v>2076192706.6099999</v>
      </c>
      <c r="AM5">
        <v>1476314722.5</v>
      </c>
      <c r="AN5">
        <v>771928092.57000005</v>
      </c>
      <c r="AO5">
        <v>2713904695.3200002</v>
      </c>
      <c r="AP5">
        <v>1953519114.49</v>
      </c>
      <c r="AQ5">
        <v>1271054831.25</v>
      </c>
      <c r="AR5">
        <v>714477088.75</v>
      </c>
      <c r="AS5">
        <v>2412793064.1199999</v>
      </c>
      <c r="AT5">
        <v>1683702222.4400001</v>
      </c>
      <c r="AU5">
        <v>1058460717.46</v>
      </c>
      <c r="AV5">
        <v>682393094.84000003</v>
      </c>
      <c r="AW5">
        <v>2011711744.99</v>
      </c>
      <c r="AX5">
        <v>1430921127.71</v>
      </c>
      <c r="AY5">
        <v>930599121.27999997</v>
      </c>
      <c r="AZ5">
        <v>586333588.5</v>
      </c>
      <c r="BA5">
        <v>1522003410.22</v>
      </c>
      <c r="BB5">
        <v>1194828205.0599999</v>
      </c>
      <c r="BC5">
        <v>744429218.26999998</v>
      </c>
      <c r="BD5">
        <v>452275167.64999998</v>
      </c>
      <c r="BE5">
        <v>1426663549.6199999</v>
      </c>
      <c r="BF5">
        <v>959777511.91999996</v>
      </c>
      <c r="BG5">
        <v>600118358.62</v>
      </c>
      <c r="BH5">
        <v>393885303.58999997</v>
      </c>
      <c r="BI5">
        <v>1189004748.9400001</v>
      </c>
      <c r="BJ5">
        <v>838206793.95000005</v>
      </c>
      <c r="BK5">
        <v>554560479.52999997</v>
      </c>
      <c r="BL5">
        <v>380838519.86000001</v>
      </c>
      <c r="BM5">
        <v>1009060743.0599999</v>
      </c>
      <c r="BN5">
        <v>501272650.85000002</v>
      </c>
      <c r="BO5">
        <v>667263204.63999999</v>
      </c>
      <c r="BP5">
        <v>537589581.33000004</v>
      </c>
      <c r="BQ5">
        <v>410251605.47000003</v>
      </c>
      <c r="BR5">
        <v>0</v>
      </c>
    </row>
    <row r="6" spans="1:70">
      <c r="A6" t="s">
        <v>99</v>
      </c>
      <c r="B6">
        <v>4273438303.5</v>
      </c>
      <c r="C6">
        <v>2511228414.9099998</v>
      </c>
      <c r="D6">
        <v>1176997676.0699999</v>
      </c>
      <c r="E6">
        <v>3410104085.9699998</v>
      </c>
      <c r="F6">
        <v>2225398682.8200002</v>
      </c>
      <c r="G6">
        <v>1475407709.24</v>
      </c>
      <c r="H6">
        <v>765002011.76999998</v>
      </c>
      <c r="I6">
        <v>2538337449.0599999</v>
      </c>
      <c r="J6">
        <v>1747047687.23</v>
      </c>
      <c r="K6">
        <v>1165878006.3299999</v>
      </c>
      <c r="L6">
        <v>579796944.51999998</v>
      </c>
      <c r="M6">
        <v>2338550532.3299999</v>
      </c>
      <c r="N6">
        <v>1593307325.6800001</v>
      </c>
      <c r="O6">
        <v>987543281.35000002</v>
      </c>
      <c r="P6">
        <v>506935182.39999998</v>
      </c>
      <c r="Q6">
        <v>2193920307.9899998</v>
      </c>
      <c r="R6">
        <v>1440864963.8099999</v>
      </c>
      <c r="S6">
        <v>932566677.01999998</v>
      </c>
      <c r="T6">
        <v>481121235.63999999</v>
      </c>
      <c r="U6">
        <v>2044306468.76</v>
      </c>
      <c r="V6">
        <v>1628876041.8800001</v>
      </c>
      <c r="W6">
        <v>1059645343.97</v>
      </c>
      <c r="X6">
        <v>482055429.18000001</v>
      </c>
      <c r="Y6">
        <v>1551233976.0599999</v>
      </c>
      <c r="Z6">
        <v>1155847115.6800001</v>
      </c>
      <c r="AA6">
        <v>845072449.14999998</v>
      </c>
      <c r="AB6">
        <v>392063100.98000002</v>
      </c>
      <c r="AC6">
        <v>1052931591.61</v>
      </c>
      <c r="AD6">
        <v>821295137.52999997</v>
      </c>
      <c r="AE6">
        <v>569190230.52999997</v>
      </c>
      <c r="AF6">
        <v>295386812.48000002</v>
      </c>
      <c r="AG6">
        <v>950672855.26999998</v>
      </c>
      <c r="AH6">
        <v>743207551.34000003</v>
      </c>
      <c r="AI6">
        <v>531620176.31999999</v>
      </c>
      <c r="AJ6">
        <v>251448334.91999999</v>
      </c>
      <c r="AK6">
        <v>799713319.24000001</v>
      </c>
      <c r="AL6">
        <v>614940094.35000002</v>
      </c>
      <c r="AM6">
        <v>442054720.19</v>
      </c>
      <c r="AN6">
        <v>200810712.08000001</v>
      </c>
      <c r="AO6">
        <v>871643568.33000004</v>
      </c>
      <c r="AP6">
        <v>662636478.87</v>
      </c>
      <c r="AQ6">
        <v>389216762.31</v>
      </c>
      <c r="AR6">
        <v>237704974.13</v>
      </c>
      <c r="AS6">
        <v>791179840.49000001</v>
      </c>
      <c r="AT6">
        <v>536197408.26999998</v>
      </c>
      <c r="AU6">
        <v>342467207.13999999</v>
      </c>
      <c r="AV6">
        <v>227552584.91999999</v>
      </c>
      <c r="AW6">
        <v>687106816.67999995</v>
      </c>
      <c r="AX6">
        <v>450496529.88</v>
      </c>
      <c r="AY6">
        <v>294128874.10000002</v>
      </c>
      <c r="AZ6">
        <v>196715027.49000001</v>
      </c>
      <c r="BA6">
        <v>535056248.94999999</v>
      </c>
      <c r="BB6">
        <v>367934435.61000001</v>
      </c>
      <c r="BC6">
        <v>229941422.72</v>
      </c>
      <c r="BD6">
        <v>151243768.25</v>
      </c>
      <c r="BE6">
        <v>477388129.86000001</v>
      </c>
      <c r="BF6">
        <v>302733307.68000001</v>
      </c>
      <c r="BG6">
        <v>196938828.78999999</v>
      </c>
      <c r="BH6">
        <v>136080903.15000001</v>
      </c>
      <c r="BI6">
        <v>340556444.79000002</v>
      </c>
      <c r="BJ6">
        <v>230795750.63</v>
      </c>
      <c r="BK6">
        <v>158368542.33000001</v>
      </c>
      <c r="BL6">
        <v>115551849.97</v>
      </c>
      <c r="BM6">
        <v>287538468.11000001</v>
      </c>
      <c r="BN6">
        <v>146483164.84999999</v>
      </c>
      <c r="BO6">
        <v>196863443.99000001</v>
      </c>
      <c r="BP6">
        <v>129133236.27</v>
      </c>
      <c r="BQ6">
        <v>76725369.980000004</v>
      </c>
      <c r="BR6">
        <v>0</v>
      </c>
    </row>
    <row r="7" spans="1:70">
      <c r="A7" t="s">
        <v>100</v>
      </c>
      <c r="B7">
        <v>6423976199.8900003</v>
      </c>
      <c r="C7">
        <v>3419416545.5</v>
      </c>
      <c r="D7">
        <v>1973301671.9300001</v>
      </c>
      <c r="E7">
        <v>6508926343.2600002</v>
      </c>
      <c r="F7">
        <v>3623883800.0500002</v>
      </c>
      <c r="G7">
        <v>2205658604.8699999</v>
      </c>
      <c r="H7">
        <v>1180622899.52</v>
      </c>
      <c r="I7">
        <v>3449170637.4000001</v>
      </c>
      <c r="J7">
        <v>2171605445.23</v>
      </c>
      <c r="K7">
        <v>1443140055.8199999</v>
      </c>
      <c r="L7">
        <v>806537815.96000004</v>
      </c>
      <c r="M7">
        <v>2788994436.0500002</v>
      </c>
      <c r="N7">
        <v>2004308881.3199999</v>
      </c>
      <c r="O7">
        <v>1265321917.52</v>
      </c>
      <c r="P7">
        <v>704741188.09000003</v>
      </c>
      <c r="Q7">
        <v>2790747889.4899998</v>
      </c>
      <c r="R7">
        <v>1972678618.54</v>
      </c>
      <c r="S7">
        <v>1099186549.1099999</v>
      </c>
      <c r="T7">
        <v>586532904</v>
      </c>
      <c r="U7">
        <v>2572644755.4200001</v>
      </c>
      <c r="V7">
        <v>1784696541.1800001</v>
      </c>
      <c r="W7">
        <v>1356209475.46</v>
      </c>
      <c r="X7">
        <v>808353307.79999995</v>
      </c>
      <c r="Y7">
        <v>2477391798.0100002</v>
      </c>
      <c r="Z7">
        <v>1931440577.01</v>
      </c>
      <c r="AA7">
        <v>1277257264.3</v>
      </c>
      <c r="AB7">
        <v>708575156.14999998</v>
      </c>
      <c r="AC7">
        <v>1577013104.9000001</v>
      </c>
      <c r="AD7">
        <v>1409893974.9300001</v>
      </c>
      <c r="AE7">
        <v>858980338.08000004</v>
      </c>
      <c r="AF7">
        <v>540768518.44000006</v>
      </c>
      <c r="AG7">
        <v>940508549.65999997</v>
      </c>
      <c r="AH7">
        <v>676193009.49000001</v>
      </c>
      <c r="AI7">
        <v>418028504.85000002</v>
      </c>
      <c r="AJ7">
        <v>234708691.38999999</v>
      </c>
      <c r="AK7">
        <v>681761604.71000004</v>
      </c>
      <c r="AL7">
        <v>533718466.75999999</v>
      </c>
      <c r="AM7">
        <v>370471947.33999997</v>
      </c>
      <c r="AN7">
        <v>198645627.71000001</v>
      </c>
      <c r="AO7">
        <v>604078928.40999997</v>
      </c>
      <c r="AP7">
        <v>412234460.64999998</v>
      </c>
      <c r="AQ7">
        <v>291887086.48000002</v>
      </c>
      <c r="AR7">
        <v>191506723.52000001</v>
      </c>
      <c r="AS7">
        <v>574699589.65999997</v>
      </c>
      <c r="AT7">
        <v>422145286.06</v>
      </c>
      <c r="AU7">
        <v>297988718.55000001</v>
      </c>
      <c r="AV7">
        <v>178317665.44</v>
      </c>
      <c r="AW7">
        <v>530245028.45999998</v>
      </c>
      <c r="AX7">
        <v>406925341.75999999</v>
      </c>
      <c r="AY7">
        <v>265598185.91999999</v>
      </c>
      <c r="AZ7">
        <v>165915935.69999999</v>
      </c>
      <c r="BA7">
        <v>324855608.17000002</v>
      </c>
      <c r="BB7">
        <v>320394935.06999999</v>
      </c>
      <c r="BC7">
        <v>198084137.61000001</v>
      </c>
      <c r="BD7">
        <v>119817149.3</v>
      </c>
      <c r="BE7">
        <v>308189009.56</v>
      </c>
      <c r="BF7">
        <v>268206392.63</v>
      </c>
      <c r="BG7">
        <v>161846133.84999999</v>
      </c>
      <c r="BH7">
        <v>121107780.34</v>
      </c>
      <c r="BI7">
        <v>320026615.94999999</v>
      </c>
      <c r="BJ7">
        <v>228116802.27000001</v>
      </c>
      <c r="BK7">
        <v>160878207.99000001</v>
      </c>
      <c r="BL7">
        <v>124848157.48</v>
      </c>
      <c r="BM7">
        <v>317884849.44</v>
      </c>
      <c r="BN7">
        <v>161749763</v>
      </c>
      <c r="BO7">
        <v>199224062.88</v>
      </c>
      <c r="BP7">
        <v>172867651.11000001</v>
      </c>
      <c r="BQ7">
        <v>119074532.43000001</v>
      </c>
      <c r="BR7">
        <v>0</v>
      </c>
    </row>
    <row r="8" spans="1:70">
      <c r="A8" t="s">
        <v>1</v>
      </c>
      <c r="B8">
        <v>1977910933.9000001</v>
      </c>
      <c r="C8">
        <v>1378870495.3199999</v>
      </c>
      <c r="D8">
        <v>852434090.09000003</v>
      </c>
      <c r="E8">
        <v>1681052022.9000001</v>
      </c>
      <c r="F8">
        <v>655110282.33000004</v>
      </c>
      <c r="G8">
        <v>387421652.44999999</v>
      </c>
      <c r="H8">
        <v>170385412.55000001</v>
      </c>
      <c r="I8">
        <v>1484961519.21</v>
      </c>
      <c r="J8">
        <v>935401479.02999997</v>
      </c>
      <c r="K8">
        <v>592014002.75</v>
      </c>
      <c r="L8">
        <v>242599825.81999999</v>
      </c>
      <c r="M8">
        <v>1674733451.0599999</v>
      </c>
      <c r="N8">
        <v>976711335.94000006</v>
      </c>
      <c r="O8">
        <v>646806094.26999998</v>
      </c>
      <c r="P8">
        <v>329145907.60000002</v>
      </c>
      <c r="Q8">
        <v>1858132722.71</v>
      </c>
      <c r="R8">
        <v>1165549963.0799999</v>
      </c>
      <c r="S8">
        <v>799796571.35000002</v>
      </c>
      <c r="T8">
        <v>284030284.32999998</v>
      </c>
      <c r="U8">
        <v>1224553444.02</v>
      </c>
      <c r="V8">
        <v>842051124.48000002</v>
      </c>
      <c r="W8">
        <v>406579445.95999998</v>
      </c>
      <c r="X8">
        <v>190131949.47</v>
      </c>
      <c r="Y8">
        <v>720327727.88999999</v>
      </c>
      <c r="Z8">
        <v>493777287.81999999</v>
      </c>
      <c r="AA8">
        <v>324597983.18000001</v>
      </c>
      <c r="AB8">
        <v>167210185.33000001</v>
      </c>
      <c r="AC8">
        <v>676531662.09000003</v>
      </c>
      <c r="AD8">
        <v>482572956.68000001</v>
      </c>
      <c r="AE8">
        <v>314756689.20999998</v>
      </c>
      <c r="AF8">
        <v>144719684.59</v>
      </c>
      <c r="AG8">
        <v>621284334.75</v>
      </c>
      <c r="AH8">
        <v>439653539.35000002</v>
      </c>
      <c r="AI8">
        <v>315584024.69999999</v>
      </c>
      <c r="AJ8">
        <v>180649086.71000001</v>
      </c>
      <c r="AK8">
        <v>532024659.80000001</v>
      </c>
      <c r="AL8">
        <v>455051645.88999999</v>
      </c>
      <c r="AM8">
        <v>341612858.30000001</v>
      </c>
      <c r="AN8">
        <v>243703730.18000001</v>
      </c>
      <c r="AO8">
        <v>560385186.98000002</v>
      </c>
      <c r="AP8">
        <v>439695589.05000001</v>
      </c>
      <c r="AQ8">
        <v>343733134.56999999</v>
      </c>
      <c r="AR8">
        <v>212477800.28999999</v>
      </c>
      <c r="AS8">
        <v>579353831.58000004</v>
      </c>
      <c r="AT8">
        <v>483225031.23000002</v>
      </c>
      <c r="AU8">
        <v>269828737.06999999</v>
      </c>
      <c r="AV8">
        <v>197589630.34999999</v>
      </c>
      <c r="AW8">
        <v>475939394.32999998</v>
      </c>
      <c r="AX8">
        <v>371220561.92000002</v>
      </c>
      <c r="AY8">
        <v>236478908.59</v>
      </c>
      <c r="AZ8">
        <v>153658444.72</v>
      </c>
      <c r="BA8">
        <v>376522300.75</v>
      </c>
      <c r="BB8">
        <v>338181343.52999997</v>
      </c>
      <c r="BC8">
        <v>199936560.31</v>
      </c>
      <c r="BD8">
        <v>139760649.13999999</v>
      </c>
      <c r="BE8">
        <v>365256375.5</v>
      </c>
      <c r="BF8">
        <v>247758788.18000001</v>
      </c>
      <c r="BG8">
        <v>148471350.83000001</v>
      </c>
      <c r="BH8">
        <v>99955921.620000005</v>
      </c>
      <c r="BI8">
        <v>308176458.60000002</v>
      </c>
      <c r="BJ8">
        <v>240365513.08000001</v>
      </c>
      <c r="BK8">
        <v>167320806.24000001</v>
      </c>
      <c r="BL8">
        <v>103935965.36</v>
      </c>
      <c r="BM8">
        <v>228319500.78</v>
      </c>
      <c r="BN8">
        <v>117289100</v>
      </c>
      <c r="BO8">
        <v>134826000.83000001</v>
      </c>
      <c r="BP8">
        <v>101900556.98</v>
      </c>
      <c r="BQ8">
        <v>56426807.149999999</v>
      </c>
      <c r="BR8">
        <v>0</v>
      </c>
    </row>
    <row r="9" spans="1:70">
      <c r="A9" t="s">
        <v>2</v>
      </c>
      <c r="B9">
        <v>3115038946.7600002</v>
      </c>
      <c r="C9">
        <v>2032246237.8800001</v>
      </c>
      <c r="D9">
        <v>1122230514.3299999</v>
      </c>
      <c r="E9">
        <v>4187189840.4200001</v>
      </c>
      <c r="F9">
        <v>2786104248.79</v>
      </c>
      <c r="G9">
        <v>1859591870.3199999</v>
      </c>
      <c r="H9">
        <v>905013030.88</v>
      </c>
      <c r="I9">
        <v>3812852076.1900001</v>
      </c>
      <c r="J9">
        <v>2592580782.23</v>
      </c>
      <c r="K9">
        <v>1827131652.26</v>
      </c>
      <c r="L9">
        <v>919920409</v>
      </c>
      <c r="M9">
        <v>3378499544.5900002</v>
      </c>
      <c r="N9">
        <v>2336957697.6399999</v>
      </c>
      <c r="O9">
        <v>1492808431.3399999</v>
      </c>
      <c r="P9">
        <v>730947216.88</v>
      </c>
      <c r="Q9">
        <v>2834740716</v>
      </c>
      <c r="R9">
        <v>1743433452.3800001</v>
      </c>
      <c r="S9">
        <v>1151877819.8900001</v>
      </c>
      <c r="T9">
        <v>558440922.01999998</v>
      </c>
      <c r="U9">
        <v>2204190581.1300001</v>
      </c>
      <c r="V9">
        <v>1288134049.01</v>
      </c>
      <c r="W9">
        <v>831662727.75</v>
      </c>
      <c r="X9">
        <v>459827167.05000001</v>
      </c>
      <c r="Y9">
        <v>1673872427.75</v>
      </c>
      <c r="Z9">
        <v>1001317983.5599999</v>
      </c>
      <c r="AA9">
        <v>642955797.35000002</v>
      </c>
      <c r="AB9">
        <v>354029240.72000003</v>
      </c>
      <c r="AC9">
        <v>1346014202.04</v>
      </c>
      <c r="AD9">
        <v>851216571.00999999</v>
      </c>
      <c r="AE9">
        <v>560864374.54999995</v>
      </c>
      <c r="AF9">
        <v>309690750.82999998</v>
      </c>
      <c r="AG9">
        <v>1217158463.04</v>
      </c>
      <c r="AH9">
        <v>733148103.42999995</v>
      </c>
      <c r="AI9">
        <v>463903828.94999999</v>
      </c>
      <c r="AJ9">
        <v>222527985.93000001</v>
      </c>
      <c r="AK9">
        <v>941174062.44000006</v>
      </c>
      <c r="AL9">
        <v>536075599.36000001</v>
      </c>
      <c r="AM9">
        <v>369708813.51999998</v>
      </c>
      <c r="AN9">
        <v>168448490.52000001</v>
      </c>
      <c r="AO9">
        <v>723155575.20000005</v>
      </c>
      <c r="AP9">
        <v>475793089.54000002</v>
      </c>
      <c r="AQ9">
        <v>277866482.92000002</v>
      </c>
      <c r="AR9">
        <v>99539514.049999997</v>
      </c>
      <c r="AS9">
        <v>492828170.27999997</v>
      </c>
      <c r="AT9">
        <v>256603509.80000001</v>
      </c>
      <c r="AU9">
        <v>154874288.83000001</v>
      </c>
      <c r="AV9">
        <v>81752353.340000004</v>
      </c>
      <c r="AW9">
        <v>350685099.47000003</v>
      </c>
      <c r="AX9">
        <v>216504598.13</v>
      </c>
      <c r="AY9">
        <v>142501033.12</v>
      </c>
      <c r="AZ9">
        <v>73791104.609999999</v>
      </c>
      <c r="BA9">
        <v>311563047.88999999</v>
      </c>
      <c r="BB9">
        <v>190624537.22999999</v>
      </c>
      <c r="BC9">
        <v>126425959.59999999</v>
      </c>
      <c r="BD9">
        <v>48201023.189999998</v>
      </c>
      <c r="BE9">
        <v>291880260.69</v>
      </c>
      <c r="BF9">
        <v>153324035.58000001</v>
      </c>
      <c r="BG9">
        <v>97233132.640000001</v>
      </c>
      <c r="BH9">
        <v>38951847.950000003</v>
      </c>
      <c r="BI9">
        <v>237706731.47</v>
      </c>
      <c r="BJ9">
        <v>154188146.5</v>
      </c>
      <c r="BK9">
        <v>79903159.849999994</v>
      </c>
      <c r="BL9">
        <v>39164507.240000002</v>
      </c>
      <c r="BM9">
        <v>181060278.22</v>
      </c>
      <c r="BN9">
        <v>74414401</v>
      </c>
      <c r="BO9">
        <v>129669631.27</v>
      </c>
      <c r="BP9">
        <v>122410821.54000001</v>
      </c>
      <c r="BQ9">
        <v>116104124.14</v>
      </c>
      <c r="BR9">
        <v>0</v>
      </c>
    </row>
    <row r="10" spans="1:70">
      <c r="A10" t="s">
        <v>3</v>
      </c>
      <c r="B10">
        <v>-39273204.75</v>
      </c>
      <c r="C10">
        <v>-37505205.880000003</v>
      </c>
      <c r="D10">
        <v>-29494286.280000001</v>
      </c>
      <c r="E10">
        <v>-33175188.52</v>
      </c>
      <c r="F10">
        <v>-1302024</v>
      </c>
      <c r="G10">
        <v>-12226120.6</v>
      </c>
      <c r="H10">
        <v>-3031403.42</v>
      </c>
      <c r="I10">
        <v>-67266800.969999999</v>
      </c>
      <c r="J10">
        <v>-52132054.299999997</v>
      </c>
      <c r="K10">
        <v>-18995600.109999999</v>
      </c>
      <c r="L10">
        <v>-6472977.6600000001</v>
      </c>
      <c r="M10">
        <v>-123168793.84</v>
      </c>
      <c r="N10">
        <v>-95772137.579999998</v>
      </c>
      <c r="O10">
        <v>-53889235.740000002</v>
      </c>
      <c r="P10">
        <v>-24123220.32</v>
      </c>
      <c r="Q10">
        <v>-429074364.68000001</v>
      </c>
      <c r="R10">
        <v>-343826830.68000001</v>
      </c>
      <c r="S10">
        <v>-238790533.41</v>
      </c>
      <c r="T10">
        <v>-114519214.53</v>
      </c>
      <c r="U10">
        <v>-420975922.49000001</v>
      </c>
      <c r="V10">
        <v>-297465187.51999998</v>
      </c>
      <c r="W10">
        <v>-187200820.61000001</v>
      </c>
      <c r="X10">
        <v>-97318786.079999998</v>
      </c>
      <c r="Y10">
        <v>-350751496.92000002</v>
      </c>
      <c r="Z10">
        <v>-217813505.31999999</v>
      </c>
      <c r="AA10">
        <v>-148888545.19</v>
      </c>
      <c r="AB10">
        <v>-53473692.270000003</v>
      </c>
      <c r="AC10">
        <v>-176577024.91</v>
      </c>
      <c r="AD10">
        <v>-137330593.52000001</v>
      </c>
      <c r="AE10">
        <v>-99774773.510000005</v>
      </c>
      <c r="AF10">
        <v>-46248011.119999997</v>
      </c>
      <c r="AG10">
        <v>-133636115.78</v>
      </c>
      <c r="AH10">
        <v>-90429443.689999998</v>
      </c>
      <c r="AI10">
        <v>-87784729.510000005</v>
      </c>
      <c r="AJ10">
        <v>-81307397.079999998</v>
      </c>
      <c r="AK10">
        <v>-102500765.33</v>
      </c>
      <c r="AL10">
        <v>-62182025.009999998</v>
      </c>
      <c r="AM10">
        <v>-46122542.109999999</v>
      </c>
      <c r="AN10">
        <v>-39680467.920000002</v>
      </c>
      <c r="AO10">
        <v>-44743824.950000003</v>
      </c>
      <c r="AP10">
        <v>-38158017.710000001</v>
      </c>
      <c r="AQ10">
        <v>-32966149.120000001</v>
      </c>
      <c r="AR10">
        <v>-26751923.239999998</v>
      </c>
      <c r="AS10">
        <v>-25268367.890000001</v>
      </c>
      <c r="AT10">
        <v>-14469012.92</v>
      </c>
      <c r="AU10">
        <v>-6698234.1299999999</v>
      </c>
      <c r="AV10">
        <v>-2819139.21</v>
      </c>
      <c r="AW10">
        <v>-32264593.949999999</v>
      </c>
      <c r="AX10">
        <v>-14225903.98</v>
      </c>
      <c r="AY10">
        <v>-8107880.4500000002</v>
      </c>
      <c r="AZ10">
        <v>-3746924.02</v>
      </c>
      <c r="BA10">
        <v>-25993795.539999999</v>
      </c>
      <c r="BB10">
        <v>-22307046.379999999</v>
      </c>
      <c r="BC10">
        <v>-9958861.9700000007</v>
      </c>
      <c r="BD10">
        <v>-6747422.2300000004</v>
      </c>
      <c r="BE10">
        <v>-16050225.99</v>
      </c>
      <c r="BF10">
        <v>-12245012.15</v>
      </c>
      <c r="BG10">
        <v>-4371087.49</v>
      </c>
      <c r="BH10">
        <v>-2211149.4700000002</v>
      </c>
      <c r="BI10">
        <v>-17461501.870000001</v>
      </c>
      <c r="BJ10">
        <v>-15259418.529999999</v>
      </c>
      <c r="BK10">
        <v>-11910236.880000001</v>
      </c>
      <c r="BL10">
        <v>-2661960.19</v>
      </c>
      <c r="BM10">
        <v>-5742353.4900000002</v>
      </c>
      <c r="BN10">
        <v>1336222</v>
      </c>
      <c r="BO10">
        <v>6680065.6699999999</v>
      </c>
      <c r="BP10">
        <v>11277315.43</v>
      </c>
      <c r="BQ10">
        <v>41920771.770000003</v>
      </c>
      <c r="BR10">
        <v>0</v>
      </c>
    </row>
    <row r="11" spans="1:70">
      <c r="A11" t="s">
        <v>101</v>
      </c>
      <c r="B11">
        <v>-8205173.0300000003</v>
      </c>
      <c r="C11">
        <v>-3205173.03</v>
      </c>
      <c r="D11">
        <v>-5356392.4000000004</v>
      </c>
      <c r="E11">
        <v>12327496.220000001</v>
      </c>
      <c r="F11">
        <v>5491060.0800000001</v>
      </c>
      <c r="G11">
        <v>5536334.9299999997</v>
      </c>
      <c r="H11">
        <v>2979616.96</v>
      </c>
      <c r="I11">
        <v>-540313.39</v>
      </c>
      <c r="J11">
        <v>150533.28</v>
      </c>
      <c r="K11">
        <v>404373.28</v>
      </c>
      <c r="L11">
        <v>-200793.38</v>
      </c>
      <c r="M11">
        <v>432745.88</v>
      </c>
      <c r="N11">
        <v>393295.23</v>
      </c>
      <c r="O11">
        <v>243295.23</v>
      </c>
      <c r="P11">
        <v>-760608.59</v>
      </c>
      <c r="Q11">
        <v>-2004032.3</v>
      </c>
      <c r="R11">
        <v>-1818342.1</v>
      </c>
      <c r="S11">
        <v>-2068342.1</v>
      </c>
      <c r="T11">
        <v>0</v>
      </c>
      <c r="U11">
        <v>2979258.5</v>
      </c>
      <c r="V11">
        <v>955859.42</v>
      </c>
      <c r="W11">
        <v>955859.42</v>
      </c>
      <c r="X11">
        <v>0</v>
      </c>
      <c r="Y11">
        <v>-2500650.5699999998</v>
      </c>
      <c r="Z11">
        <v>-1597611.27</v>
      </c>
      <c r="AA11">
        <v>-1568169.42</v>
      </c>
      <c r="AB11">
        <v>0</v>
      </c>
      <c r="AC11">
        <v>-3066975.05</v>
      </c>
      <c r="AD11">
        <v>2797805.44</v>
      </c>
      <c r="AE11">
        <v>2776574.21</v>
      </c>
      <c r="AF11">
        <v>18000</v>
      </c>
      <c r="AG11">
        <v>-300085.01</v>
      </c>
      <c r="AH11">
        <v>442604</v>
      </c>
      <c r="AI11">
        <v>442604</v>
      </c>
      <c r="AJ11">
        <v>0</v>
      </c>
      <c r="AK11">
        <v>450078.22</v>
      </c>
      <c r="AL11">
        <v>-1411074.74</v>
      </c>
      <c r="AM11">
        <v>-1411074.74</v>
      </c>
      <c r="AN11">
        <v>0</v>
      </c>
      <c r="AO11">
        <v>-614738.65</v>
      </c>
      <c r="AP11">
        <v>1317514.0900000001</v>
      </c>
      <c r="AQ11">
        <v>1317514.0900000001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3869276.9</v>
      </c>
      <c r="J13">
        <v>3868919.86</v>
      </c>
      <c r="K13">
        <v>3342169.86</v>
      </c>
      <c r="L13">
        <v>332169.86</v>
      </c>
      <c r="M13">
        <v>3095265.75</v>
      </c>
      <c r="N13">
        <v>3010000</v>
      </c>
      <c r="O13">
        <v>3010000</v>
      </c>
      <c r="P13">
        <v>0</v>
      </c>
      <c r="Q13">
        <v>3010000</v>
      </c>
      <c r="R13">
        <v>3010000</v>
      </c>
      <c r="S13">
        <v>3010000</v>
      </c>
      <c r="T13">
        <v>0</v>
      </c>
      <c r="U13">
        <v>3103250</v>
      </c>
      <c r="V13">
        <v>3103250</v>
      </c>
      <c r="W13">
        <v>3103250</v>
      </c>
      <c r="X13">
        <v>93250</v>
      </c>
      <c r="Y13">
        <v>3383000</v>
      </c>
      <c r="Z13">
        <v>3289750</v>
      </c>
      <c r="AA13">
        <v>3196500</v>
      </c>
      <c r="AB13">
        <v>93250</v>
      </c>
      <c r="AC13">
        <v>469050</v>
      </c>
      <c r="AD13">
        <v>375800</v>
      </c>
      <c r="AE13">
        <v>282550</v>
      </c>
      <c r="AF13">
        <v>0</v>
      </c>
      <c r="AG13">
        <v>1209447.26</v>
      </c>
      <c r="AH13">
        <v>972122.26</v>
      </c>
      <c r="AI13">
        <v>734797.26</v>
      </c>
      <c r="AJ13">
        <v>301075</v>
      </c>
      <c r="AK13">
        <v>1322250</v>
      </c>
      <c r="AL13">
        <v>1021175</v>
      </c>
      <c r="AM13">
        <v>720100</v>
      </c>
      <c r="AN13">
        <v>419025</v>
      </c>
      <c r="AO13">
        <v>1814950</v>
      </c>
      <c r="AP13">
        <v>859950</v>
      </c>
      <c r="AQ13">
        <v>859950</v>
      </c>
      <c r="AR13">
        <v>0</v>
      </c>
      <c r="AS13">
        <v>3012928.94</v>
      </c>
      <c r="AT13">
        <v>144435.35999999999</v>
      </c>
      <c r="AU13">
        <v>144435.35999999999</v>
      </c>
      <c r="AV13">
        <v>0</v>
      </c>
      <c r="AW13">
        <v>427953.6</v>
      </c>
      <c r="AX13">
        <v>23718.23</v>
      </c>
      <c r="AY13">
        <v>23718.23</v>
      </c>
      <c r="AZ13">
        <v>-187658.6</v>
      </c>
      <c r="BA13">
        <v>315063.71000000002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>
      <c r="A16" t="s">
        <v>106</v>
      </c>
      <c r="B16">
        <v>28636943385.349998</v>
      </c>
      <c r="C16">
        <v>16123769916.27</v>
      </c>
      <c r="D16">
        <v>8790152762.5599995</v>
      </c>
      <c r="E16">
        <v>24265625169.419998</v>
      </c>
      <c r="F16">
        <v>18149578203.43</v>
      </c>
      <c r="G16">
        <v>12760123468.860001</v>
      </c>
      <c r="H16">
        <v>7202563107.21</v>
      </c>
      <c r="I16">
        <v>22158991962.869999</v>
      </c>
      <c r="J16">
        <v>16294979247.549999</v>
      </c>
      <c r="K16">
        <v>11151613884.9</v>
      </c>
      <c r="L16">
        <v>6204332019.7299995</v>
      </c>
      <c r="M16">
        <v>22102973250.900002</v>
      </c>
      <c r="N16">
        <v>15316444738.299999</v>
      </c>
      <c r="O16">
        <v>10250976984.1</v>
      </c>
      <c r="P16">
        <v>5319919564.8699999</v>
      </c>
      <c r="Q16">
        <v>21791544952</v>
      </c>
      <c r="R16">
        <v>16013209542.84</v>
      </c>
      <c r="S16">
        <v>10397746420.82</v>
      </c>
      <c r="T16">
        <v>5370179720.1499996</v>
      </c>
      <c r="U16">
        <v>18830739817.650002</v>
      </c>
      <c r="V16">
        <v>14687293422.030001</v>
      </c>
      <c r="W16">
        <v>9799689054.4599991</v>
      </c>
      <c r="X16">
        <v>4173011924.1999998</v>
      </c>
      <c r="Y16">
        <v>12336164425.08</v>
      </c>
      <c r="Z16">
        <v>9282393382.5900002</v>
      </c>
      <c r="AA16">
        <v>6889593147.71</v>
      </c>
      <c r="AB16">
        <v>2652278357.0300002</v>
      </c>
      <c r="AC16">
        <v>7160906229.5</v>
      </c>
      <c r="AD16">
        <v>5897507732.0500002</v>
      </c>
      <c r="AE16">
        <v>4380755479.71</v>
      </c>
      <c r="AF16">
        <v>1795570345.1900001</v>
      </c>
      <c r="AG16">
        <v>6075520510.7200003</v>
      </c>
      <c r="AH16">
        <v>5305959144.1199999</v>
      </c>
      <c r="AI16">
        <v>3904946419.2399998</v>
      </c>
      <c r="AJ16">
        <v>1704811540.3299999</v>
      </c>
      <c r="AK16">
        <v>5390384855.0299997</v>
      </c>
      <c r="AL16">
        <v>4411345749.3999996</v>
      </c>
      <c r="AM16">
        <v>3144122687.0999999</v>
      </c>
      <c r="AN16">
        <v>1221987327.8900001</v>
      </c>
      <c r="AO16">
        <v>4525341001.8000002</v>
      </c>
      <c r="AP16">
        <v>2505723084.77</v>
      </c>
      <c r="AQ16">
        <v>1358893995.1700001</v>
      </c>
      <c r="AR16">
        <v>873061006.92999995</v>
      </c>
      <c r="AS16">
        <v>2487229192.3899999</v>
      </c>
      <c r="AT16">
        <v>1566323386.3499999</v>
      </c>
      <c r="AU16">
        <v>971206524.42999995</v>
      </c>
      <c r="AV16">
        <v>672106961.02999997</v>
      </c>
      <c r="AW16">
        <v>1919280411.1800001</v>
      </c>
      <c r="AX16">
        <v>1149467119.73</v>
      </c>
      <c r="AY16">
        <v>755602345.95000005</v>
      </c>
      <c r="AZ16">
        <v>557497298.74000001</v>
      </c>
      <c r="BA16">
        <v>1488107055.8299999</v>
      </c>
      <c r="BB16">
        <v>875692906.41999996</v>
      </c>
      <c r="BC16">
        <v>569689339.82000005</v>
      </c>
      <c r="BD16">
        <v>401156738.20999998</v>
      </c>
      <c r="BE16">
        <v>976039792.24000001</v>
      </c>
      <c r="BF16">
        <v>595356565.42999995</v>
      </c>
      <c r="BG16">
        <v>410663994.26999998</v>
      </c>
      <c r="BH16">
        <v>341339342.32999998</v>
      </c>
      <c r="BI16">
        <v>649243161.39999998</v>
      </c>
      <c r="BJ16">
        <v>528274143.08999997</v>
      </c>
      <c r="BK16">
        <v>401841412.07999998</v>
      </c>
      <c r="BL16">
        <v>337954898.82999998</v>
      </c>
      <c r="BM16">
        <v>610210332.90999997</v>
      </c>
      <c r="BN16">
        <v>373553610.48000002</v>
      </c>
      <c r="BO16">
        <v>445788139.26999998</v>
      </c>
      <c r="BP16">
        <v>353647748.18000001</v>
      </c>
      <c r="BQ16">
        <v>218965723.72</v>
      </c>
      <c r="BR16">
        <v>0</v>
      </c>
    </row>
    <row r="17" spans="1:70">
      <c r="A17" t="s">
        <v>107</v>
      </c>
      <c r="B17">
        <v>9775757.8599999994</v>
      </c>
      <c r="C17">
        <v>5597183.8300000001</v>
      </c>
      <c r="D17">
        <v>1770099.69</v>
      </c>
      <c r="E17">
        <v>8553926.0600000005</v>
      </c>
      <c r="F17">
        <v>8262314.4500000002</v>
      </c>
      <c r="G17">
        <v>5374865.2699999996</v>
      </c>
      <c r="H17">
        <v>4199647.6100000003</v>
      </c>
      <c r="I17">
        <v>4823183.32</v>
      </c>
      <c r="J17">
        <v>1151762.29</v>
      </c>
      <c r="K17">
        <v>712903.58</v>
      </c>
      <c r="L17">
        <v>499998</v>
      </c>
      <c r="M17">
        <v>6562552.1799999997</v>
      </c>
      <c r="N17">
        <v>2509405.6</v>
      </c>
      <c r="O17">
        <v>631082.29</v>
      </c>
      <c r="P17">
        <v>573210.01</v>
      </c>
      <c r="Q17">
        <v>32763249.140000001</v>
      </c>
      <c r="R17">
        <v>27712057.190000001</v>
      </c>
      <c r="S17">
        <v>181985.22</v>
      </c>
      <c r="T17">
        <v>33313.199999999997</v>
      </c>
      <c r="U17">
        <v>6756532.1900000004</v>
      </c>
      <c r="V17">
        <v>4670917.43</v>
      </c>
      <c r="W17">
        <v>2194791.12</v>
      </c>
      <c r="X17">
        <v>1955371.81</v>
      </c>
      <c r="Y17">
        <v>7181584.54</v>
      </c>
      <c r="Z17">
        <v>4953462.93</v>
      </c>
      <c r="AA17">
        <v>2992008.57</v>
      </c>
      <c r="AB17">
        <v>1979084</v>
      </c>
      <c r="AC17">
        <v>5307144.91</v>
      </c>
      <c r="AD17">
        <v>1971014.48</v>
      </c>
      <c r="AE17">
        <v>398410.98</v>
      </c>
      <c r="AF17">
        <v>10325.86</v>
      </c>
      <c r="AG17">
        <v>6247977</v>
      </c>
      <c r="AH17">
        <v>494320</v>
      </c>
      <c r="AI17">
        <v>1861620</v>
      </c>
      <c r="AJ17">
        <v>1231620</v>
      </c>
      <c r="AK17">
        <v>6282035.79</v>
      </c>
      <c r="AL17">
        <v>2381385.59</v>
      </c>
      <c r="AM17">
        <v>1164514.5900000001</v>
      </c>
      <c r="AN17">
        <v>570450</v>
      </c>
      <c r="AO17">
        <v>2917186.44</v>
      </c>
      <c r="AP17">
        <v>2650052.83</v>
      </c>
      <c r="AQ17">
        <v>2337708.1800000002</v>
      </c>
      <c r="AR17">
        <v>1118127.8899999999</v>
      </c>
      <c r="AS17">
        <v>1149619.55</v>
      </c>
      <c r="AT17">
        <v>1004708.55</v>
      </c>
      <c r="AU17">
        <v>859384.55</v>
      </c>
      <c r="AV17">
        <v>328675</v>
      </c>
      <c r="AW17">
        <v>1762887.9</v>
      </c>
      <c r="AX17">
        <v>1313389.2</v>
      </c>
      <c r="AY17">
        <v>1198053.82</v>
      </c>
      <c r="AZ17">
        <v>11500</v>
      </c>
      <c r="BA17">
        <v>3601893.97</v>
      </c>
      <c r="BB17">
        <v>213199.97</v>
      </c>
      <c r="BC17">
        <v>35584.97</v>
      </c>
      <c r="BD17">
        <v>14874.97</v>
      </c>
      <c r="BE17">
        <v>1392334.71</v>
      </c>
      <c r="BF17">
        <v>1064414.71</v>
      </c>
      <c r="BG17">
        <v>582293.07999999996</v>
      </c>
      <c r="BH17">
        <v>111556.08</v>
      </c>
      <c r="BI17">
        <v>137822</v>
      </c>
      <c r="BJ17">
        <v>68602</v>
      </c>
      <c r="BK17">
        <v>55202</v>
      </c>
      <c r="BL17">
        <v>50170</v>
      </c>
      <c r="BM17">
        <v>72208.039999999994</v>
      </c>
      <c r="BN17">
        <v>51586.44</v>
      </c>
      <c r="BO17">
        <v>17635.96</v>
      </c>
      <c r="BP17">
        <v>1500</v>
      </c>
      <c r="BQ17">
        <v>0</v>
      </c>
      <c r="BR17">
        <v>0</v>
      </c>
    </row>
    <row r="18" spans="1:70">
      <c r="A18" t="s">
        <v>108</v>
      </c>
      <c r="B18">
        <v>153881485.16999999</v>
      </c>
      <c r="C18">
        <v>45837582.100000001</v>
      </c>
      <c r="D18">
        <v>36882434.299999997</v>
      </c>
      <c r="E18">
        <v>316298138.37</v>
      </c>
      <c r="F18">
        <v>119855695.88</v>
      </c>
      <c r="G18">
        <v>213054.89</v>
      </c>
      <c r="H18">
        <v>27219.7</v>
      </c>
      <c r="I18">
        <v>162100184.84999999</v>
      </c>
      <c r="J18">
        <v>133901458.09</v>
      </c>
      <c r="K18">
        <v>2893260.58</v>
      </c>
      <c r="L18">
        <v>2815794.51</v>
      </c>
      <c r="M18">
        <v>227193365.75</v>
      </c>
      <c r="N18">
        <v>139757580</v>
      </c>
      <c r="O18">
        <v>28429120.030000001</v>
      </c>
      <c r="P18">
        <v>8142669.9199999999</v>
      </c>
      <c r="Q18">
        <v>391947775.17000002</v>
      </c>
      <c r="R18">
        <v>373534440.38</v>
      </c>
      <c r="S18">
        <v>272522239.94</v>
      </c>
      <c r="T18">
        <v>252324805.13</v>
      </c>
      <c r="U18">
        <v>137005880.68000001</v>
      </c>
      <c r="V18">
        <v>106707683.45999999</v>
      </c>
      <c r="W18">
        <v>1707664.91</v>
      </c>
      <c r="X18">
        <v>38335.06</v>
      </c>
      <c r="Y18">
        <v>8685535.8200000003</v>
      </c>
      <c r="Z18">
        <v>7792593.8099999996</v>
      </c>
      <c r="AA18">
        <v>5238266.28</v>
      </c>
      <c r="AB18">
        <v>151384.31</v>
      </c>
      <c r="AC18">
        <v>3796643.04</v>
      </c>
      <c r="AD18">
        <v>3694392.17</v>
      </c>
      <c r="AE18">
        <v>3637581.92</v>
      </c>
      <c r="AF18">
        <v>2800000</v>
      </c>
      <c r="AG18">
        <v>1228603.08</v>
      </c>
      <c r="AH18">
        <v>1086603.01</v>
      </c>
      <c r="AI18">
        <v>1008880.69</v>
      </c>
      <c r="AJ18">
        <v>1000000</v>
      </c>
      <c r="AK18">
        <v>11366252.66</v>
      </c>
      <c r="AL18">
        <v>9836215.3900000006</v>
      </c>
      <c r="AM18">
        <v>9762890.1999999993</v>
      </c>
      <c r="AN18">
        <v>0</v>
      </c>
      <c r="AO18">
        <v>6233172.3099999996</v>
      </c>
      <c r="AP18">
        <v>326370.88</v>
      </c>
      <c r="AQ18">
        <v>171352.52</v>
      </c>
      <c r="AR18">
        <v>10726.5</v>
      </c>
      <c r="AS18">
        <v>191818.51</v>
      </c>
      <c r="AT18">
        <v>51074.5</v>
      </c>
      <c r="AU18">
        <v>1074.5</v>
      </c>
      <c r="AV18">
        <v>1074.5</v>
      </c>
      <c r="AW18">
        <v>796935.44</v>
      </c>
      <c r="AX18">
        <v>350</v>
      </c>
      <c r="AY18">
        <v>350</v>
      </c>
      <c r="AZ18">
        <v>0</v>
      </c>
      <c r="BA18">
        <v>1036434.99</v>
      </c>
      <c r="BB18">
        <v>52400</v>
      </c>
      <c r="BC18">
        <v>2400</v>
      </c>
      <c r="BD18">
        <v>1400</v>
      </c>
      <c r="BE18">
        <v>137513.69</v>
      </c>
      <c r="BF18">
        <v>131823.35999999999</v>
      </c>
      <c r="BG18">
        <v>9905.66</v>
      </c>
      <c r="BH18">
        <v>8355.66</v>
      </c>
      <c r="BI18">
        <v>10611.88</v>
      </c>
      <c r="BJ18">
        <v>10611.88</v>
      </c>
      <c r="BK18">
        <v>10611.88</v>
      </c>
      <c r="BL18">
        <v>211.88</v>
      </c>
      <c r="BM18">
        <v>3004334.7</v>
      </c>
      <c r="BN18">
        <v>612996.92000000004</v>
      </c>
      <c r="BO18">
        <v>960375.1</v>
      </c>
      <c r="BP18">
        <v>56614.31</v>
      </c>
      <c r="BQ18">
        <v>0</v>
      </c>
      <c r="BR18">
        <v>0</v>
      </c>
    </row>
    <row r="19" spans="1:70">
      <c r="A19" t="s">
        <v>109</v>
      </c>
      <c r="B19">
        <v>2096268.03</v>
      </c>
      <c r="C19">
        <v>115399.49</v>
      </c>
      <c r="D19">
        <v>69414.600000000006</v>
      </c>
      <c r="E19">
        <v>1960971.07</v>
      </c>
      <c r="F19">
        <v>50154.5</v>
      </c>
      <c r="G19">
        <v>32754.9</v>
      </c>
      <c r="H19">
        <v>26600</v>
      </c>
      <c r="I19">
        <v>188439.42</v>
      </c>
      <c r="J19">
        <v>38842.93</v>
      </c>
      <c r="K19">
        <v>38842.93</v>
      </c>
      <c r="L19">
        <v>15764.6</v>
      </c>
      <c r="M19">
        <v>86754481.230000004</v>
      </c>
      <c r="N19">
        <v>5839433.6799999997</v>
      </c>
      <c r="O19">
        <v>5830794.7999999998</v>
      </c>
      <c r="P19">
        <v>0</v>
      </c>
      <c r="Q19">
        <v>8997287.1699999999</v>
      </c>
      <c r="R19">
        <v>175182.81</v>
      </c>
      <c r="S19">
        <v>175182.81</v>
      </c>
      <c r="T19">
        <v>0</v>
      </c>
      <c r="U19">
        <v>0</v>
      </c>
      <c r="V19">
        <v>0</v>
      </c>
      <c r="W19">
        <v>84152.4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>
      <c r="A20" t="s">
        <v>110</v>
      </c>
      <c r="B20">
        <v>28492837658.040001</v>
      </c>
      <c r="C20">
        <v>16083529518</v>
      </c>
      <c r="D20">
        <v>8755040427.9500008</v>
      </c>
      <c r="E20">
        <v>23957880957.110001</v>
      </c>
      <c r="F20">
        <v>18037984822</v>
      </c>
      <c r="G20">
        <v>12765285279.24</v>
      </c>
      <c r="H20">
        <v>7206735535.1199999</v>
      </c>
      <c r="I20">
        <v>22001714961.34</v>
      </c>
      <c r="J20">
        <v>16162229551.75</v>
      </c>
      <c r="K20">
        <v>11149433527.9</v>
      </c>
      <c r="L20">
        <v>6202016223.2200003</v>
      </c>
      <c r="M20">
        <v>21882342437.330002</v>
      </c>
      <c r="N20">
        <v>15179196563.9</v>
      </c>
      <c r="O20">
        <v>10223178946.360001</v>
      </c>
      <c r="P20">
        <v>5312350104.96</v>
      </c>
      <c r="Q20">
        <v>21432360425.970001</v>
      </c>
      <c r="R20">
        <v>15667387159.65</v>
      </c>
      <c r="S20">
        <v>10125406166.1</v>
      </c>
      <c r="T20">
        <v>5117888228.2200003</v>
      </c>
      <c r="U20">
        <v>18700490469.16</v>
      </c>
      <c r="V20">
        <v>14585256656</v>
      </c>
      <c r="W20">
        <v>9800176180.6700001</v>
      </c>
      <c r="X20">
        <v>4174928960.9499998</v>
      </c>
      <c r="Y20">
        <v>12334660473.799999</v>
      </c>
      <c r="Z20">
        <v>9279554251.7099991</v>
      </c>
      <c r="AA20">
        <v>6887346890</v>
      </c>
      <c r="AB20">
        <v>2654106056.7199998</v>
      </c>
      <c r="AC20">
        <v>7162416731.3699999</v>
      </c>
      <c r="AD20">
        <v>5895784354.3599997</v>
      </c>
      <c r="AE20">
        <v>4377516308.7700005</v>
      </c>
      <c r="AF20">
        <v>1792780671.05</v>
      </c>
      <c r="AG20">
        <v>6080539884.6400003</v>
      </c>
      <c r="AH20">
        <v>5305366861.1099997</v>
      </c>
      <c r="AI20">
        <v>3905799158.5500002</v>
      </c>
      <c r="AJ20">
        <v>1705043160.3299999</v>
      </c>
      <c r="AK20">
        <v>5385300638.1599998</v>
      </c>
      <c r="AL20">
        <v>4403890919.6000004</v>
      </c>
      <c r="AM20">
        <v>3135524311.4899998</v>
      </c>
      <c r="AN20">
        <v>1222557777.8900001</v>
      </c>
      <c r="AO20">
        <v>4522025015.9300003</v>
      </c>
      <c r="AP20">
        <v>2508046766.7199998</v>
      </c>
      <c r="AQ20">
        <v>1361060350.8299999</v>
      </c>
      <c r="AR20">
        <v>874168408.32000005</v>
      </c>
      <c r="AS20">
        <v>2488186993.4299998</v>
      </c>
      <c r="AT20">
        <v>1567277020.4000001</v>
      </c>
      <c r="AU20">
        <v>972064834.48000002</v>
      </c>
      <c r="AV20">
        <v>672434561.52999997</v>
      </c>
      <c r="AW20">
        <v>1920246363.6400001</v>
      </c>
      <c r="AX20">
        <v>1150780158.9300001</v>
      </c>
      <c r="AY20">
        <v>756800049.76999998</v>
      </c>
      <c r="AZ20">
        <v>557508798.74000001</v>
      </c>
      <c r="BA20">
        <v>1490672514.8099999</v>
      </c>
      <c r="BB20">
        <v>875853706.38999999</v>
      </c>
      <c r="BC20">
        <v>569722524.78999996</v>
      </c>
      <c r="BD20">
        <v>401170213.18000001</v>
      </c>
      <c r="BE20">
        <v>977294613.25999999</v>
      </c>
      <c r="BF20">
        <v>596289156.77999997</v>
      </c>
      <c r="BG20">
        <v>411236381.69</v>
      </c>
      <c r="BH20">
        <v>341442542.75</v>
      </c>
      <c r="BI20">
        <v>649370371.51999998</v>
      </c>
      <c r="BJ20">
        <v>528332133.20999998</v>
      </c>
      <c r="BK20">
        <v>401886002.19999999</v>
      </c>
      <c r="BL20">
        <v>338004856.94999999</v>
      </c>
      <c r="BM20">
        <v>607278206.25</v>
      </c>
      <c r="BN20">
        <v>372992200</v>
      </c>
      <c r="BO20">
        <v>444845400.13</v>
      </c>
      <c r="BP20">
        <v>353592633.87</v>
      </c>
      <c r="BQ20">
        <v>218965723.72</v>
      </c>
      <c r="BR20">
        <v>0</v>
      </c>
    </row>
    <row r="21" spans="1:70">
      <c r="A21" t="s">
        <v>111</v>
      </c>
      <c r="B21">
        <v>7131368591.2299995</v>
      </c>
      <c r="C21">
        <v>4039090821.9699998</v>
      </c>
      <c r="D21">
        <v>2210206968.8800001</v>
      </c>
      <c r="E21">
        <v>6027237847.2299995</v>
      </c>
      <c r="F21">
        <v>4707793040.1099997</v>
      </c>
      <c r="G21">
        <v>3388082316.0900002</v>
      </c>
      <c r="H21">
        <v>1994656882.6400001</v>
      </c>
      <c r="I21">
        <v>5546718336.1199999</v>
      </c>
      <c r="J21">
        <v>4035440224.8800001</v>
      </c>
      <c r="K21">
        <v>2784913019.29</v>
      </c>
      <c r="L21">
        <v>1573695806.3099999</v>
      </c>
      <c r="M21">
        <v>5612970927.5</v>
      </c>
      <c r="N21">
        <v>3803506856.02</v>
      </c>
      <c r="O21">
        <v>2558640928.77</v>
      </c>
      <c r="P21">
        <v>1359416643.96</v>
      </c>
      <c r="Q21">
        <v>5467460544.9200001</v>
      </c>
      <c r="R21">
        <v>4005211849.6700001</v>
      </c>
      <c r="S21">
        <v>2504491374.79</v>
      </c>
      <c r="T21">
        <v>1344524985.23</v>
      </c>
      <c r="U21">
        <v>4692039766.9899998</v>
      </c>
      <c r="V21">
        <v>3647276882.3000002</v>
      </c>
      <c r="W21">
        <v>2451236642.1199999</v>
      </c>
      <c r="X21">
        <v>1045438170.21</v>
      </c>
      <c r="Y21">
        <v>3084336666.1799998</v>
      </c>
      <c r="Z21">
        <v>2348839939.0999999</v>
      </c>
      <c r="AA21">
        <v>1721040697.47</v>
      </c>
      <c r="AB21">
        <v>662814727.08000004</v>
      </c>
      <c r="AC21">
        <v>1822655234.4000001</v>
      </c>
      <c r="AD21">
        <v>1484679876.53</v>
      </c>
      <c r="AE21">
        <v>1102953708.7</v>
      </c>
      <c r="AF21">
        <v>448397873.24000001</v>
      </c>
      <c r="AG21">
        <v>1527650940.6400001</v>
      </c>
      <c r="AH21">
        <v>1325571242.9100001</v>
      </c>
      <c r="AI21">
        <v>976956902.29999995</v>
      </c>
      <c r="AJ21">
        <v>426202592.50999999</v>
      </c>
      <c r="AK21">
        <v>1384541295.05</v>
      </c>
      <c r="AL21">
        <v>1099692138.5999999</v>
      </c>
      <c r="AM21">
        <v>783585037.86000001</v>
      </c>
      <c r="AN21">
        <v>305509033.30000001</v>
      </c>
      <c r="AO21">
        <v>1555972506.98</v>
      </c>
      <c r="AP21">
        <v>838824810.53999996</v>
      </c>
      <c r="AQ21">
        <v>467112109.42000002</v>
      </c>
      <c r="AR21">
        <v>312727702.22000003</v>
      </c>
      <c r="AS21">
        <v>913878754.97000003</v>
      </c>
      <c r="AT21">
        <v>573234513.25999999</v>
      </c>
      <c r="AU21">
        <v>337994016.10000002</v>
      </c>
      <c r="AV21">
        <v>203934016.81999999</v>
      </c>
      <c r="AW21">
        <v>751124237.92999995</v>
      </c>
      <c r="AX21">
        <v>416147739.11000001</v>
      </c>
      <c r="AY21">
        <v>254095014.83000001</v>
      </c>
      <c r="AZ21">
        <v>173567381.47999999</v>
      </c>
      <c r="BA21">
        <v>636500339.35000002</v>
      </c>
      <c r="BB21">
        <v>337778231.50999999</v>
      </c>
      <c r="BC21">
        <v>205660460.36000001</v>
      </c>
      <c r="BD21">
        <v>129839421.97</v>
      </c>
      <c r="BE21">
        <v>368541117.19999999</v>
      </c>
      <c r="BF21">
        <v>226477466.31</v>
      </c>
      <c r="BG21">
        <v>148750335.91</v>
      </c>
      <c r="BH21">
        <v>116318861.01000001</v>
      </c>
      <c r="BI21">
        <v>256784400.75</v>
      </c>
      <c r="BJ21">
        <v>208225146.55000001</v>
      </c>
      <c r="BK21">
        <v>155530625.22999999</v>
      </c>
      <c r="BL21">
        <v>124206524.16</v>
      </c>
      <c r="BM21">
        <v>264912397.47999999</v>
      </c>
      <c r="BN21">
        <v>142925129</v>
      </c>
      <c r="BO21">
        <v>189560588.75</v>
      </c>
      <c r="BP21">
        <v>137902505.22</v>
      </c>
      <c r="BQ21">
        <v>72074304.109999999</v>
      </c>
      <c r="BR21">
        <v>0</v>
      </c>
    </row>
    <row r="22" spans="1:70">
      <c r="A22" t="s">
        <v>112</v>
      </c>
      <c r="B22">
        <v>21361469066.810001</v>
      </c>
      <c r="C22">
        <v>12044438696.030001</v>
      </c>
      <c r="D22">
        <v>6544833459.0699997</v>
      </c>
      <c r="E22">
        <v>17930643109.880001</v>
      </c>
      <c r="F22">
        <v>13330191781.889999</v>
      </c>
      <c r="G22">
        <v>9377202963.1499996</v>
      </c>
      <c r="H22">
        <v>5212078652.4799995</v>
      </c>
      <c r="I22">
        <v>16454996625.219999</v>
      </c>
      <c r="J22">
        <v>12126789326.870001</v>
      </c>
      <c r="K22">
        <v>8364520508.6099997</v>
      </c>
      <c r="L22">
        <v>4628320416.9099998</v>
      </c>
      <c r="M22">
        <v>16269371509.83</v>
      </c>
      <c r="N22">
        <v>11375689707.879999</v>
      </c>
      <c r="O22">
        <v>7664538017.5900002</v>
      </c>
      <c r="P22">
        <v>3952933461</v>
      </c>
      <c r="Q22">
        <v>15964899881.049999</v>
      </c>
      <c r="R22">
        <v>11662175309.98</v>
      </c>
      <c r="S22">
        <v>7620914791.3100004</v>
      </c>
      <c r="T22">
        <v>3773363242.9899998</v>
      </c>
      <c r="U22">
        <v>14008450702.17</v>
      </c>
      <c r="V22">
        <v>10937979773.700001</v>
      </c>
      <c r="W22">
        <v>7348939538.5500002</v>
      </c>
      <c r="X22">
        <v>3129490790.7399998</v>
      </c>
      <c r="Y22">
        <v>9250323807.6200008</v>
      </c>
      <c r="Z22">
        <v>6930714312.6099997</v>
      </c>
      <c r="AA22">
        <v>5166306192.5299997</v>
      </c>
      <c r="AB22">
        <v>1991291329.6400001</v>
      </c>
      <c r="AC22">
        <v>5339761496.9700003</v>
      </c>
      <c r="AD22">
        <v>4411104477.8299999</v>
      </c>
      <c r="AE22">
        <v>3274562600.0700002</v>
      </c>
      <c r="AF22">
        <v>1344382797.8099999</v>
      </c>
      <c r="AG22">
        <v>4552888944</v>
      </c>
      <c r="AH22">
        <v>3979795618.1999998</v>
      </c>
      <c r="AI22">
        <v>2928842256.25</v>
      </c>
      <c r="AJ22">
        <v>1278840567.8199999</v>
      </c>
      <c r="AK22">
        <v>4000759343.1100001</v>
      </c>
      <c r="AL22">
        <v>3304198781</v>
      </c>
      <c r="AM22">
        <v>2351939273.6300001</v>
      </c>
      <c r="AN22">
        <v>917048744.59000003</v>
      </c>
      <c r="AO22">
        <v>2966052508.9499998</v>
      </c>
      <c r="AP22">
        <v>1669221956.1800001</v>
      </c>
      <c r="AQ22">
        <v>893948241.40999997</v>
      </c>
      <c r="AR22">
        <v>561440706.10000002</v>
      </c>
      <c r="AS22">
        <v>1574308238.46</v>
      </c>
      <c r="AT22">
        <v>994042507.13999999</v>
      </c>
      <c r="AU22">
        <v>634070818.38</v>
      </c>
      <c r="AV22">
        <v>468500544.70999998</v>
      </c>
      <c r="AW22">
        <v>1169122125.71</v>
      </c>
      <c r="AX22">
        <v>734632419.82000005</v>
      </c>
      <c r="AY22">
        <v>502705034.94</v>
      </c>
      <c r="AZ22">
        <v>383941417.25999999</v>
      </c>
      <c r="BA22">
        <v>854172175.46000004</v>
      </c>
      <c r="BB22">
        <v>538075474.88</v>
      </c>
      <c r="BC22">
        <v>364062064.43000001</v>
      </c>
      <c r="BD22">
        <v>271330791.20999998</v>
      </c>
      <c r="BE22">
        <v>608753496.05999994</v>
      </c>
      <c r="BF22">
        <v>369811690.47000003</v>
      </c>
      <c r="BG22">
        <v>262486045.78</v>
      </c>
      <c r="BH22">
        <v>225123681.74000001</v>
      </c>
      <c r="BI22">
        <v>392585970.76999998</v>
      </c>
      <c r="BJ22">
        <v>320106986.66000003</v>
      </c>
      <c r="BK22">
        <v>246355376.97</v>
      </c>
      <c r="BL22">
        <v>213798332.78999999</v>
      </c>
      <c r="BM22">
        <v>342365808.76999998</v>
      </c>
      <c r="BN22">
        <v>230067061.15000001</v>
      </c>
      <c r="BO22">
        <v>255284811.38</v>
      </c>
      <c r="BP22">
        <v>215690128.65000001</v>
      </c>
      <c r="BQ22">
        <v>146891419.61000001</v>
      </c>
      <c r="BR22">
        <v>0</v>
      </c>
    </row>
    <row r="23" spans="1:70">
      <c r="A23" t="s">
        <v>113</v>
      </c>
      <c r="B23">
        <v>19983846984.099998</v>
      </c>
      <c r="C23">
        <v>11250860929.709999</v>
      </c>
      <c r="D23">
        <v>6123119324.1300001</v>
      </c>
      <c r="E23">
        <v>16718362734.16</v>
      </c>
      <c r="F23">
        <v>12465577764.139999</v>
      </c>
      <c r="G23">
        <v>8802637138.0200005</v>
      </c>
      <c r="H23">
        <v>4889271595.3199997</v>
      </c>
      <c r="I23">
        <v>15503090276.379999</v>
      </c>
      <c r="J23">
        <v>11424637743.709999</v>
      </c>
      <c r="K23">
        <v>7888232276.1700001</v>
      </c>
      <c r="L23">
        <v>4364901720.8900003</v>
      </c>
      <c r="M23">
        <v>15349804322.27</v>
      </c>
      <c r="N23">
        <v>10693329220.860001</v>
      </c>
      <c r="O23">
        <v>7229853849.5200005</v>
      </c>
      <c r="P23">
        <v>3699386271.7199998</v>
      </c>
      <c r="Q23">
        <v>15136639784.35</v>
      </c>
      <c r="R23">
        <v>11070194524.15</v>
      </c>
      <c r="S23">
        <v>7247944730.1599998</v>
      </c>
      <c r="T23">
        <v>3593098133.6700001</v>
      </c>
      <c r="U23">
        <v>13308079612.879999</v>
      </c>
      <c r="V23">
        <v>10420059216.870001</v>
      </c>
      <c r="W23">
        <v>6995721596.4099998</v>
      </c>
      <c r="X23">
        <v>2969215795.73</v>
      </c>
      <c r="Y23">
        <v>8763145910.2299995</v>
      </c>
      <c r="Z23">
        <v>6569084644.2200003</v>
      </c>
      <c r="AA23">
        <v>4907177141.5299997</v>
      </c>
      <c r="AB23">
        <v>1883994974.9300001</v>
      </c>
      <c r="AC23">
        <v>5051194218.2600002</v>
      </c>
      <c r="AD23">
        <v>4174173993.2600002</v>
      </c>
      <c r="AE23">
        <v>3099757305.23</v>
      </c>
      <c r="AF23">
        <v>1265662575.4100001</v>
      </c>
      <c r="AG23">
        <v>4312446124.7299995</v>
      </c>
      <c r="AH23">
        <v>3786951421.6700001</v>
      </c>
      <c r="AI23">
        <v>2790276484.0999999</v>
      </c>
      <c r="AJ23">
        <v>1217009471.6600001</v>
      </c>
      <c r="AK23">
        <v>3799480558.5100002</v>
      </c>
      <c r="AL23">
        <v>3144758854.4000001</v>
      </c>
      <c r="AM23">
        <v>2239561076</v>
      </c>
      <c r="AN23">
        <v>873354083.27999997</v>
      </c>
      <c r="AO23">
        <v>2830831594.3600001</v>
      </c>
      <c r="AP23">
        <v>1590494595.6500001</v>
      </c>
      <c r="AQ23">
        <v>849723688.96000004</v>
      </c>
      <c r="AR23">
        <v>536077463.36000001</v>
      </c>
      <c r="AS23">
        <v>1504116840.49</v>
      </c>
      <c r="AT23">
        <v>950993361.80999994</v>
      </c>
      <c r="AU23">
        <v>605250279.90999997</v>
      </c>
      <c r="AV23">
        <v>449590769.88</v>
      </c>
      <c r="AW23">
        <v>1118541629.3699999</v>
      </c>
      <c r="AX23">
        <v>702485675.25</v>
      </c>
      <c r="AY23">
        <v>480786925.85000002</v>
      </c>
      <c r="AZ23">
        <v>369139390.74000001</v>
      </c>
      <c r="BA23">
        <v>820553997.19000006</v>
      </c>
      <c r="BB23">
        <v>515569148.98000002</v>
      </c>
      <c r="BC23">
        <v>349084192.5</v>
      </c>
      <c r="BD23">
        <v>261503821.72</v>
      </c>
      <c r="BE23">
        <v>586747838.26999998</v>
      </c>
      <c r="BF23">
        <v>354499724.25</v>
      </c>
      <c r="BG23">
        <v>252520818.55000001</v>
      </c>
      <c r="BH23">
        <v>217609019.5</v>
      </c>
      <c r="BI23">
        <v>376798521.36000001</v>
      </c>
      <c r="BJ23">
        <v>309250570</v>
      </c>
      <c r="BK23">
        <v>238275978.99000001</v>
      </c>
      <c r="BL23">
        <v>206448262.49000001</v>
      </c>
      <c r="BM23">
        <v>328290723.13999999</v>
      </c>
      <c r="BN23">
        <v>223407942.66999999</v>
      </c>
      <c r="BO23">
        <v>249558877.77000001</v>
      </c>
      <c r="BP23">
        <v>215690128.65000001</v>
      </c>
      <c r="BQ23">
        <v>146891419.61000001</v>
      </c>
      <c r="BR23">
        <v>0</v>
      </c>
    </row>
    <row r="24" spans="1:70">
      <c r="A24" t="s">
        <v>114</v>
      </c>
      <c r="B24">
        <v>1377622082.71</v>
      </c>
      <c r="C24">
        <v>793577766.32000005</v>
      </c>
      <c r="D24">
        <v>421714134.94</v>
      </c>
      <c r="E24">
        <v>1212280375.72</v>
      </c>
      <c r="F24">
        <v>864614017.75</v>
      </c>
      <c r="G24">
        <v>574565825.13</v>
      </c>
      <c r="H24">
        <v>322807057.16000003</v>
      </c>
      <c r="I24">
        <v>951906348.84000003</v>
      </c>
      <c r="J24">
        <v>702151583.15999997</v>
      </c>
      <c r="K24">
        <v>476288232.44</v>
      </c>
      <c r="L24">
        <v>263418696.02000001</v>
      </c>
      <c r="M24">
        <v>919567187.55999994</v>
      </c>
      <c r="N24">
        <v>682360487.01999998</v>
      </c>
      <c r="O24">
        <v>434684168.06999999</v>
      </c>
      <c r="P24">
        <v>253547189.28</v>
      </c>
      <c r="Q24">
        <v>828260096.70000005</v>
      </c>
      <c r="R24">
        <v>591980785.83000004</v>
      </c>
      <c r="S24">
        <v>372970061.14999998</v>
      </c>
      <c r="T24">
        <v>180265109.31999999</v>
      </c>
      <c r="U24">
        <v>700371089.28999996</v>
      </c>
      <c r="V24">
        <v>517920556.82999998</v>
      </c>
      <c r="W24">
        <v>353217942.13999999</v>
      </c>
      <c r="X24">
        <v>160274995.00999999</v>
      </c>
      <c r="Y24">
        <v>487177897.38999999</v>
      </c>
      <c r="Z24">
        <v>361629668.38999999</v>
      </c>
      <c r="AA24">
        <v>259129051</v>
      </c>
      <c r="AB24">
        <v>107296354.70999999</v>
      </c>
      <c r="AC24">
        <v>288567278.70999998</v>
      </c>
      <c r="AD24">
        <v>236930484.56999999</v>
      </c>
      <c r="AE24">
        <v>174805294.84</v>
      </c>
      <c r="AF24">
        <v>78720222.400000006</v>
      </c>
      <c r="AG24">
        <v>240442819.27000001</v>
      </c>
      <c r="AH24">
        <v>192844196.53</v>
      </c>
      <c r="AI24">
        <v>138565772.15000001</v>
      </c>
      <c r="AJ24">
        <v>61831096.159999996</v>
      </c>
      <c r="AK24">
        <v>201278784.59999999</v>
      </c>
      <c r="AL24">
        <v>159439926.59999999</v>
      </c>
      <c r="AM24">
        <v>112378197.63</v>
      </c>
      <c r="AN24">
        <v>43694661.310000002</v>
      </c>
      <c r="AO24">
        <v>135220914.59</v>
      </c>
      <c r="AP24">
        <v>78727360.530000001</v>
      </c>
      <c r="AQ24">
        <v>44224552.450000003</v>
      </c>
      <c r="AR24">
        <v>25363242.739999998</v>
      </c>
      <c r="AS24">
        <v>70191397.969999999</v>
      </c>
      <c r="AT24">
        <v>43049145.329999998</v>
      </c>
      <c r="AU24">
        <v>28820538.469999999</v>
      </c>
      <c r="AV24">
        <v>18909774.829999998</v>
      </c>
      <c r="AW24">
        <v>50580496.340000004</v>
      </c>
      <c r="AX24">
        <v>32146744.57</v>
      </c>
      <c r="AY24">
        <v>21918109.09</v>
      </c>
      <c r="AZ24">
        <v>14802026.52</v>
      </c>
      <c r="BA24">
        <v>33618178.270000003</v>
      </c>
      <c r="BB24">
        <v>22506325.899999999</v>
      </c>
      <c r="BC24">
        <v>14977871.93</v>
      </c>
      <c r="BD24">
        <v>9826969.4900000002</v>
      </c>
      <c r="BE24">
        <v>22005657.789999999</v>
      </c>
      <c r="BF24">
        <v>15311966.220000001</v>
      </c>
      <c r="BG24">
        <v>9965227.2300000004</v>
      </c>
      <c r="BH24">
        <v>7514662.2400000002</v>
      </c>
      <c r="BI24">
        <v>15787449.41</v>
      </c>
      <c r="BJ24">
        <v>10856416.66</v>
      </c>
      <c r="BK24">
        <v>8079397.9800000004</v>
      </c>
      <c r="BL24">
        <v>7350070.2999999998</v>
      </c>
      <c r="BM24">
        <v>14075085.630000001</v>
      </c>
      <c r="BN24">
        <v>6659118.4800000004</v>
      </c>
      <c r="BO24">
        <v>5725933.6100000003</v>
      </c>
      <c r="BP24">
        <v>0</v>
      </c>
      <c r="BQ24">
        <v>0</v>
      </c>
      <c r="BR24">
        <v>0</v>
      </c>
    </row>
    <row r="25" spans="1:70">
      <c r="A25" t="s">
        <v>115</v>
      </c>
    </row>
    <row r="26" spans="1:70">
      <c r="A26" t="s">
        <v>116</v>
      </c>
      <c r="B26">
        <v>15.91</v>
      </c>
      <c r="C26">
        <v>8.9600000000000009</v>
      </c>
      <c r="D26">
        <v>4.87</v>
      </c>
      <c r="E26">
        <v>13.31</v>
      </c>
      <c r="F26">
        <v>9.92</v>
      </c>
      <c r="G26">
        <v>7.01</v>
      </c>
      <c r="H26">
        <v>3.89</v>
      </c>
      <c r="I26">
        <v>12.34</v>
      </c>
      <c r="J26">
        <v>9.09</v>
      </c>
      <c r="K26">
        <v>6.91</v>
      </c>
      <c r="L26">
        <v>3.82</v>
      </c>
      <c r="M26">
        <v>13.44</v>
      </c>
      <c r="N26">
        <v>9.36</v>
      </c>
      <c r="O26">
        <v>6.33</v>
      </c>
      <c r="P26">
        <v>3.56</v>
      </c>
      <c r="Q26">
        <v>14.58</v>
      </c>
      <c r="R26">
        <v>10.66</v>
      </c>
      <c r="S26">
        <v>6.98</v>
      </c>
      <c r="T26">
        <v>3.46</v>
      </c>
      <c r="U26">
        <v>12.82</v>
      </c>
      <c r="V26">
        <v>10.039999999999999</v>
      </c>
      <c r="W26">
        <v>6.74</v>
      </c>
      <c r="X26">
        <v>2.86</v>
      </c>
      <c r="Y26">
        <v>8.44</v>
      </c>
      <c r="Z26">
        <v>6.33</v>
      </c>
      <c r="AA26">
        <v>5.2</v>
      </c>
      <c r="AB26">
        <v>2</v>
      </c>
      <c r="AC26">
        <v>5.35</v>
      </c>
      <c r="AD26">
        <v>4.42</v>
      </c>
      <c r="AE26">
        <v>3.28</v>
      </c>
      <c r="AF26">
        <v>1.34</v>
      </c>
      <c r="AG26">
        <v>4.57</v>
      </c>
      <c r="AH26">
        <v>4.01</v>
      </c>
      <c r="AI26">
        <v>2.96</v>
      </c>
      <c r="AJ26">
        <v>1.29</v>
      </c>
      <c r="AK26">
        <v>4.03</v>
      </c>
      <c r="AL26">
        <v>3.33</v>
      </c>
      <c r="AM26">
        <v>2.37</v>
      </c>
      <c r="AN26">
        <v>0.93</v>
      </c>
      <c r="AO26">
        <v>3</v>
      </c>
      <c r="AP26">
        <v>1.69</v>
      </c>
      <c r="AQ26">
        <v>0.9</v>
      </c>
      <c r="AR26">
        <v>0.56999999999999995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>
      <c r="A27" t="s">
        <v>117</v>
      </c>
      <c r="B27">
        <v>15.91</v>
      </c>
      <c r="C27">
        <v>8.9600000000000009</v>
      </c>
      <c r="D27">
        <v>4.87</v>
      </c>
      <c r="E27">
        <v>13.31</v>
      </c>
      <c r="F27">
        <v>9.92</v>
      </c>
      <c r="G27">
        <v>7.01</v>
      </c>
      <c r="H27">
        <v>3.89</v>
      </c>
      <c r="I27">
        <v>12.34</v>
      </c>
      <c r="J27">
        <v>9.09</v>
      </c>
      <c r="K27">
        <v>6.91</v>
      </c>
      <c r="L27">
        <v>3.82</v>
      </c>
      <c r="M27">
        <v>13.44</v>
      </c>
      <c r="N27">
        <v>9.36</v>
      </c>
      <c r="O27">
        <v>6.33</v>
      </c>
      <c r="P27">
        <v>3.56</v>
      </c>
      <c r="Q27">
        <v>14.58</v>
      </c>
      <c r="R27">
        <v>10.66</v>
      </c>
      <c r="S27">
        <v>6.98</v>
      </c>
      <c r="T27">
        <v>3.46</v>
      </c>
      <c r="U27">
        <v>12.82</v>
      </c>
      <c r="V27">
        <v>10.039999999999999</v>
      </c>
      <c r="W27">
        <v>6.74</v>
      </c>
      <c r="X27">
        <v>2.86</v>
      </c>
      <c r="Y27">
        <v>8.44</v>
      </c>
      <c r="Z27">
        <v>6.33</v>
      </c>
      <c r="AA27">
        <v>5.2</v>
      </c>
      <c r="AB27">
        <v>2</v>
      </c>
      <c r="AC27">
        <v>5.35</v>
      </c>
      <c r="AD27">
        <v>4.42</v>
      </c>
      <c r="AE27">
        <v>3.28</v>
      </c>
      <c r="AF27">
        <v>1.34</v>
      </c>
      <c r="AG27">
        <v>4.57</v>
      </c>
      <c r="AH27">
        <v>4.01</v>
      </c>
      <c r="AI27">
        <v>2.96</v>
      </c>
      <c r="AJ27">
        <v>0</v>
      </c>
      <c r="AK27">
        <v>4.03</v>
      </c>
      <c r="AL27">
        <v>3.33</v>
      </c>
      <c r="AM27">
        <v>2.37</v>
      </c>
      <c r="AN27">
        <v>0</v>
      </c>
      <c r="AO27">
        <v>3</v>
      </c>
      <c r="AP27">
        <v>1.69</v>
      </c>
      <c r="AQ27">
        <v>0.9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>
      <c r="A28" t="s">
        <v>118</v>
      </c>
      <c r="B28">
        <v>4011233.4</v>
      </c>
      <c r="C28">
        <v>3447000.51</v>
      </c>
      <c r="D28">
        <v>511001.79</v>
      </c>
      <c r="E28">
        <v>1793233.91</v>
      </c>
      <c r="F28">
        <v>3205168.24</v>
      </c>
      <c r="G28">
        <v>2292209.29</v>
      </c>
      <c r="H28">
        <v>3517202.39</v>
      </c>
      <c r="I28">
        <v>-12415031.48</v>
      </c>
      <c r="J28">
        <v>-11853282.279999999</v>
      </c>
      <c r="K28">
        <v>-14289160.189999999</v>
      </c>
      <c r="L28">
        <v>-10342175.050000001</v>
      </c>
      <c r="M28">
        <v>-619043.99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>
      <c r="A29" t="s">
        <v>119</v>
      </c>
      <c r="B29">
        <v>21365480300.209999</v>
      </c>
      <c r="C29">
        <v>12047885696.540001</v>
      </c>
      <c r="D29">
        <v>6545344460.8599997</v>
      </c>
      <c r="E29">
        <v>17932436343.790001</v>
      </c>
      <c r="F29">
        <v>13333396950.129999</v>
      </c>
      <c r="G29">
        <v>9379495172.4400005</v>
      </c>
      <c r="H29">
        <v>5215595854.8699999</v>
      </c>
      <c r="I29">
        <v>16442581593.74</v>
      </c>
      <c r="J29">
        <v>12114936044.59</v>
      </c>
      <c r="K29">
        <v>8350231348.4200001</v>
      </c>
      <c r="L29">
        <v>4617978241.8599997</v>
      </c>
      <c r="M29">
        <v>16268752465.84</v>
      </c>
      <c r="N29">
        <v>11375689707.879999</v>
      </c>
      <c r="O29">
        <v>7664538017.5900002</v>
      </c>
      <c r="P29">
        <v>3952933461</v>
      </c>
      <c r="Q29">
        <v>15964899881.049999</v>
      </c>
      <c r="R29">
        <v>11662175309.98</v>
      </c>
      <c r="S29">
        <v>7620914791.3100004</v>
      </c>
      <c r="T29">
        <v>3773363242.9899998</v>
      </c>
      <c r="U29">
        <v>14008450702.17</v>
      </c>
      <c r="V29">
        <v>10937979773.700001</v>
      </c>
      <c r="W29">
        <v>7348939538.5500002</v>
      </c>
      <c r="X29">
        <v>3129490790.7399998</v>
      </c>
      <c r="Y29">
        <v>9250323807.6200008</v>
      </c>
      <c r="Z29">
        <v>6930714312.6099997</v>
      </c>
      <c r="AA29">
        <v>5166306192.5299997</v>
      </c>
      <c r="AB29">
        <v>1991291329.6400001</v>
      </c>
      <c r="AC29">
        <v>0</v>
      </c>
      <c r="AD29">
        <v>0</v>
      </c>
      <c r="AE29">
        <v>0</v>
      </c>
      <c r="AF29">
        <v>1344382797.8099999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>
      <c r="A30" t="s">
        <v>120</v>
      </c>
      <c r="B30">
        <v>19987858217.5</v>
      </c>
      <c r="C30">
        <v>11254307930.219999</v>
      </c>
      <c r="D30">
        <v>6123630325.9200001</v>
      </c>
      <c r="E30">
        <v>16720155968.07</v>
      </c>
      <c r="F30">
        <v>12468782932.379999</v>
      </c>
      <c r="G30">
        <v>8804929347.3099995</v>
      </c>
      <c r="H30">
        <v>4892788797.71</v>
      </c>
      <c r="I30">
        <v>15490675244.9</v>
      </c>
      <c r="J30">
        <v>11412784461.43</v>
      </c>
      <c r="K30">
        <v>7873943115.9799995</v>
      </c>
      <c r="L30">
        <v>4354559545.8400002</v>
      </c>
      <c r="M30">
        <v>15349185278.280001</v>
      </c>
      <c r="N30">
        <v>10693329220.860001</v>
      </c>
      <c r="O30">
        <v>7229853849.5200005</v>
      </c>
      <c r="P30">
        <v>3699386271.7199998</v>
      </c>
      <c r="Q30">
        <v>15136639784.35</v>
      </c>
      <c r="R30">
        <v>11070194524.15</v>
      </c>
      <c r="S30">
        <v>7247944730.1599998</v>
      </c>
      <c r="T30">
        <v>3593098133.6700001</v>
      </c>
      <c r="U30">
        <v>13308079612.879999</v>
      </c>
      <c r="V30">
        <v>10420059216.870001</v>
      </c>
      <c r="W30">
        <v>6995721596.4099998</v>
      </c>
      <c r="X30">
        <v>2969215795.73</v>
      </c>
      <c r="Y30">
        <v>8763145910.2299995</v>
      </c>
      <c r="Z30">
        <v>6569084644.2200003</v>
      </c>
      <c r="AA30">
        <v>4907177141.5299997</v>
      </c>
      <c r="AB30">
        <v>1883994974.9300001</v>
      </c>
      <c r="AC30">
        <v>0</v>
      </c>
      <c r="AD30">
        <v>0</v>
      </c>
      <c r="AE30">
        <v>0</v>
      </c>
      <c r="AF30">
        <v>1265662575.4100001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>
      <c r="A31" t="s">
        <v>121</v>
      </c>
      <c r="B31">
        <v>1377622082.71</v>
      </c>
      <c r="C31">
        <v>793577766.32000005</v>
      </c>
      <c r="D31">
        <v>421714134.94</v>
      </c>
      <c r="E31">
        <v>1212280375.72</v>
      </c>
      <c r="F31">
        <v>864614017.75</v>
      </c>
      <c r="G31">
        <v>574565825.13</v>
      </c>
      <c r="H31">
        <v>322807057.16000003</v>
      </c>
      <c r="I31">
        <v>951906348.84000003</v>
      </c>
      <c r="J31">
        <v>702151583.15999997</v>
      </c>
      <c r="K31">
        <v>476288232.44</v>
      </c>
      <c r="L31">
        <v>263418696.02000001</v>
      </c>
      <c r="M31">
        <v>919567187.55999994</v>
      </c>
      <c r="N31">
        <v>682360487.01999998</v>
      </c>
      <c r="O31">
        <v>434684168.06999999</v>
      </c>
      <c r="P31">
        <v>253547189.28</v>
      </c>
      <c r="Q31">
        <v>828260096.70000005</v>
      </c>
      <c r="R31">
        <v>591980785.83000004</v>
      </c>
      <c r="S31">
        <v>372970061.14999998</v>
      </c>
      <c r="T31">
        <v>180265109.31999999</v>
      </c>
      <c r="U31">
        <v>700371089.28999996</v>
      </c>
      <c r="V31">
        <v>517920556.82999998</v>
      </c>
      <c r="W31">
        <v>353217942.13999999</v>
      </c>
      <c r="X31">
        <v>160274995.00999999</v>
      </c>
      <c r="Y31">
        <v>487177897.38999999</v>
      </c>
      <c r="Z31">
        <v>361629668.38999999</v>
      </c>
      <c r="AA31">
        <v>259129051</v>
      </c>
      <c r="AB31">
        <v>107296354.70999999</v>
      </c>
      <c r="AC31">
        <v>0</v>
      </c>
      <c r="AD31">
        <v>0</v>
      </c>
      <c r="AE31">
        <v>0</v>
      </c>
      <c r="AF31">
        <v>78720222.400000006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77"/>
  <sheetViews>
    <sheetView zoomScale="70" zoomScaleNormal="70" workbookViewId="0">
      <selection activeCell="B21" sqref="B21"/>
    </sheetView>
  </sheetViews>
  <sheetFormatPr defaultRowHeight="13.5"/>
  <cols>
    <col min="1" max="1" width="50.625" customWidth="1"/>
    <col min="2" max="31" width="10.5" bestFit="1" customWidth="1"/>
    <col min="32" max="32" width="9.5" bestFit="1" customWidth="1"/>
    <col min="33" max="35" width="10.5" bestFit="1" customWidth="1"/>
    <col min="36" max="36" width="9.5" bestFit="1" customWidth="1"/>
    <col min="37" max="37" width="10.5" bestFit="1" customWidth="1"/>
    <col min="38" max="40" width="9.5" bestFit="1" customWidth="1"/>
    <col min="41" max="41" width="10.5" bestFit="1" customWidth="1"/>
    <col min="42" max="65" width="9.5" bestFit="1" customWidth="1"/>
    <col min="66" max="66" width="9" bestFit="1" customWidth="1"/>
  </cols>
  <sheetData>
    <row r="1" spans="1:66">
      <c r="A1" t="s">
        <v>0</v>
      </c>
      <c r="B1">
        <v>20170930</v>
      </c>
      <c r="C1">
        <v>20170630</v>
      </c>
      <c r="D1">
        <v>20170331</v>
      </c>
      <c r="E1">
        <v>20161231</v>
      </c>
      <c r="F1">
        <v>20160930</v>
      </c>
      <c r="G1">
        <v>20160630</v>
      </c>
      <c r="H1">
        <v>20160331</v>
      </c>
      <c r="I1">
        <v>20151231</v>
      </c>
      <c r="J1">
        <v>20150930</v>
      </c>
      <c r="K1">
        <v>20150630</v>
      </c>
      <c r="L1">
        <v>20150331</v>
      </c>
      <c r="M1">
        <v>20141231</v>
      </c>
      <c r="N1">
        <v>20140930</v>
      </c>
      <c r="O1">
        <v>20140630</v>
      </c>
      <c r="P1">
        <v>20140331</v>
      </c>
      <c r="Q1">
        <v>20131231</v>
      </c>
      <c r="R1">
        <v>20130930</v>
      </c>
      <c r="S1">
        <v>20130630</v>
      </c>
      <c r="T1">
        <v>20130331</v>
      </c>
      <c r="U1">
        <v>20121231</v>
      </c>
      <c r="V1">
        <v>20120930</v>
      </c>
      <c r="W1">
        <v>20120630</v>
      </c>
      <c r="X1">
        <v>20120331</v>
      </c>
      <c r="Y1">
        <v>20111231</v>
      </c>
      <c r="Z1">
        <v>20110930</v>
      </c>
      <c r="AA1">
        <v>20110630</v>
      </c>
      <c r="AB1">
        <v>20110331</v>
      </c>
      <c r="AC1">
        <v>20101231</v>
      </c>
      <c r="AD1">
        <v>20100930</v>
      </c>
      <c r="AE1">
        <v>20100630</v>
      </c>
      <c r="AF1">
        <v>20100331</v>
      </c>
      <c r="AG1">
        <v>20091231</v>
      </c>
      <c r="AH1">
        <v>20090930</v>
      </c>
      <c r="AI1">
        <v>20090630</v>
      </c>
      <c r="AJ1">
        <v>20090331</v>
      </c>
      <c r="AK1">
        <v>20081231</v>
      </c>
      <c r="AL1">
        <v>20080930</v>
      </c>
      <c r="AM1">
        <v>20080630</v>
      </c>
      <c r="AN1">
        <v>20080331</v>
      </c>
      <c r="AO1">
        <v>20071231</v>
      </c>
      <c r="AP1">
        <v>20070930</v>
      </c>
      <c r="AQ1">
        <v>20070630</v>
      </c>
      <c r="AR1">
        <v>20070331</v>
      </c>
      <c r="AS1">
        <v>20061231</v>
      </c>
      <c r="AT1">
        <v>20060930</v>
      </c>
      <c r="AU1">
        <v>20060630</v>
      </c>
      <c r="AV1">
        <v>20060331</v>
      </c>
      <c r="AW1">
        <v>20051231</v>
      </c>
      <c r="AX1">
        <v>20050930</v>
      </c>
      <c r="AY1">
        <v>20050630</v>
      </c>
      <c r="AZ1">
        <v>20050331</v>
      </c>
      <c r="BA1">
        <v>20041231</v>
      </c>
      <c r="BB1">
        <v>20040930</v>
      </c>
      <c r="BC1">
        <v>20040630</v>
      </c>
      <c r="BD1">
        <v>20040331</v>
      </c>
      <c r="BE1">
        <v>20031231</v>
      </c>
      <c r="BF1">
        <v>20030930</v>
      </c>
      <c r="BG1">
        <v>20030630</v>
      </c>
      <c r="BH1">
        <v>20030331</v>
      </c>
      <c r="BI1">
        <v>20021231</v>
      </c>
      <c r="BJ1">
        <v>20020630</v>
      </c>
      <c r="BK1">
        <v>20011231</v>
      </c>
      <c r="BL1">
        <v>20010630</v>
      </c>
      <c r="BM1">
        <v>20001231</v>
      </c>
      <c r="BN1">
        <v>19700101</v>
      </c>
    </row>
    <row r="2" spans="1:66">
      <c r="A2" t="s">
        <v>90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91</v>
      </c>
      <c r="AL2" t="s">
        <v>91</v>
      </c>
      <c r="AM2" t="s">
        <v>91</v>
      </c>
      <c r="AN2" t="s">
        <v>91</v>
      </c>
      <c r="AO2" t="s">
        <v>91</v>
      </c>
      <c r="AP2" t="s">
        <v>91</v>
      </c>
      <c r="AQ2" t="s">
        <v>91</v>
      </c>
      <c r="AR2" t="s">
        <v>91</v>
      </c>
      <c r="AS2" t="s">
        <v>91</v>
      </c>
      <c r="AT2" t="s">
        <v>91</v>
      </c>
      <c r="AU2" t="s">
        <v>91</v>
      </c>
      <c r="AV2" t="s">
        <v>91</v>
      </c>
      <c r="AW2" t="s">
        <v>91</v>
      </c>
      <c r="AX2" t="s">
        <v>91</v>
      </c>
      <c r="AY2" t="s">
        <v>91</v>
      </c>
      <c r="AZ2" t="s">
        <v>91</v>
      </c>
      <c r="BA2" t="s">
        <v>91</v>
      </c>
      <c r="BB2" t="s">
        <v>91</v>
      </c>
      <c r="BC2" t="s">
        <v>91</v>
      </c>
      <c r="BD2" t="s">
        <v>91</v>
      </c>
      <c r="BE2" t="s">
        <v>91</v>
      </c>
      <c r="BF2" t="s">
        <v>91</v>
      </c>
      <c r="BG2" t="s">
        <v>91</v>
      </c>
      <c r="BH2" t="s">
        <v>91</v>
      </c>
      <c r="BI2" t="s">
        <v>91</v>
      </c>
      <c r="BJ2" t="s">
        <v>91</v>
      </c>
      <c r="BK2" t="s">
        <v>91</v>
      </c>
      <c r="BL2" t="s">
        <v>91</v>
      </c>
      <c r="BM2" t="s">
        <v>91</v>
      </c>
    </row>
    <row r="3" spans="1:66">
      <c r="A3" t="s">
        <v>7</v>
      </c>
    </row>
    <row r="4" spans="1:66">
      <c r="A4" t="s">
        <v>92</v>
      </c>
      <c r="B4" s="10">
        <v>48901003501.120003</v>
      </c>
      <c r="C4" s="10">
        <v>28152402920.57</v>
      </c>
      <c r="D4" s="10">
        <v>17391210439.619999</v>
      </c>
      <c r="E4" s="10">
        <v>61012964102.540001</v>
      </c>
      <c r="F4" s="10">
        <v>46386049733.349998</v>
      </c>
      <c r="G4" s="10">
        <v>25749880783.759998</v>
      </c>
      <c r="H4" s="10">
        <v>15490821766.280001</v>
      </c>
      <c r="I4" s="10">
        <v>37083071835.580002</v>
      </c>
      <c r="J4" s="10">
        <v>24477232865.84</v>
      </c>
      <c r="K4" s="10">
        <v>16984694704.92</v>
      </c>
      <c r="L4" s="10">
        <v>10255492585.92</v>
      </c>
      <c r="M4" s="10">
        <v>33384835714.040001</v>
      </c>
      <c r="N4" s="10">
        <v>22043789017.419998</v>
      </c>
      <c r="O4" s="10">
        <v>14058517766.440001</v>
      </c>
      <c r="P4" s="10">
        <v>7238091747.4399996</v>
      </c>
      <c r="Q4" s="10">
        <v>33233870603.650002</v>
      </c>
      <c r="R4" s="10">
        <v>22279996954.57</v>
      </c>
      <c r="S4" s="10">
        <v>11959656578.26</v>
      </c>
      <c r="T4" s="10">
        <v>6160758035.21</v>
      </c>
      <c r="U4" s="10">
        <v>28912367684.82</v>
      </c>
      <c r="V4" s="10">
        <v>19826920342.040001</v>
      </c>
      <c r="W4" s="10">
        <v>12535721525.74</v>
      </c>
      <c r="X4" s="10">
        <v>5766087219.6000004</v>
      </c>
      <c r="Y4" s="10">
        <v>23659131281.080002</v>
      </c>
      <c r="Z4" s="10">
        <v>18023629691.34</v>
      </c>
      <c r="AA4" s="10">
        <v>11546468176.969999</v>
      </c>
      <c r="AB4" s="10">
        <v>6544163647.0900002</v>
      </c>
      <c r="AC4" s="10">
        <v>14938581885.610001</v>
      </c>
      <c r="AD4" s="10">
        <v>10738917455.57</v>
      </c>
      <c r="AE4" s="10">
        <v>6360486576.4200001</v>
      </c>
      <c r="AF4" s="10">
        <v>3073704697.75</v>
      </c>
      <c r="AG4" s="10">
        <v>11756243820.83</v>
      </c>
      <c r="AH4" s="10">
        <v>7459722509.0600004</v>
      </c>
      <c r="AI4" s="10">
        <v>4198651823.5999999</v>
      </c>
      <c r="AJ4" s="10">
        <v>1870765265.03</v>
      </c>
      <c r="AK4" s="10">
        <v>11275230701.85</v>
      </c>
      <c r="AL4" s="10">
        <v>7405857676.6300001</v>
      </c>
      <c r="AM4" s="10">
        <v>4568988857.1400003</v>
      </c>
      <c r="AN4" s="10">
        <v>2560048958.8000002</v>
      </c>
      <c r="AO4" s="10">
        <v>7437754281.3400002</v>
      </c>
      <c r="AP4" s="10">
        <v>5298220603.1099997</v>
      </c>
      <c r="AQ4" s="10">
        <v>3382733993.4099998</v>
      </c>
      <c r="AR4" s="10">
        <v>1961548939.6600001</v>
      </c>
      <c r="AS4" s="10">
        <v>6140872490.1000004</v>
      </c>
      <c r="AT4" s="10">
        <v>4457700568.5299997</v>
      </c>
      <c r="AU4" s="10">
        <v>2736888169.0799999</v>
      </c>
      <c r="AV4" s="10">
        <v>1609268366.9400001</v>
      </c>
      <c r="AW4" s="10">
        <v>4976668595.3400002</v>
      </c>
      <c r="AX4" s="10">
        <v>3318894379.77</v>
      </c>
      <c r="AY4" s="10">
        <v>2076306245.0999999</v>
      </c>
      <c r="AZ4" s="10">
        <v>1260553705.1400001</v>
      </c>
      <c r="BA4" s="10">
        <v>3646470061.6100001</v>
      </c>
      <c r="BB4" s="10">
        <v>2471054635.8499999</v>
      </c>
      <c r="BC4" s="10">
        <v>1459948868.5</v>
      </c>
      <c r="BD4" s="10">
        <v>825380774.65999997</v>
      </c>
      <c r="BE4" s="10">
        <v>3057788375.3499999</v>
      </c>
      <c r="BF4" s="10">
        <v>2080861242.0599999</v>
      </c>
      <c r="BG4" s="10">
        <v>1153018889.1400001</v>
      </c>
      <c r="BH4" s="10">
        <v>627432958.78999996</v>
      </c>
      <c r="BI4" s="10">
        <v>2288635492.04</v>
      </c>
      <c r="BJ4" s="10">
        <v>1020056872.8</v>
      </c>
      <c r="BK4" s="10">
        <v>1800399443.0899999</v>
      </c>
      <c r="BL4" s="10">
        <v>0</v>
      </c>
      <c r="BM4" s="10">
        <v>1322877029.52</v>
      </c>
      <c r="BN4" s="10">
        <v>0</v>
      </c>
    </row>
    <row r="5" spans="1:66">
      <c r="A5" t="s">
        <v>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181031.15</v>
      </c>
      <c r="AD5" s="10">
        <v>181031.15</v>
      </c>
      <c r="AE5" s="10">
        <v>181031.15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2952037.45</v>
      </c>
      <c r="AQ5" s="10">
        <v>2952037.45</v>
      </c>
      <c r="AR5" s="10">
        <v>0</v>
      </c>
      <c r="AS5" s="10">
        <v>0</v>
      </c>
      <c r="AT5" s="10">
        <v>0</v>
      </c>
      <c r="AU5" s="10">
        <v>56235.55</v>
      </c>
      <c r="AV5" s="10">
        <v>0</v>
      </c>
      <c r="AW5" s="10">
        <v>50557133.43</v>
      </c>
      <c r="AX5" s="10">
        <v>528725.1</v>
      </c>
      <c r="AY5" s="10">
        <v>528725.1</v>
      </c>
      <c r="AZ5" s="10">
        <v>455943.93</v>
      </c>
      <c r="BA5" s="10">
        <v>123262072.51000001</v>
      </c>
      <c r="BB5" s="10">
        <v>0</v>
      </c>
      <c r="BC5" s="10">
        <v>347141.04</v>
      </c>
      <c r="BD5" s="10">
        <v>0</v>
      </c>
      <c r="BE5" s="10">
        <v>81417405.400000006</v>
      </c>
      <c r="BF5" s="10">
        <v>601388</v>
      </c>
      <c r="BG5" s="10">
        <v>0</v>
      </c>
      <c r="BH5" s="10">
        <v>0</v>
      </c>
      <c r="BI5" s="10">
        <v>7215268.8899999997</v>
      </c>
      <c r="BJ5" s="10">
        <v>0</v>
      </c>
      <c r="BK5" s="10">
        <v>1846053.69</v>
      </c>
      <c r="BL5" s="10">
        <v>0</v>
      </c>
      <c r="BM5" s="10">
        <v>4926551.74</v>
      </c>
      <c r="BN5" s="10">
        <v>0</v>
      </c>
    </row>
    <row r="6" spans="1:66">
      <c r="A6" t="s">
        <v>9</v>
      </c>
      <c r="B6" s="10">
        <v>579053392.16999996</v>
      </c>
      <c r="C6" s="10">
        <v>433271070.20999998</v>
      </c>
      <c r="D6" s="10">
        <v>259991440.63999999</v>
      </c>
      <c r="E6" s="10">
        <v>189142723.94999999</v>
      </c>
      <c r="F6" s="10">
        <v>50756687.759999998</v>
      </c>
      <c r="G6" s="10">
        <v>39694537.32</v>
      </c>
      <c r="H6" s="10">
        <v>25710726.48</v>
      </c>
      <c r="I6" s="10">
        <v>153647241.24000001</v>
      </c>
      <c r="J6" s="10">
        <v>136593409.72999999</v>
      </c>
      <c r="K6" s="10">
        <v>62292291.899999999</v>
      </c>
      <c r="L6" s="10">
        <v>25840896.539999999</v>
      </c>
      <c r="M6" s="10">
        <v>299729378.89999998</v>
      </c>
      <c r="N6" s="10">
        <v>322155092.51999998</v>
      </c>
      <c r="O6" s="10">
        <v>242413972.09</v>
      </c>
      <c r="P6" s="10">
        <v>195234095.18000001</v>
      </c>
      <c r="Q6" s="10">
        <v>585366816.42999995</v>
      </c>
      <c r="R6" s="10">
        <v>392051047.05000001</v>
      </c>
      <c r="S6" s="10">
        <v>282354566.61000001</v>
      </c>
      <c r="T6" s="10">
        <v>216075840.44</v>
      </c>
      <c r="U6" s="10">
        <v>387671188.50999999</v>
      </c>
      <c r="V6" s="10">
        <v>267190340.16999999</v>
      </c>
      <c r="W6" s="10">
        <v>191533473.06999999</v>
      </c>
      <c r="X6" s="10">
        <v>168499391.15000001</v>
      </c>
      <c r="Y6" s="10">
        <v>181674213.03999999</v>
      </c>
      <c r="Z6" s="10">
        <v>97912339.329999998</v>
      </c>
      <c r="AA6" s="10">
        <v>76591966.849999994</v>
      </c>
      <c r="AB6" s="10">
        <v>58272718.18</v>
      </c>
      <c r="AC6" s="10">
        <v>138196684.25999999</v>
      </c>
      <c r="AD6" s="10">
        <v>64032956.75</v>
      </c>
      <c r="AE6" s="10">
        <v>51762648.520000003</v>
      </c>
      <c r="AF6" s="10">
        <v>48194874.82</v>
      </c>
      <c r="AG6" s="10">
        <v>185888008.21000001</v>
      </c>
      <c r="AH6" s="10">
        <v>106560447.36</v>
      </c>
      <c r="AI6" s="10">
        <v>103692193.19</v>
      </c>
      <c r="AJ6" s="10">
        <v>93036877.430000007</v>
      </c>
      <c r="AK6" s="10">
        <v>242355759.12</v>
      </c>
      <c r="AL6" s="10">
        <v>211905093.25999999</v>
      </c>
      <c r="AM6" s="10">
        <v>191274102.34</v>
      </c>
      <c r="AN6" s="10">
        <v>170134056.72999999</v>
      </c>
      <c r="AO6" s="10">
        <v>95684682.109999999</v>
      </c>
      <c r="AP6" s="10">
        <v>48906293.119999997</v>
      </c>
      <c r="AQ6" s="10">
        <v>48316812.990000002</v>
      </c>
      <c r="AR6" s="10">
        <v>36324558.93</v>
      </c>
      <c r="AS6" s="10">
        <v>41497583.009999998</v>
      </c>
      <c r="AT6" s="10">
        <v>26227246.149999999</v>
      </c>
      <c r="AU6" s="10">
        <v>37415664.25</v>
      </c>
      <c r="AV6" s="10">
        <v>3211361.84</v>
      </c>
      <c r="AW6" s="10">
        <v>16087755.58</v>
      </c>
      <c r="AX6" s="10">
        <v>17871918.030000001</v>
      </c>
      <c r="AY6" s="10">
        <v>15031118.34</v>
      </c>
      <c r="AZ6" s="10">
        <v>8576634.9299999997</v>
      </c>
      <c r="BA6" s="10">
        <v>47576179.270000003</v>
      </c>
      <c r="BB6" s="10">
        <v>24243813.719999999</v>
      </c>
      <c r="BC6" s="10">
        <v>13482072.140000001</v>
      </c>
      <c r="BD6" s="10">
        <v>7883619.9000000004</v>
      </c>
      <c r="BE6" s="10">
        <v>44909156.740000002</v>
      </c>
      <c r="BF6" s="10">
        <v>30213826.34</v>
      </c>
      <c r="BG6" s="10">
        <v>8787961.4399999995</v>
      </c>
      <c r="BH6" s="10">
        <v>1706571.35</v>
      </c>
      <c r="BI6" s="10">
        <v>32433164.170000002</v>
      </c>
      <c r="BJ6" s="10">
        <v>11238690.5</v>
      </c>
      <c r="BK6" s="10">
        <v>44381149.119999997</v>
      </c>
      <c r="BL6" s="10">
        <v>0</v>
      </c>
      <c r="BM6" s="10">
        <v>2896894.07</v>
      </c>
      <c r="BN6" s="10">
        <v>0</v>
      </c>
    </row>
    <row r="7" spans="1:66">
      <c r="A7" t="s">
        <v>10</v>
      </c>
      <c r="B7" s="10">
        <v>52502357189.650002</v>
      </c>
      <c r="C7" s="10">
        <v>27854052400.880001</v>
      </c>
      <c r="D7" s="10">
        <v>17934651145.860001</v>
      </c>
      <c r="E7" s="10">
        <v>67279145637.93</v>
      </c>
      <c r="F7" s="10">
        <v>53826471257.830002</v>
      </c>
      <c r="G7" s="10">
        <v>28074194799.57</v>
      </c>
      <c r="H7" s="10">
        <v>16728239559.620001</v>
      </c>
      <c r="I7" s="10">
        <v>40013906850.050003</v>
      </c>
      <c r="J7" s="10">
        <v>27550982966.450001</v>
      </c>
      <c r="K7" s="10">
        <v>16514532644.24</v>
      </c>
      <c r="L7" s="10">
        <v>9358829309.7900009</v>
      </c>
      <c r="M7" s="10">
        <v>35487849677.459999</v>
      </c>
      <c r="N7" s="10">
        <v>24118205746.119999</v>
      </c>
      <c r="O7" s="10">
        <v>15959643875.049999</v>
      </c>
      <c r="P7" s="10">
        <v>7224057720.6099997</v>
      </c>
      <c r="Q7" s="10">
        <v>36713125003.019997</v>
      </c>
      <c r="R7" s="10">
        <v>25940485318.23</v>
      </c>
      <c r="S7" s="10">
        <v>15472570987.190001</v>
      </c>
      <c r="T7" s="10">
        <v>6376833875.6499996</v>
      </c>
      <c r="U7" s="10">
        <v>29300038873.330002</v>
      </c>
      <c r="V7" s="10">
        <v>20094110682.209999</v>
      </c>
      <c r="W7" s="10">
        <v>12727254998.809999</v>
      </c>
      <c r="X7" s="10">
        <v>5934586610.75</v>
      </c>
      <c r="Y7" s="10">
        <v>23840805494.119999</v>
      </c>
      <c r="Z7" s="10">
        <v>18121542030.669998</v>
      </c>
      <c r="AA7" s="10">
        <v>11623060143.82</v>
      </c>
      <c r="AB7" s="10">
        <v>6602436365.2700005</v>
      </c>
      <c r="AC7" s="10">
        <v>15076959601.02</v>
      </c>
      <c r="AD7" s="10">
        <v>10803131443.469999</v>
      </c>
      <c r="AE7" s="10">
        <v>6412430256.0900002</v>
      </c>
      <c r="AF7" s="10">
        <v>3121899572.5700002</v>
      </c>
      <c r="AG7" s="10">
        <v>11942131829.040001</v>
      </c>
      <c r="AH7" s="10">
        <v>7566282956.4200001</v>
      </c>
      <c r="AI7" s="10">
        <v>4302344016.79</v>
      </c>
      <c r="AJ7" s="10">
        <v>1963802142.46</v>
      </c>
      <c r="AK7" s="10">
        <v>11517586460.969999</v>
      </c>
      <c r="AL7" s="10">
        <v>7617762769.8900003</v>
      </c>
      <c r="AM7" s="10">
        <v>4760262959.4799995</v>
      </c>
      <c r="AN7" s="10">
        <v>2730183015.5300002</v>
      </c>
      <c r="AO7" s="10">
        <v>7533438963.4499998</v>
      </c>
      <c r="AP7" s="10">
        <v>5350078933.6800003</v>
      </c>
      <c r="AQ7" s="10">
        <v>3434002843.8499999</v>
      </c>
      <c r="AR7" s="10">
        <v>1997873498.5899999</v>
      </c>
      <c r="AS7" s="10">
        <v>6182370073.1099997</v>
      </c>
      <c r="AT7" s="10">
        <v>4483927814.6800003</v>
      </c>
      <c r="AU7" s="10">
        <v>2774360068.8800001</v>
      </c>
      <c r="AV7" s="10">
        <v>1612479728.78</v>
      </c>
      <c r="AW7" s="10">
        <v>5043313484.3500004</v>
      </c>
      <c r="AX7" s="10">
        <v>3337295022.9000001</v>
      </c>
      <c r="AY7" s="10">
        <v>2091866088.54</v>
      </c>
      <c r="AZ7" s="10">
        <v>1269586284</v>
      </c>
      <c r="BA7" s="10">
        <v>3817308313.3899999</v>
      </c>
      <c r="BB7" s="10">
        <v>2495298449.5700002</v>
      </c>
      <c r="BC7" s="10">
        <v>1473778081.6800001</v>
      </c>
      <c r="BD7" s="10">
        <v>833264394.55999994</v>
      </c>
      <c r="BE7" s="10">
        <v>3184114937.4899998</v>
      </c>
      <c r="BF7" s="10">
        <v>2111676456.4000001</v>
      </c>
      <c r="BG7" s="10">
        <v>1161806850.5799999</v>
      </c>
      <c r="BH7" s="10">
        <v>629139530.13999999</v>
      </c>
      <c r="BI7" s="10">
        <v>2328283925.0999999</v>
      </c>
      <c r="BJ7" s="10">
        <v>1031295563.3</v>
      </c>
      <c r="BK7" s="10">
        <v>1846626645.9000001</v>
      </c>
      <c r="BL7" s="10">
        <v>0</v>
      </c>
      <c r="BM7" s="10">
        <v>1330700475.3299999</v>
      </c>
      <c r="BN7" s="10">
        <v>0</v>
      </c>
    </row>
    <row r="8" spans="1:66">
      <c r="A8" t="s">
        <v>11</v>
      </c>
      <c r="B8" s="10">
        <v>3385873042.9299998</v>
      </c>
      <c r="C8" s="10">
        <v>2145743960.98</v>
      </c>
      <c r="D8" s="10">
        <v>1339616768.4300001</v>
      </c>
      <c r="E8" s="10">
        <v>2773020403.27</v>
      </c>
      <c r="F8" s="10">
        <v>1690057834.95</v>
      </c>
      <c r="G8" s="10">
        <v>1304317657.3599999</v>
      </c>
      <c r="H8" s="10">
        <v>874194565.59000003</v>
      </c>
      <c r="I8" s="10">
        <v>2967732630.3699999</v>
      </c>
      <c r="J8" s="10">
        <v>2303416797.9099998</v>
      </c>
      <c r="K8" s="10">
        <v>1639661852.6600001</v>
      </c>
      <c r="L8" s="10">
        <v>1021009336.47</v>
      </c>
      <c r="M8" s="10">
        <v>2838028404.9699998</v>
      </c>
      <c r="N8" s="10">
        <v>2052692261.4400001</v>
      </c>
      <c r="O8" s="10">
        <v>1456478035.3399999</v>
      </c>
      <c r="P8" s="10">
        <v>931198195.66999996</v>
      </c>
      <c r="Q8" s="10">
        <v>3152308925.4699998</v>
      </c>
      <c r="R8" s="10">
        <v>1971215647.3</v>
      </c>
      <c r="S8" s="10">
        <v>1249950055.5699999</v>
      </c>
      <c r="T8" s="10">
        <v>712762334.01999998</v>
      </c>
      <c r="U8" s="10">
        <v>2707393653.3299999</v>
      </c>
      <c r="V8" s="10">
        <v>1587342838.29</v>
      </c>
      <c r="W8" s="10">
        <v>1077894925.3199999</v>
      </c>
      <c r="X8" s="10">
        <v>494802933.56999999</v>
      </c>
      <c r="Y8" s="10">
        <v>2353687717.48</v>
      </c>
      <c r="Z8" s="10">
        <v>1482300477.04</v>
      </c>
      <c r="AA8" s="10">
        <v>1030579091.21</v>
      </c>
      <c r="AB8" s="10">
        <v>656095092.99000001</v>
      </c>
      <c r="AC8" s="10">
        <v>1669804222.04</v>
      </c>
      <c r="AD8" s="10">
        <v>1065979806.61</v>
      </c>
      <c r="AE8" s="10">
        <v>682354660.79999995</v>
      </c>
      <c r="AF8" s="10">
        <v>351943207.13</v>
      </c>
      <c r="AG8" s="10">
        <v>1557075938.7</v>
      </c>
      <c r="AH8" s="10">
        <v>922300963.46000004</v>
      </c>
      <c r="AI8" s="10">
        <v>567740503.57000005</v>
      </c>
      <c r="AJ8" s="10">
        <v>295729558.55000001</v>
      </c>
      <c r="AK8" s="10">
        <v>1214717814.8299999</v>
      </c>
      <c r="AL8" s="10">
        <v>794495241.79999995</v>
      </c>
      <c r="AM8" s="10">
        <v>529788503.56</v>
      </c>
      <c r="AN8" s="10">
        <v>282490555.57999998</v>
      </c>
      <c r="AO8" s="10">
        <v>1098306968.3299999</v>
      </c>
      <c r="AP8" s="10">
        <v>776996775.72000003</v>
      </c>
      <c r="AQ8" s="10">
        <v>566986527.25999999</v>
      </c>
      <c r="AR8" s="10">
        <v>312227426.81</v>
      </c>
      <c r="AS8" s="10">
        <v>804488570.85000002</v>
      </c>
      <c r="AT8" s="10">
        <v>517881887.75</v>
      </c>
      <c r="AU8" s="10">
        <v>384969462.19</v>
      </c>
      <c r="AV8" s="10">
        <v>241303988.43000001</v>
      </c>
      <c r="AW8" s="10">
        <v>950764775.72000003</v>
      </c>
      <c r="AX8" s="10">
        <v>392909166.24000001</v>
      </c>
      <c r="AY8" s="10">
        <v>375489465.93000001</v>
      </c>
      <c r="AZ8" s="10">
        <v>142994882.34999999</v>
      </c>
      <c r="BA8" s="10">
        <v>864365999.46000004</v>
      </c>
      <c r="BB8" s="10">
        <v>572967651.70000005</v>
      </c>
      <c r="BC8" s="10">
        <v>345839931.79000002</v>
      </c>
      <c r="BD8" s="10">
        <v>258467411.80000001</v>
      </c>
      <c r="BE8" s="10">
        <v>638529865.39999998</v>
      </c>
      <c r="BF8" s="10">
        <v>412688201.74000001</v>
      </c>
      <c r="BG8" s="10">
        <v>312930923.05000001</v>
      </c>
      <c r="BH8" s="10">
        <v>88592882.359999999</v>
      </c>
      <c r="BI8" s="10">
        <v>623577741.01999998</v>
      </c>
      <c r="BJ8" s="10">
        <v>382532138.75999999</v>
      </c>
      <c r="BK8" s="10">
        <v>594708128.38999999</v>
      </c>
      <c r="BL8" s="10">
        <v>0</v>
      </c>
      <c r="BM8" s="10">
        <v>299675876.19999999</v>
      </c>
      <c r="BN8" s="10">
        <v>0</v>
      </c>
    </row>
    <row r="9" spans="1:66">
      <c r="A9" t="s">
        <v>12</v>
      </c>
      <c r="B9" s="10">
        <v>4411221320.8999996</v>
      </c>
      <c r="C9" s="10">
        <v>3405303499.1900001</v>
      </c>
      <c r="D9" s="10">
        <v>2374274685.5700002</v>
      </c>
      <c r="E9" s="10">
        <v>4674154236.6599998</v>
      </c>
      <c r="F9" s="10">
        <v>3702135185.5999999</v>
      </c>
      <c r="G9" s="10">
        <v>2698571545.0100002</v>
      </c>
      <c r="H9" s="10">
        <v>1617022189.5799999</v>
      </c>
      <c r="I9" s="10">
        <v>4536877341.1000004</v>
      </c>
      <c r="J9" s="10">
        <v>3492388231.79</v>
      </c>
      <c r="K9" s="10">
        <v>2618952481.3499999</v>
      </c>
      <c r="L9" s="10">
        <v>1668685977.8399999</v>
      </c>
      <c r="M9" s="10">
        <v>3393609756.8699999</v>
      </c>
      <c r="N9" s="10">
        <v>2614183518.1300001</v>
      </c>
      <c r="O9" s="10">
        <v>1647462749.5599999</v>
      </c>
      <c r="P9" s="10">
        <v>927475783.99000001</v>
      </c>
      <c r="Q9" s="10">
        <v>3135608084.79</v>
      </c>
      <c r="R9" s="10">
        <v>1794756331.6199999</v>
      </c>
      <c r="S9" s="10">
        <v>1212195199.6600001</v>
      </c>
      <c r="T9" s="10">
        <v>519174131.85000002</v>
      </c>
      <c r="U9" s="10">
        <v>2953919072.54</v>
      </c>
      <c r="V9" s="10">
        <v>1819144570.29</v>
      </c>
      <c r="W9" s="10">
        <v>1426295388</v>
      </c>
      <c r="X9" s="10">
        <v>958500142.79999995</v>
      </c>
      <c r="Y9" s="10">
        <v>1925571991.79</v>
      </c>
      <c r="Z9" s="10">
        <v>1375305648.6199999</v>
      </c>
      <c r="AA9" s="10">
        <v>994367300.41999996</v>
      </c>
      <c r="AB9" s="10">
        <v>542976591.21000004</v>
      </c>
      <c r="AC9" s="10">
        <v>1492813443.3499999</v>
      </c>
      <c r="AD9" s="10">
        <v>1091754586.28</v>
      </c>
      <c r="AE9" s="10">
        <v>827492138.01999998</v>
      </c>
      <c r="AF9" s="10">
        <v>529295958.94999999</v>
      </c>
      <c r="AG9" s="10">
        <v>1229305038.48</v>
      </c>
      <c r="AH9" s="10">
        <v>898644456.09000003</v>
      </c>
      <c r="AI9" s="10">
        <v>655373497.21000004</v>
      </c>
      <c r="AJ9" s="10">
        <v>461410921.19</v>
      </c>
      <c r="AK9" s="10">
        <v>809386845.14999998</v>
      </c>
      <c r="AL9" s="10">
        <v>558262259.67999995</v>
      </c>
      <c r="AM9" s="10">
        <v>391783564.12</v>
      </c>
      <c r="AN9" s="10">
        <v>231677868.47</v>
      </c>
      <c r="AO9" s="10">
        <v>623333896.62</v>
      </c>
      <c r="AP9" s="10">
        <v>425064074.29000002</v>
      </c>
      <c r="AQ9" s="10">
        <v>308683973.48000002</v>
      </c>
      <c r="AR9" s="10">
        <v>184609700.68000001</v>
      </c>
      <c r="AS9" s="10">
        <v>403859477.30000001</v>
      </c>
      <c r="AT9" s="10">
        <v>255688947</v>
      </c>
      <c r="AU9" s="10">
        <v>177284970.91999999</v>
      </c>
      <c r="AV9" s="10">
        <v>127066708.01000001</v>
      </c>
      <c r="AW9" s="10">
        <v>250797895.84999999</v>
      </c>
      <c r="AX9" s="10">
        <v>167395485.75</v>
      </c>
      <c r="AY9" s="10">
        <v>127127345.04000001</v>
      </c>
      <c r="AZ9" s="10">
        <v>87945173.939999998</v>
      </c>
      <c r="BA9" s="10">
        <v>159838716.74000001</v>
      </c>
      <c r="BB9" s="10">
        <v>121521637.47</v>
      </c>
      <c r="BC9" s="10">
        <v>100417771.72</v>
      </c>
      <c r="BD9" s="10">
        <v>32225261.68</v>
      </c>
      <c r="BE9" s="10">
        <v>205782831.25</v>
      </c>
      <c r="BF9" s="10">
        <v>116178529.7</v>
      </c>
      <c r="BG9" s="10">
        <v>76906046.650000006</v>
      </c>
      <c r="BH9" s="10">
        <v>43095006.030000001</v>
      </c>
      <c r="BI9" s="10">
        <v>106684520.62</v>
      </c>
      <c r="BJ9" s="10">
        <v>64881700.939999998</v>
      </c>
      <c r="BK9" s="10">
        <v>93314750.840000004</v>
      </c>
      <c r="BL9" s="10">
        <v>0</v>
      </c>
      <c r="BM9" s="10">
        <v>55344800.609999999</v>
      </c>
      <c r="BN9" s="10">
        <v>0</v>
      </c>
    </row>
    <row r="10" spans="1:66">
      <c r="A10" t="s">
        <v>13</v>
      </c>
      <c r="B10" s="10">
        <v>19059728251.360001</v>
      </c>
      <c r="C10" s="10">
        <v>13284387765.879999</v>
      </c>
      <c r="D10" s="10">
        <v>7476603778.6599998</v>
      </c>
      <c r="E10" s="10">
        <v>17510516331.200001</v>
      </c>
      <c r="F10" s="10">
        <v>12916742077.709999</v>
      </c>
      <c r="G10" s="10">
        <v>8862965658.9500008</v>
      </c>
      <c r="H10" s="10">
        <v>5171171353.8599997</v>
      </c>
      <c r="I10" s="10">
        <v>14003048933.209999</v>
      </c>
      <c r="J10" s="10">
        <v>10136472538.440001</v>
      </c>
      <c r="K10" s="10">
        <v>7449484441.79</v>
      </c>
      <c r="L10" s="10">
        <v>4365910314.0299997</v>
      </c>
      <c r="M10" s="10">
        <v>14496450812.41</v>
      </c>
      <c r="N10" s="10">
        <v>10919970400.620001</v>
      </c>
      <c r="O10" s="10">
        <v>7546599817.5500002</v>
      </c>
      <c r="P10" s="10">
        <v>4384874947.6199999</v>
      </c>
      <c r="Q10" s="10">
        <v>12533350979.209999</v>
      </c>
      <c r="R10" s="10">
        <v>9408746583.7700005</v>
      </c>
      <c r="S10" s="10">
        <v>6377901906.04</v>
      </c>
      <c r="T10" s="10">
        <v>3586865460.8299999</v>
      </c>
      <c r="U10" s="10">
        <v>10170840319.219999</v>
      </c>
      <c r="V10" s="10">
        <v>7873499623.7600002</v>
      </c>
      <c r="W10" s="10">
        <v>5149513705.29</v>
      </c>
      <c r="X10" s="10">
        <v>2749350387.5599999</v>
      </c>
      <c r="Y10" s="10">
        <v>8286279154.8400002</v>
      </c>
      <c r="Z10" s="10">
        <v>5539023164.5</v>
      </c>
      <c r="AA10" s="10">
        <v>3826918770.02</v>
      </c>
      <c r="AB10" s="10">
        <v>1776810163.4300001</v>
      </c>
      <c r="AC10" s="10">
        <v>4885737303.3699999</v>
      </c>
      <c r="AD10" s="10">
        <v>4041204565.3200002</v>
      </c>
      <c r="AE10" s="10">
        <v>2774886858.79</v>
      </c>
      <c r="AF10" s="10">
        <v>1233363458.3900001</v>
      </c>
      <c r="AG10" s="10">
        <v>4160350102.4899998</v>
      </c>
      <c r="AH10" s="10">
        <v>3088600128.5500002</v>
      </c>
      <c r="AI10" s="10">
        <v>2152814873.5700002</v>
      </c>
      <c r="AJ10" s="10">
        <v>1143406307.3599999</v>
      </c>
      <c r="AK10" s="10">
        <v>3666868792.0999999</v>
      </c>
      <c r="AL10" s="10">
        <v>2758978699.1199999</v>
      </c>
      <c r="AM10" s="10">
        <v>2044537000</v>
      </c>
      <c r="AN10" s="10">
        <v>1027796155.85</v>
      </c>
      <c r="AO10" s="10">
        <v>3602532438.23</v>
      </c>
      <c r="AP10" s="10">
        <v>2318043878.6700001</v>
      </c>
      <c r="AQ10" s="10">
        <v>1657337134.5999999</v>
      </c>
      <c r="AR10" s="10">
        <v>980951193.45000005</v>
      </c>
      <c r="AS10" s="10">
        <v>2387944330.8699999</v>
      </c>
      <c r="AT10" s="10">
        <v>1847406928.6300001</v>
      </c>
      <c r="AU10" s="10">
        <v>1366763575</v>
      </c>
      <c r="AV10" s="10">
        <v>856934433.24000001</v>
      </c>
      <c r="AW10" s="10">
        <v>1600737072.95</v>
      </c>
      <c r="AX10" s="10">
        <v>1245294702.98</v>
      </c>
      <c r="AY10" s="10">
        <v>887310376.69000006</v>
      </c>
      <c r="AZ10" s="10">
        <v>532790492.80000001</v>
      </c>
      <c r="BA10" s="10">
        <v>1298348904.97</v>
      </c>
      <c r="BB10" s="10">
        <v>1088327949.6700001</v>
      </c>
      <c r="BC10" s="10">
        <v>803325280.51999998</v>
      </c>
      <c r="BD10" s="10">
        <v>574275212.45000005</v>
      </c>
      <c r="BE10" s="10">
        <v>985931576.96000004</v>
      </c>
      <c r="BF10" s="10">
        <v>878669971.22000003</v>
      </c>
      <c r="BG10" s="10">
        <v>652486510.10000002</v>
      </c>
      <c r="BH10" s="10">
        <v>395885115.44</v>
      </c>
      <c r="BI10" s="10">
        <v>753570901.88999999</v>
      </c>
      <c r="BJ10" s="10">
        <v>582829118.51999998</v>
      </c>
      <c r="BK10" s="10">
        <v>702151217.78999996</v>
      </c>
      <c r="BL10" s="10">
        <v>0</v>
      </c>
      <c r="BM10" s="10">
        <v>371680848.35000002</v>
      </c>
      <c r="BN10" s="10">
        <v>0</v>
      </c>
    </row>
    <row r="11" spans="1:66">
      <c r="A11" t="s">
        <v>14</v>
      </c>
      <c r="B11" s="10">
        <v>1945318389.45</v>
      </c>
      <c r="C11" s="10">
        <v>1304897456.52</v>
      </c>
      <c r="D11" s="10">
        <v>538375354.57000005</v>
      </c>
      <c r="E11" s="10">
        <v>2371486776.8800001</v>
      </c>
      <c r="F11" s="10">
        <v>1153033860.0799999</v>
      </c>
      <c r="G11" s="10">
        <v>779362014.26999998</v>
      </c>
      <c r="H11" s="10">
        <v>501895480.77999997</v>
      </c>
      <c r="I11" s="10">
        <v>1867442431.6500001</v>
      </c>
      <c r="J11" s="10">
        <v>1407241415.72</v>
      </c>
      <c r="K11" s="10">
        <v>966226731.92999995</v>
      </c>
      <c r="L11" s="10">
        <v>659473454.97000003</v>
      </c>
      <c r="M11" s="10">
        <v>2616741740.0300002</v>
      </c>
      <c r="N11" s="10">
        <v>1963771052.1600001</v>
      </c>
      <c r="O11" s="10">
        <v>1363798243.8499999</v>
      </c>
      <c r="P11" s="10">
        <v>773929698.76999998</v>
      </c>
      <c r="Q11" s="10">
        <v>1943903415.49</v>
      </c>
      <c r="R11" s="10">
        <v>1607783908.46</v>
      </c>
      <c r="S11" s="10">
        <v>1247457872.6900001</v>
      </c>
      <c r="T11" s="10">
        <v>767803034.67999995</v>
      </c>
      <c r="U11" s="10">
        <v>1546575218.99</v>
      </c>
      <c r="V11" s="10">
        <v>1252558324.97</v>
      </c>
      <c r="W11" s="10">
        <v>613841484.87</v>
      </c>
      <c r="X11" s="10">
        <v>392432147.22000003</v>
      </c>
      <c r="Y11" s="10">
        <v>1126701940.48</v>
      </c>
      <c r="Z11" s="10">
        <v>697974762.21000004</v>
      </c>
      <c r="AA11" s="10">
        <v>443297147.08999997</v>
      </c>
      <c r="AB11" s="10">
        <v>215422597.78999999</v>
      </c>
      <c r="AC11" s="10">
        <v>827128112.69000006</v>
      </c>
      <c r="AD11" s="10">
        <v>639785551.33000004</v>
      </c>
      <c r="AE11" s="10">
        <v>361313487.93000001</v>
      </c>
      <c r="AF11" s="10">
        <v>182525044.37</v>
      </c>
      <c r="AG11" s="10">
        <v>771463605.17999995</v>
      </c>
      <c r="AH11" s="10">
        <v>579195315.10000002</v>
      </c>
      <c r="AI11" s="10">
        <v>378227302.00999999</v>
      </c>
      <c r="AJ11" s="10">
        <v>194020050.61000001</v>
      </c>
      <c r="AK11" s="10">
        <v>579124473.14999998</v>
      </c>
      <c r="AL11" s="10">
        <v>437420881.12</v>
      </c>
      <c r="AM11" s="10">
        <v>298472484.81999999</v>
      </c>
      <c r="AN11" s="10">
        <v>195531279.68000001</v>
      </c>
      <c r="AO11" s="10">
        <v>465962448.88999999</v>
      </c>
      <c r="AP11" s="10">
        <v>281714970.12</v>
      </c>
      <c r="AQ11" s="10">
        <v>215182150.96000001</v>
      </c>
      <c r="AR11" s="10">
        <v>139542111.56999999</v>
      </c>
      <c r="AS11" s="10">
        <v>480906660.39999998</v>
      </c>
      <c r="AT11" s="10">
        <v>372820777.5</v>
      </c>
      <c r="AU11" s="10">
        <v>250470447.87</v>
      </c>
      <c r="AV11" s="10">
        <v>164970351.27000001</v>
      </c>
      <c r="AW11" s="10">
        <v>547306251.50999999</v>
      </c>
      <c r="AX11" s="10">
        <v>647975575.63999999</v>
      </c>
      <c r="AY11" s="10">
        <v>265334389.59</v>
      </c>
      <c r="AZ11" s="10">
        <v>263574681.81</v>
      </c>
      <c r="BA11" s="10">
        <v>518970212.01999998</v>
      </c>
      <c r="BB11" s="10">
        <v>339806043.23000002</v>
      </c>
      <c r="BC11" s="10">
        <v>262179631.78</v>
      </c>
      <c r="BD11" s="10">
        <v>149679880.5</v>
      </c>
      <c r="BE11" s="10">
        <v>412164421.80000001</v>
      </c>
      <c r="BF11" s="10">
        <v>264761095.19999999</v>
      </c>
      <c r="BG11" s="10">
        <v>153449308.06</v>
      </c>
      <c r="BH11" s="10">
        <v>92454339.640000001</v>
      </c>
      <c r="BI11" s="10">
        <v>409868382.91000003</v>
      </c>
      <c r="BJ11" s="10">
        <v>181173450.13</v>
      </c>
      <c r="BK11" s="10">
        <v>414169511.52999997</v>
      </c>
      <c r="BL11" s="10">
        <v>86280877.689999998</v>
      </c>
      <c r="BM11" s="10">
        <v>160874304.49000001</v>
      </c>
      <c r="BN11" s="10">
        <v>0</v>
      </c>
    </row>
    <row r="12" spans="1:66">
      <c r="A12" t="s">
        <v>15</v>
      </c>
      <c r="B12" s="10">
        <v>29715589991.459999</v>
      </c>
      <c r="C12" s="10">
        <v>20918691990.52</v>
      </c>
      <c r="D12" s="10">
        <v>11825676049.299999</v>
      </c>
      <c r="E12" s="10">
        <v>29827895990.880001</v>
      </c>
      <c r="F12" s="10">
        <v>21291138626.139999</v>
      </c>
      <c r="G12" s="10">
        <v>14470232515.58</v>
      </c>
      <c r="H12" s="10">
        <v>9292195224.6399994</v>
      </c>
      <c r="I12" s="10">
        <v>22577566708.330002</v>
      </c>
      <c r="J12" s="10">
        <v>16127589639.389999</v>
      </c>
      <c r="K12" s="10">
        <v>11612844300.959999</v>
      </c>
      <c r="L12" s="10">
        <v>7247195660.3900003</v>
      </c>
      <c r="M12" s="10">
        <v>22855327240.860001</v>
      </c>
      <c r="N12" s="10">
        <v>16438808502.25</v>
      </c>
      <c r="O12" s="10">
        <v>11670900526.549999</v>
      </c>
      <c r="P12" s="10">
        <v>7050142014.8900003</v>
      </c>
      <c r="Q12" s="10">
        <v>24058100141.099998</v>
      </c>
      <c r="R12" s="10">
        <v>16695367358.92</v>
      </c>
      <c r="S12" s="10">
        <v>10257546480.280001</v>
      </c>
      <c r="T12" s="10">
        <v>5586604961.3800001</v>
      </c>
      <c r="U12" s="10">
        <v>17378728264.080002</v>
      </c>
      <c r="V12" s="10">
        <v>12532545357.309999</v>
      </c>
      <c r="W12" s="10">
        <v>8267545503.4799995</v>
      </c>
      <c r="X12" s="10">
        <v>4595085611.1499996</v>
      </c>
      <c r="Y12" s="10">
        <v>13692240804.59</v>
      </c>
      <c r="Z12" s="10">
        <v>9094604052.3700008</v>
      </c>
      <c r="AA12" s="10">
        <v>6295162308.7399998</v>
      </c>
      <c r="AB12" s="10">
        <v>3191304445.4200001</v>
      </c>
      <c r="AC12" s="10">
        <v>8875483081.4500008</v>
      </c>
      <c r="AD12" s="10">
        <v>6838724509.54</v>
      </c>
      <c r="AE12" s="10">
        <v>4646047145.54</v>
      </c>
      <c r="AF12" s="10">
        <v>2297127668.8400002</v>
      </c>
      <c r="AG12" s="10">
        <v>7718194684.8500004</v>
      </c>
      <c r="AH12" s="10">
        <v>5488740863.1999998</v>
      </c>
      <c r="AI12" s="10">
        <v>3754156176.3600001</v>
      </c>
      <c r="AJ12" s="10">
        <v>2094566837.71</v>
      </c>
      <c r="AK12" s="10">
        <v>6270097925.2299995</v>
      </c>
      <c r="AL12" s="10">
        <v>4549157081.7200003</v>
      </c>
      <c r="AM12" s="10">
        <v>3264581552.5</v>
      </c>
      <c r="AN12" s="10">
        <v>1737495859.5799999</v>
      </c>
      <c r="AO12" s="10">
        <v>5790135752.0699997</v>
      </c>
      <c r="AP12" s="10">
        <v>3801819698.8000002</v>
      </c>
      <c r="AQ12" s="10">
        <v>2748189786.3000002</v>
      </c>
      <c r="AR12" s="10">
        <v>1617330432.51</v>
      </c>
      <c r="AS12" s="10">
        <v>4077199039.4200001</v>
      </c>
      <c r="AT12" s="10">
        <v>2993798540.8800001</v>
      </c>
      <c r="AU12" s="10">
        <v>2179488455.98</v>
      </c>
      <c r="AV12" s="10">
        <v>1390275480.95</v>
      </c>
      <c r="AW12" s="10">
        <v>3349605996.0300002</v>
      </c>
      <c r="AX12" s="10">
        <v>2453574930.6100001</v>
      </c>
      <c r="AY12" s="10">
        <v>1655261577.25</v>
      </c>
      <c r="AZ12" s="10">
        <v>1027305230.9</v>
      </c>
      <c r="BA12" s="10">
        <v>2841523833.1900001</v>
      </c>
      <c r="BB12" s="10">
        <v>2122623282.0699999</v>
      </c>
      <c r="BC12" s="10">
        <v>1511762615.8099999</v>
      </c>
      <c r="BD12" s="10">
        <v>1014647766.4299999</v>
      </c>
      <c r="BE12" s="10">
        <v>2242408695.4099998</v>
      </c>
      <c r="BF12" s="10">
        <v>1672297797.8599999</v>
      </c>
      <c r="BG12" s="10">
        <v>1195772787.8599999</v>
      </c>
      <c r="BH12" s="10">
        <v>620027343.47000003</v>
      </c>
      <c r="BI12" s="10">
        <v>1893701546.4400001</v>
      </c>
      <c r="BJ12" s="10">
        <v>1211416408.3499999</v>
      </c>
      <c r="BK12" s="10">
        <v>1804343608.55</v>
      </c>
      <c r="BL12" s="10">
        <v>86280877.689999998</v>
      </c>
      <c r="BM12" s="10">
        <v>887575829.64999998</v>
      </c>
      <c r="BN12" s="10">
        <v>0</v>
      </c>
    </row>
    <row r="13" spans="1:66">
      <c r="A13" t="s">
        <v>93</v>
      </c>
      <c r="B13" s="10">
        <v>22786767198.189999</v>
      </c>
      <c r="C13" s="10">
        <v>6935360410.3599997</v>
      </c>
      <c r="D13" s="10">
        <v>6108975096.5600004</v>
      </c>
      <c r="E13" s="10">
        <v>37451249647.050003</v>
      </c>
      <c r="F13" s="10">
        <v>32535332631.689999</v>
      </c>
      <c r="G13" s="10">
        <v>13603962283.99</v>
      </c>
      <c r="H13" s="10">
        <v>7436044334.9799995</v>
      </c>
      <c r="I13" s="10">
        <v>17436340141.720001</v>
      </c>
      <c r="J13" s="10">
        <v>11423393327.059999</v>
      </c>
      <c r="K13" s="10">
        <v>4901688343.2799997</v>
      </c>
      <c r="L13" s="10">
        <v>2111633649.4000001</v>
      </c>
      <c r="M13" s="10">
        <v>12632522436.6</v>
      </c>
      <c r="N13" s="10">
        <v>7679397243.8699999</v>
      </c>
      <c r="O13" s="10">
        <v>4288743348.5</v>
      </c>
      <c r="P13" s="10">
        <v>173915705.72</v>
      </c>
      <c r="Q13" s="10">
        <v>12655024861.92</v>
      </c>
      <c r="R13" s="10">
        <v>9245117959.3099995</v>
      </c>
      <c r="S13" s="10">
        <v>5215024506.9099998</v>
      </c>
      <c r="T13" s="10">
        <v>790228914.26999998</v>
      </c>
      <c r="U13" s="10">
        <v>11921310609.25</v>
      </c>
      <c r="V13" s="10">
        <v>7561565324.8999996</v>
      </c>
      <c r="W13" s="10">
        <v>4459709495.3299999</v>
      </c>
      <c r="X13" s="10">
        <v>1339500999.5999999</v>
      </c>
      <c r="Y13" s="10">
        <v>10148564689.530001</v>
      </c>
      <c r="Z13" s="10">
        <v>9026937978.2999992</v>
      </c>
      <c r="AA13" s="10">
        <v>5327897835.0799999</v>
      </c>
      <c r="AB13" s="10">
        <v>3411131919.8499999</v>
      </c>
      <c r="AC13" s="10">
        <v>6201476519.5699997</v>
      </c>
      <c r="AD13" s="10">
        <v>3964406933.9299998</v>
      </c>
      <c r="AE13" s="10">
        <v>1766383110.55</v>
      </c>
      <c r="AF13" s="10">
        <v>824771903.73000002</v>
      </c>
      <c r="AG13" s="10">
        <v>4223937144.1900001</v>
      </c>
      <c r="AH13" s="10">
        <v>2077542093.22</v>
      </c>
      <c r="AI13" s="10">
        <v>548187840.42999995</v>
      </c>
      <c r="AJ13" s="10">
        <v>-130764695.25</v>
      </c>
      <c r="AK13" s="10">
        <v>5247488535.7399998</v>
      </c>
      <c r="AL13" s="10">
        <v>3068605688.1700001</v>
      </c>
      <c r="AM13" s="10">
        <v>1495681406.98</v>
      </c>
      <c r="AN13" s="10">
        <v>992687155.95000005</v>
      </c>
      <c r="AO13" s="10">
        <v>1743303211.3800001</v>
      </c>
      <c r="AP13" s="10">
        <v>1548259234.8800001</v>
      </c>
      <c r="AQ13" s="10">
        <v>685813057.54999995</v>
      </c>
      <c r="AR13" s="10">
        <v>380543066.07999998</v>
      </c>
      <c r="AS13" s="10">
        <v>2105171033.6900001</v>
      </c>
      <c r="AT13" s="10">
        <v>1490129273.8</v>
      </c>
      <c r="AU13" s="10">
        <v>594871612.89999998</v>
      </c>
      <c r="AV13" s="10">
        <v>222204247.83000001</v>
      </c>
      <c r="AW13" s="10">
        <v>1693707488.3199999</v>
      </c>
      <c r="AX13" s="10">
        <v>883720092.28999996</v>
      </c>
      <c r="AY13" s="10">
        <v>436604511.29000002</v>
      </c>
      <c r="AZ13" s="10">
        <v>242281053.09999999</v>
      </c>
      <c r="BA13" s="10">
        <v>975784480.20000005</v>
      </c>
      <c r="BB13" s="10">
        <v>372675167.5</v>
      </c>
      <c r="BC13" s="10">
        <v>-37984534.130000003</v>
      </c>
      <c r="BD13" s="10">
        <v>-181383371.87</v>
      </c>
      <c r="BE13" s="10">
        <v>941706242.08000004</v>
      </c>
      <c r="BF13" s="10">
        <v>439378658.54000002</v>
      </c>
      <c r="BG13" s="10">
        <v>-33965937.280000001</v>
      </c>
      <c r="BH13" s="10">
        <v>9112186.6699999999</v>
      </c>
      <c r="BI13" s="10">
        <v>434582378.66000003</v>
      </c>
      <c r="BJ13" s="10">
        <v>-180120845.05000001</v>
      </c>
      <c r="BK13" s="10">
        <v>42283037.350000001</v>
      </c>
      <c r="BL13" s="10">
        <v>-86280877.689999998</v>
      </c>
      <c r="BM13" s="10">
        <v>443124645.68000001</v>
      </c>
      <c r="BN13" s="10">
        <v>0</v>
      </c>
    </row>
    <row r="14" spans="1:66">
      <c r="A14" t="s">
        <v>16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</row>
    <row r="15" spans="1:66">
      <c r="A15" t="s">
        <v>17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60050000</v>
      </c>
      <c r="J15" s="10">
        <v>60000000</v>
      </c>
      <c r="K15" s="10">
        <v>10000000</v>
      </c>
      <c r="L15" s="10">
        <v>10000000</v>
      </c>
      <c r="M15" s="10">
        <v>5000000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10000000</v>
      </c>
      <c r="V15" s="10">
        <v>10000000</v>
      </c>
      <c r="W15" s="10">
        <v>10000000</v>
      </c>
      <c r="X15" s="10">
        <v>10000000</v>
      </c>
      <c r="Y15" s="10">
        <v>0</v>
      </c>
      <c r="Z15" s="10">
        <v>0</v>
      </c>
      <c r="AA15" s="10">
        <v>0</v>
      </c>
      <c r="AB15" s="10">
        <v>0</v>
      </c>
      <c r="AC15" s="10">
        <v>17000000</v>
      </c>
      <c r="AD15" s="10">
        <v>17000000</v>
      </c>
      <c r="AE15" s="10">
        <v>17000000</v>
      </c>
      <c r="AF15" s="10">
        <v>17000000</v>
      </c>
      <c r="AG15" s="10">
        <v>25000000</v>
      </c>
      <c r="AH15" s="10">
        <v>25000000</v>
      </c>
      <c r="AI15" s="10">
        <v>25000000</v>
      </c>
      <c r="AJ15" s="10">
        <v>0</v>
      </c>
      <c r="AK15" s="10">
        <v>21000000</v>
      </c>
      <c r="AL15" s="10">
        <v>21000000</v>
      </c>
      <c r="AM15" s="10">
        <v>21000000</v>
      </c>
      <c r="AN15" s="10">
        <v>21000000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</row>
    <row r="16" spans="1:66">
      <c r="A16" t="s">
        <v>18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3869172.05</v>
      </c>
      <c r="J16" s="10">
        <v>3868919.86</v>
      </c>
      <c r="K16" s="10">
        <v>3342169.86</v>
      </c>
      <c r="L16" s="10">
        <v>332169.86</v>
      </c>
      <c r="M16" s="10">
        <v>3095265.75</v>
      </c>
      <c r="N16" s="10">
        <v>3010000</v>
      </c>
      <c r="O16" s="10">
        <v>3010000</v>
      </c>
      <c r="P16" s="10">
        <v>0</v>
      </c>
      <c r="Q16" s="10">
        <v>3010000</v>
      </c>
      <c r="R16" s="10">
        <v>3010000</v>
      </c>
      <c r="S16" s="10">
        <v>3010000</v>
      </c>
      <c r="T16" s="10">
        <v>0</v>
      </c>
      <c r="U16" s="10">
        <v>4129000</v>
      </c>
      <c r="V16" s="10">
        <v>4129000</v>
      </c>
      <c r="W16" s="10">
        <v>4129000</v>
      </c>
      <c r="X16" s="10">
        <v>1119000</v>
      </c>
      <c r="Y16" s="10">
        <v>3010000</v>
      </c>
      <c r="Z16" s="10">
        <v>3010000</v>
      </c>
      <c r="AA16" s="10">
        <v>3010000</v>
      </c>
      <c r="AB16" s="10">
        <v>0</v>
      </c>
      <c r="AC16" s="10">
        <v>1731400</v>
      </c>
      <c r="AD16" s="10">
        <v>1731400</v>
      </c>
      <c r="AE16" s="10">
        <v>1731400</v>
      </c>
      <c r="AF16" s="10">
        <v>1728900</v>
      </c>
      <c r="AG16" s="10">
        <v>2080397.26</v>
      </c>
      <c r="AH16" s="10">
        <v>2080397.26</v>
      </c>
      <c r="AI16" s="10">
        <v>2080397.26</v>
      </c>
      <c r="AJ16" s="10">
        <v>0</v>
      </c>
      <c r="AK16" s="10">
        <v>2123100</v>
      </c>
      <c r="AL16" s="10">
        <v>2123100</v>
      </c>
      <c r="AM16" s="10">
        <v>2123100</v>
      </c>
      <c r="AN16" s="10">
        <v>2123100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</row>
    <row r="17" spans="1:66">
      <c r="A17" t="s">
        <v>19</v>
      </c>
      <c r="B17" s="10">
        <v>16450</v>
      </c>
      <c r="C17" s="10">
        <v>0</v>
      </c>
      <c r="D17" s="10">
        <v>0</v>
      </c>
      <c r="E17" s="10">
        <v>92084.5</v>
      </c>
      <c r="F17" s="10">
        <v>75180</v>
      </c>
      <c r="G17" s="10">
        <v>73845</v>
      </c>
      <c r="H17" s="10">
        <v>117322</v>
      </c>
      <c r="I17" s="10">
        <v>8772937.3900000006</v>
      </c>
      <c r="J17" s="10">
        <v>1280</v>
      </c>
      <c r="K17" s="10">
        <v>0</v>
      </c>
      <c r="L17" s="10">
        <v>0</v>
      </c>
      <c r="M17" s="10">
        <v>10226939.390000001</v>
      </c>
      <c r="N17" s="10">
        <v>1047680</v>
      </c>
      <c r="O17" s="10">
        <v>1047680</v>
      </c>
      <c r="P17" s="10">
        <v>173418</v>
      </c>
      <c r="Q17" s="10">
        <v>0</v>
      </c>
      <c r="R17" s="10">
        <v>0</v>
      </c>
      <c r="S17" s="10">
        <v>0</v>
      </c>
      <c r="T17" s="10">
        <v>0</v>
      </c>
      <c r="U17" s="10">
        <v>79000</v>
      </c>
      <c r="V17" s="10">
        <v>0</v>
      </c>
      <c r="W17" s="10">
        <v>0</v>
      </c>
      <c r="X17" s="10">
        <v>0</v>
      </c>
      <c r="Y17" s="10">
        <v>41600</v>
      </c>
      <c r="Z17" s="10">
        <v>40000</v>
      </c>
      <c r="AA17" s="10">
        <v>40000</v>
      </c>
      <c r="AB17" s="10">
        <v>40000</v>
      </c>
      <c r="AC17" s="10">
        <v>0</v>
      </c>
      <c r="AD17" s="10">
        <v>0</v>
      </c>
      <c r="AE17" s="10">
        <v>0</v>
      </c>
      <c r="AF17" s="10">
        <v>2500</v>
      </c>
      <c r="AG17" s="10">
        <v>0</v>
      </c>
      <c r="AH17" s="10">
        <v>0</v>
      </c>
      <c r="AI17" s="10">
        <v>0</v>
      </c>
      <c r="AJ17" s="10">
        <v>0</v>
      </c>
      <c r="AK17" s="10">
        <v>50000</v>
      </c>
      <c r="AL17" s="10">
        <v>50000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5950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</row>
    <row r="18" spans="1:66">
      <c r="A18" t="s">
        <v>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</row>
    <row r="19" spans="1:66">
      <c r="A19" t="s">
        <v>21</v>
      </c>
      <c r="B19" s="10">
        <v>18116011.350000001</v>
      </c>
      <c r="C19" s="10">
        <v>17435431.350000001</v>
      </c>
      <c r="D19" s="10">
        <v>13335955.060000001</v>
      </c>
      <c r="E19" s="10">
        <v>5562351.1900000004</v>
      </c>
      <c r="F19" s="10">
        <v>5447356</v>
      </c>
      <c r="G19" s="10">
        <v>3956396.91</v>
      </c>
      <c r="H19" s="10">
        <v>2153315.11</v>
      </c>
      <c r="I19" s="10">
        <v>33357886.050000001</v>
      </c>
      <c r="J19" s="10">
        <v>31502649.239999998</v>
      </c>
      <c r="K19" s="10">
        <v>26440236</v>
      </c>
      <c r="L19" s="10">
        <v>5093183.24</v>
      </c>
      <c r="M19" s="10">
        <v>106726852</v>
      </c>
      <c r="N19" s="10">
        <v>105002717</v>
      </c>
      <c r="O19" s="10">
        <v>105002717</v>
      </c>
      <c r="P19" s="10">
        <v>88428717</v>
      </c>
      <c r="Q19" s="10">
        <v>756386234.63999999</v>
      </c>
      <c r="R19" s="10">
        <v>640634221.60000002</v>
      </c>
      <c r="S19" s="10">
        <v>542368131.97000003</v>
      </c>
      <c r="T19" s="10">
        <v>408123249.5</v>
      </c>
      <c r="U19" s="10">
        <v>340299568</v>
      </c>
      <c r="V19" s="10">
        <v>187026157.06999999</v>
      </c>
      <c r="W19" s="10">
        <v>146581293.5</v>
      </c>
      <c r="X19" s="10">
        <v>0</v>
      </c>
      <c r="Y19" s="10">
        <v>212533826.84</v>
      </c>
      <c r="Z19" s="10">
        <v>74601849.819999993</v>
      </c>
      <c r="AA19" s="10">
        <v>67947203.269999996</v>
      </c>
      <c r="AB19" s="10">
        <v>11199977.289999999</v>
      </c>
      <c r="AC19" s="10">
        <v>56315726.509999998</v>
      </c>
      <c r="AD19" s="10">
        <v>56662329.200000003</v>
      </c>
      <c r="AE19" s="10">
        <v>54180223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</row>
    <row r="20" spans="1:66">
      <c r="A20" t="s">
        <v>22</v>
      </c>
      <c r="B20" s="10">
        <v>18132461.350000001</v>
      </c>
      <c r="C20" s="10">
        <v>17435431.350000001</v>
      </c>
      <c r="D20" s="10">
        <v>13335955.060000001</v>
      </c>
      <c r="E20" s="10">
        <v>5654435.6900000004</v>
      </c>
      <c r="F20" s="10">
        <v>5522536</v>
      </c>
      <c r="G20" s="10">
        <v>4030241.91</v>
      </c>
      <c r="H20" s="10">
        <v>2270637.11</v>
      </c>
      <c r="I20" s="10">
        <v>106049995.48999999</v>
      </c>
      <c r="J20" s="10">
        <v>95372849.099999994</v>
      </c>
      <c r="K20" s="10">
        <v>39782405.859999999</v>
      </c>
      <c r="L20" s="10">
        <v>15425353.1</v>
      </c>
      <c r="M20" s="10">
        <v>125049057.14</v>
      </c>
      <c r="N20" s="10">
        <v>109060397</v>
      </c>
      <c r="O20" s="10">
        <v>109060397</v>
      </c>
      <c r="P20" s="10">
        <v>88602135</v>
      </c>
      <c r="Q20" s="10">
        <v>759396234.63999999</v>
      </c>
      <c r="R20" s="10">
        <v>643644221.60000002</v>
      </c>
      <c r="S20" s="10">
        <v>545378131.97000003</v>
      </c>
      <c r="T20" s="10">
        <v>408123249.5</v>
      </c>
      <c r="U20" s="10">
        <v>354507568</v>
      </c>
      <c r="V20" s="10">
        <v>201155157.06999999</v>
      </c>
      <c r="W20" s="10">
        <v>160710293.5</v>
      </c>
      <c r="X20" s="10">
        <v>11119000</v>
      </c>
      <c r="Y20" s="10">
        <v>215585426.84</v>
      </c>
      <c r="Z20" s="10">
        <v>77651849.819999993</v>
      </c>
      <c r="AA20" s="10">
        <v>70997203.269999996</v>
      </c>
      <c r="AB20" s="10">
        <v>11239977.289999999</v>
      </c>
      <c r="AC20" s="10">
        <v>75047126.510000005</v>
      </c>
      <c r="AD20" s="10">
        <v>75393729.200000003</v>
      </c>
      <c r="AE20" s="10">
        <v>72911623</v>
      </c>
      <c r="AF20" s="10">
        <v>18731400</v>
      </c>
      <c r="AG20" s="10">
        <v>27080397.260000002</v>
      </c>
      <c r="AH20" s="10">
        <v>27080397.260000002</v>
      </c>
      <c r="AI20" s="10">
        <v>27080397.260000002</v>
      </c>
      <c r="AJ20" s="10">
        <v>0</v>
      </c>
      <c r="AK20" s="10">
        <v>23173100</v>
      </c>
      <c r="AL20" s="10">
        <v>23173100</v>
      </c>
      <c r="AM20" s="10">
        <v>23123100</v>
      </c>
      <c r="AN20" s="10">
        <v>23123100</v>
      </c>
      <c r="AO20" s="10">
        <v>0</v>
      </c>
      <c r="AP20" s="10">
        <v>0</v>
      </c>
      <c r="AQ20" s="10">
        <v>0</v>
      </c>
      <c r="AR20" s="10">
        <v>0</v>
      </c>
      <c r="AS20" s="10">
        <v>5950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</row>
    <row r="21" spans="1:66">
      <c r="A21" t="s">
        <v>23</v>
      </c>
      <c r="B21" s="10">
        <v>756994453.84000003</v>
      </c>
      <c r="C21" s="10">
        <v>480999293.66000003</v>
      </c>
      <c r="D21" s="10">
        <v>307369260.11000001</v>
      </c>
      <c r="E21" s="10">
        <v>1019178136.92</v>
      </c>
      <c r="F21" s="10">
        <v>775269285.34000003</v>
      </c>
      <c r="G21" s="10">
        <v>496606045.55000001</v>
      </c>
      <c r="H21" s="10">
        <v>367086565.32999998</v>
      </c>
      <c r="I21" s="10">
        <v>2061470481.3199999</v>
      </c>
      <c r="J21" s="10">
        <v>1810810170.6099999</v>
      </c>
      <c r="K21" s="10">
        <v>1275907396.6199999</v>
      </c>
      <c r="L21" s="10">
        <v>865730347.38</v>
      </c>
      <c r="M21" s="10">
        <v>4431065066.0500002</v>
      </c>
      <c r="N21" s="10">
        <v>3698405813.6799998</v>
      </c>
      <c r="O21" s="10">
        <v>2846115154.8499999</v>
      </c>
      <c r="P21" s="10">
        <v>2024967912.28</v>
      </c>
      <c r="Q21" s="10">
        <v>5405740026.2299995</v>
      </c>
      <c r="R21" s="10">
        <v>3944662952.02</v>
      </c>
      <c r="S21" s="10">
        <v>2527195939.4299998</v>
      </c>
      <c r="T21" s="10">
        <v>1124939088.24</v>
      </c>
      <c r="U21" s="10">
        <v>4211900807.9099998</v>
      </c>
      <c r="V21" s="10">
        <v>3041808991.9499998</v>
      </c>
      <c r="W21" s="10">
        <v>1701317277.73</v>
      </c>
      <c r="X21" s="10">
        <v>678815042.40999997</v>
      </c>
      <c r="Y21" s="10">
        <v>2184528163.1100001</v>
      </c>
      <c r="Z21" s="10">
        <v>1234305197.8399999</v>
      </c>
      <c r="AA21" s="10">
        <v>747055064.26999998</v>
      </c>
      <c r="AB21" s="10">
        <v>300691471.88</v>
      </c>
      <c r="AC21" s="10">
        <v>1731913788.52</v>
      </c>
      <c r="AD21" s="10">
        <v>1394221713.73</v>
      </c>
      <c r="AE21" s="10">
        <v>1079662311.3</v>
      </c>
      <c r="AF21" s="10">
        <v>469039504.07999998</v>
      </c>
      <c r="AG21" s="10">
        <v>1356601530.0899999</v>
      </c>
      <c r="AH21" s="10">
        <v>1058500946.42</v>
      </c>
      <c r="AI21" s="10">
        <v>689017762.13</v>
      </c>
      <c r="AJ21" s="10">
        <v>288879016.69</v>
      </c>
      <c r="AK21" s="10">
        <v>1010735786.04</v>
      </c>
      <c r="AL21" s="10">
        <v>643869405.12</v>
      </c>
      <c r="AM21" s="10">
        <v>409784280.75</v>
      </c>
      <c r="AN21" s="10">
        <v>174666400.53</v>
      </c>
      <c r="AO21" s="10">
        <v>772456652.49000001</v>
      </c>
      <c r="AP21" s="10">
        <v>545583793.12</v>
      </c>
      <c r="AQ21" s="10">
        <v>332503082.61000001</v>
      </c>
      <c r="AR21" s="10">
        <v>182658817.77000001</v>
      </c>
      <c r="AS21" s="10">
        <v>737075587.27999997</v>
      </c>
      <c r="AT21" s="10">
        <v>544313686.75999999</v>
      </c>
      <c r="AU21" s="10">
        <v>311944622.32999998</v>
      </c>
      <c r="AV21" s="10">
        <v>104814535.87</v>
      </c>
      <c r="AW21" s="10">
        <v>540843725.72000003</v>
      </c>
      <c r="AX21" s="10">
        <v>388631291.38999999</v>
      </c>
      <c r="AY21" s="10">
        <v>242680051.99000001</v>
      </c>
      <c r="AZ21" s="10">
        <v>101989194.91</v>
      </c>
      <c r="BA21" s="10">
        <v>355190020.75</v>
      </c>
      <c r="BB21" s="10">
        <v>228190946.83000001</v>
      </c>
      <c r="BC21" s="10">
        <v>138326737.52000001</v>
      </c>
      <c r="BD21" s="10">
        <v>73503913.549999997</v>
      </c>
      <c r="BE21" s="10">
        <v>334880557.62</v>
      </c>
      <c r="BF21" s="10">
        <v>299863886.41000003</v>
      </c>
      <c r="BG21" s="10">
        <v>201234233.88</v>
      </c>
      <c r="BH21" s="10">
        <v>106650497.18000001</v>
      </c>
      <c r="BI21" s="10">
        <v>467451921.25</v>
      </c>
      <c r="BJ21" s="10">
        <v>260755471.34</v>
      </c>
      <c r="BK21" s="10">
        <v>331691548.18000001</v>
      </c>
      <c r="BL21" s="10">
        <v>0</v>
      </c>
      <c r="BM21" s="10">
        <v>33823984.460000001</v>
      </c>
      <c r="BN21" s="10">
        <v>0</v>
      </c>
    </row>
    <row r="22" spans="1:66">
      <c r="A22" t="s">
        <v>24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25050000</v>
      </c>
      <c r="J22" s="10">
        <v>25000000</v>
      </c>
      <c r="K22" s="10">
        <v>25000000</v>
      </c>
      <c r="L22" s="10">
        <v>0</v>
      </c>
      <c r="M22" s="10">
        <v>15000000</v>
      </c>
      <c r="N22" s="10">
        <v>15000000</v>
      </c>
      <c r="O22" s="10">
        <v>15000000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50000000</v>
      </c>
      <c r="AD22" s="10">
        <v>50000000</v>
      </c>
      <c r="AE22" s="10">
        <v>50000000</v>
      </c>
      <c r="AF22" s="10">
        <v>0</v>
      </c>
      <c r="AG22" s="10">
        <v>10000000</v>
      </c>
      <c r="AH22" s="10">
        <v>10000000</v>
      </c>
      <c r="AI22" s="10">
        <v>10000000</v>
      </c>
      <c r="AJ22" s="10">
        <v>10000000</v>
      </c>
      <c r="AK22" s="10">
        <v>5000000</v>
      </c>
      <c r="AL22" s="10">
        <v>0</v>
      </c>
      <c r="AM22" s="10">
        <v>0</v>
      </c>
      <c r="AN22" s="10">
        <v>0</v>
      </c>
      <c r="AO22" s="10">
        <v>17000000</v>
      </c>
      <c r="AP22" s="10">
        <v>17000000</v>
      </c>
      <c r="AQ22" s="10">
        <v>17000000</v>
      </c>
      <c r="AR22" s="10">
        <v>17000000</v>
      </c>
      <c r="AS22" s="10">
        <v>41000000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4000000</v>
      </c>
      <c r="BJ22" s="10">
        <v>4000000</v>
      </c>
      <c r="BK22" s="10">
        <v>0</v>
      </c>
      <c r="BL22" s="10">
        <v>0</v>
      </c>
      <c r="BM22" s="10">
        <v>0</v>
      </c>
      <c r="BN22" s="10">
        <v>0</v>
      </c>
    </row>
    <row r="23" spans="1:66">
      <c r="A23" t="s">
        <v>25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</row>
    <row r="24" spans="1:66">
      <c r="A24" t="s">
        <v>26</v>
      </c>
      <c r="B24" s="10">
        <v>8913220.8599999994</v>
      </c>
      <c r="C24" s="10">
        <v>7124750.8600000003</v>
      </c>
      <c r="D24" s="10">
        <v>6306387.0599999996</v>
      </c>
      <c r="E24" s="10">
        <v>88977102.969999999</v>
      </c>
      <c r="F24" s="10">
        <v>3740639.78</v>
      </c>
      <c r="G24" s="10">
        <v>62932043.909999996</v>
      </c>
      <c r="H24" s="10">
        <v>56529387.609999999</v>
      </c>
      <c r="I24" s="10">
        <v>68319778.760000005</v>
      </c>
      <c r="J24" s="10">
        <v>42557201.530000001</v>
      </c>
      <c r="K24" s="10">
        <v>29590419.239999998</v>
      </c>
      <c r="L24" s="10">
        <v>3740294.25</v>
      </c>
      <c r="M24" s="10">
        <v>259143571.28</v>
      </c>
      <c r="N24" s="10">
        <v>270574431.64999998</v>
      </c>
      <c r="O24" s="10">
        <v>246700375.63</v>
      </c>
      <c r="P24" s="10">
        <v>148452932.19999999</v>
      </c>
      <c r="Q24" s="10">
        <v>692967608.36000001</v>
      </c>
      <c r="R24" s="10">
        <v>536501410.66000003</v>
      </c>
      <c r="S24" s="10">
        <v>399765665.06</v>
      </c>
      <c r="T24" s="10">
        <v>301797368.77999997</v>
      </c>
      <c r="U24" s="10">
        <v>342083058.36000001</v>
      </c>
      <c r="V24" s="10">
        <v>174710044.36000001</v>
      </c>
      <c r="W24" s="10">
        <v>136762440.03999999</v>
      </c>
      <c r="X24" s="10">
        <v>22125199.09</v>
      </c>
      <c r="Y24" s="10">
        <v>151475313.63999999</v>
      </c>
      <c r="Z24" s="10">
        <v>40917766.840000004</v>
      </c>
      <c r="AA24" s="10">
        <v>28350508.440000001</v>
      </c>
      <c r="AB24" s="10">
        <v>11610276.939999999</v>
      </c>
      <c r="AC24" s="10">
        <v>56522892.710000001</v>
      </c>
      <c r="AD24" s="10">
        <v>57620800.18</v>
      </c>
      <c r="AE24" s="10">
        <v>44522602.719999999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1203369.21</v>
      </c>
      <c r="BM24" s="10">
        <v>0</v>
      </c>
      <c r="BN24" s="10">
        <v>0</v>
      </c>
    </row>
    <row r="25" spans="1:66">
      <c r="A25" t="s">
        <v>27</v>
      </c>
      <c r="B25" s="10">
        <v>765907674.70000005</v>
      </c>
      <c r="C25" s="10">
        <v>488124044.51999998</v>
      </c>
      <c r="D25" s="10">
        <v>313675647.17000002</v>
      </c>
      <c r="E25" s="10">
        <v>1108155239.8900001</v>
      </c>
      <c r="F25" s="10">
        <v>779009925.12</v>
      </c>
      <c r="G25" s="10">
        <v>559538089.46000004</v>
      </c>
      <c r="H25" s="10">
        <v>423615952.94</v>
      </c>
      <c r="I25" s="10">
        <v>2154840260.0799999</v>
      </c>
      <c r="J25" s="10">
        <v>1878367372.1400001</v>
      </c>
      <c r="K25" s="10">
        <v>1330497815.8599999</v>
      </c>
      <c r="L25" s="10">
        <v>869470641.63</v>
      </c>
      <c r="M25" s="10">
        <v>4705208637.3299999</v>
      </c>
      <c r="N25" s="10">
        <v>3983980245.3299999</v>
      </c>
      <c r="O25" s="10">
        <v>3107815530.48</v>
      </c>
      <c r="P25" s="10">
        <v>2173420844.48</v>
      </c>
      <c r="Q25" s="10">
        <v>6098707634.5900002</v>
      </c>
      <c r="R25" s="10">
        <v>4481164362.6800003</v>
      </c>
      <c r="S25" s="10">
        <v>2926961604.4899998</v>
      </c>
      <c r="T25" s="10">
        <v>1426736457.02</v>
      </c>
      <c r="U25" s="10">
        <v>4553983866.2700005</v>
      </c>
      <c r="V25" s="10">
        <v>3216519036.3099999</v>
      </c>
      <c r="W25" s="10">
        <v>1838079717.77</v>
      </c>
      <c r="X25" s="10">
        <v>700940241.5</v>
      </c>
      <c r="Y25" s="10">
        <v>2336003476.75</v>
      </c>
      <c r="Z25" s="10">
        <v>1275222964.6800001</v>
      </c>
      <c r="AA25" s="10">
        <v>775405572.71000004</v>
      </c>
      <c r="AB25" s="10">
        <v>312301748.81999999</v>
      </c>
      <c r="AC25" s="10">
        <v>1838436681.23</v>
      </c>
      <c r="AD25" s="10">
        <v>1501842513.9100001</v>
      </c>
      <c r="AE25" s="10">
        <v>1174184914.02</v>
      </c>
      <c r="AF25" s="10">
        <v>469039504.07999998</v>
      </c>
      <c r="AG25" s="10">
        <v>1366601530.0899999</v>
      </c>
      <c r="AH25" s="10">
        <v>1068500946.42</v>
      </c>
      <c r="AI25" s="10">
        <v>699017762.13</v>
      </c>
      <c r="AJ25" s="10">
        <v>298879016.69</v>
      </c>
      <c r="AK25" s="10">
        <v>1015735786.04</v>
      </c>
      <c r="AL25" s="10">
        <v>643869405.12</v>
      </c>
      <c r="AM25" s="10">
        <v>409784280.75</v>
      </c>
      <c r="AN25" s="10">
        <v>174666400.53</v>
      </c>
      <c r="AO25" s="10">
        <v>789456652.49000001</v>
      </c>
      <c r="AP25" s="10">
        <v>562583793.12</v>
      </c>
      <c r="AQ25" s="10">
        <v>349503082.61000001</v>
      </c>
      <c r="AR25" s="10">
        <v>199658817.77000001</v>
      </c>
      <c r="AS25" s="10">
        <v>778075587.27999997</v>
      </c>
      <c r="AT25" s="10">
        <v>544313686.75999999</v>
      </c>
      <c r="AU25" s="10">
        <v>311944622.32999998</v>
      </c>
      <c r="AV25" s="10">
        <v>104814535.87</v>
      </c>
      <c r="AW25" s="10">
        <v>540843725.72000003</v>
      </c>
      <c r="AX25" s="10">
        <v>388631291.38999999</v>
      </c>
      <c r="AY25" s="10">
        <v>242680051.99000001</v>
      </c>
      <c r="AZ25" s="10">
        <v>101989194.91</v>
      </c>
      <c r="BA25" s="10">
        <v>355190020.75</v>
      </c>
      <c r="BB25" s="10">
        <v>228190946.83000001</v>
      </c>
      <c r="BC25" s="10">
        <v>138326737.52000001</v>
      </c>
      <c r="BD25" s="10">
        <v>73503913.549999997</v>
      </c>
      <c r="BE25" s="10">
        <v>334880557.62</v>
      </c>
      <c r="BF25" s="10">
        <v>299863886.41000003</v>
      </c>
      <c r="BG25" s="10">
        <v>201234233.88</v>
      </c>
      <c r="BH25" s="10">
        <v>106650497.18000001</v>
      </c>
      <c r="BI25" s="10">
        <v>471451921.25</v>
      </c>
      <c r="BJ25" s="10">
        <v>264755471.34</v>
      </c>
      <c r="BK25" s="10">
        <v>331691548.18000001</v>
      </c>
      <c r="BL25" s="10">
        <v>1203369.21</v>
      </c>
      <c r="BM25" s="10">
        <v>33823984.460000001</v>
      </c>
      <c r="BN25" s="10">
        <v>0</v>
      </c>
    </row>
    <row r="26" spans="1:66">
      <c r="A26" t="s">
        <v>28</v>
      </c>
      <c r="B26" s="10">
        <v>-747775213.35000002</v>
      </c>
      <c r="C26" s="10">
        <v>-470688613.17000002</v>
      </c>
      <c r="D26" s="10">
        <v>-300339692.11000001</v>
      </c>
      <c r="E26" s="10">
        <v>-1102500804.2</v>
      </c>
      <c r="F26" s="10">
        <v>-773487389.12</v>
      </c>
      <c r="G26" s="10">
        <v>-555507847.54999995</v>
      </c>
      <c r="H26" s="10">
        <v>-421345315.82999998</v>
      </c>
      <c r="I26" s="10">
        <v>-2048790264.5899999</v>
      </c>
      <c r="J26" s="10">
        <v>-1782994523.04</v>
      </c>
      <c r="K26" s="10">
        <v>-1290715410</v>
      </c>
      <c r="L26" s="10">
        <v>-854045288.52999997</v>
      </c>
      <c r="M26" s="10">
        <v>-4580159580.1899996</v>
      </c>
      <c r="N26" s="10">
        <v>-3874919848.3299999</v>
      </c>
      <c r="O26" s="10">
        <v>-2998755133.48</v>
      </c>
      <c r="P26" s="10">
        <v>-2084818709.48</v>
      </c>
      <c r="Q26" s="10">
        <v>-5339311399.9499998</v>
      </c>
      <c r="R26" s="10">
        <v>-3837520141.0799999</v>
      </c>
      <c r="S26" s="10">
        <v>-2381583472.52</v>
      </c>
      <c r="T26" s="10">
        <v>-1018613207.52</v>
      </c>
      <c r="U26" s="10">
        <v>-4199476298.27</v>
      </c>
      <c r="V26" s="10">
        <v>-3015363879.2399998</v>
      </c>
      <c r="W26" s="10">
        <v>-1677369424.27</v>
      </c>
      <c r="X26" s="10">
        <v>-689821241.5</v>
      </c>
      <c r="Y26" s="10">
        <v>-2120418049.9100001</v>
      </c>
      <c r="Z26" s="10">
        <v>-1197571114.8599999</v>
      </c>
      <c r="AA26" s="10">
        <v>-704408369.44000006</v>
      </c>
      <c r="AB26" s="10">
        <v>-301061771.52999997</v>
      </c>
      <c r="AC26" s="10">
        <v>-1763389554.72</v>
      </c>
      <c r="AD26" s="10">
        <v>-1426448784.71</v>
      </c>
      <c r="AE26" s="10">
        <v>-1101273291.02</v>
      </c>
      <c r="AF26" s="10">
        <v>-450308104.07999998</v>
      </c>
      <c r="AG26" s="10">
        <v>-1339521132.8299999</v>
      </c>
      <c r="AH26" s="10">
        <v>-1041420549.16</v>
      </c>
      <c r="AI26" s="10">
        <v>-671937364.87</v>
      </c>
      <c r="AJ26" s="10">
        <v>-298879016.69</v>
      </c>
      <c r="AK26" s="10">
        <v>-992562686.03999996</v>
      </c>
      <c r="AL26" s="10">
        <v>-620696305.12</v>
      </c>
      <c r="AM26" s="10">
        <v>-386661180.75</v>
      </c>
      <c r="AN26" s="10">
        <v>-151543300.53</v>
      </c>
      <c r="AO26" s="10">
        <v>-789456652.49000001</v>
      </c>
      <c r="AP26" s="10">
        <v>-562583793.12</v>
      </c>
      <c r="AQ26" s="10">
        <v>-349503082.61000001</v>
      </c>
      <c r="AR26" s="10">
        <v>-199658817.77000001</v>
      </c>
      <c r="AS26" s="10">
        <v>-778069637.27999997</v>
      </c>
      <c r="AT26" s="10">
        <v>-544313686.75999999</v>
      </c>
      <c r="AU26" s="10">
        <v>-311944622.32999998</v>
      </c>
      <c r="AV26" s="10">
        <v>-104814535.87</v>
      </c>
      <c r="AW26" s="10">
        <v>-540843725.72000003</v>
      </c>
      <c r="AX26" s="10">
        <v>-388631291.38999999</v>
      </c>
      <c r="AY26" s="10">
        <v>-242680051.99000001</v>
      </c>
      <c r="AZ26" s="10">
        <v>-101989194.91</v>
      </c>
      <c r="BA26" s="10">
        <v>-355190020.75</v>
      </c>
      <c r="BB26" s="10">
        <v>-228190946.83000001</v>
      </c>
      <c r="BC26" s="10">
        <v>-138326737.52000001</v>
      </c>
      <c r="BD26" s="10">
        <v>-73503913.549999997</v>
      </c>
      <c r="BE26" s="10">
        <v>-334880557.62</v>
      </c>
      <c r="BF26" s="10">
        <v>-299863886.41000003</v>
      </c>
      <c r="BG26" s="10">
        <v>-201234233.88</v>
      </c>
      <c r="BH26" s="10">
        <v>-106650497.18000001</v>
      </c>
      <c r="BI26" s="10">
        <v>-471451921.25</v>
      </c>
      <c r="BJ26" s="10">
        <v>-264755471.34</v>
      </c>
      <c r="BK26" s="10">
        <v>-331691548.18000001</v>
      </c>
      <c r="BL26" s="10">
        <v>-1203369.21</v>
      </c>
      <c r="BM26" s="10">
        <v>-33823984.460000001</v>
      </c>
      <c r="BN26" s="10">
        <v>0</v>
      </c>
    </row>
    <row r="27" spans="1:66">
      <c r="A27" t="s">
        <v>29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</row>
    <row r="28" spans="1:66">
      <c r="A28" t="s">
        <v>30</v>
      </c>
      <c r="B28" s="10">
        <v>6000000</v>
      </c>
      <c r="C28" s="10">
        <v>6000000</v>
      </c>
      <c r="D28" s="10">
        <v>0</v>
      </c>
      <c r="E28" s="10">
        <v>16000000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34800000</v>
      </c>
      <c r="N28" s="10">
        <v>6000000</v>
      </c>
      <c r="O28" s="10">
        <v>0</v>
      </c>
      <c r="P28" s="10">
        <v>0</v>
      </c>
      <c r="Q28" s="10">
        <v>6000000</v>
      </c>
      <c r="R28" s="10">
        <v>0</v>
      </c>
      <c r="S28" s="10">
        <v>0</v>
      </c>
      <c r="T28" s="10">
        <v>0</v>
      </c>
      <c r="U28" s="10">
        <v>392000000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2016922206.52</v>
      </c>
      <c r="BL28" s="10">
        <v>0</v>
      </c>
      <c r="BM28" s="10">
        <v>500000</v>
      </c>
      <c r="BN28" s="10">
        <v>0</v>
      </c>
    </row>
    <row r="29" spans="1:66">
      <c r="A29" t="s">
        <v>31</v>
      </c>
      <c r="B29" s="10">
        <v>6000000</v>
      </c>
      <c r="C29" s="10">
        <v>6000000</v>
      </c>
      <c r="D29" s="10">
        <v>0</v>
      </c>
      <c r="E29" s="10">
        <v>16000000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34800000</v>
      </c>
      <c r="N29" s="10">
        <v>6000000</v>
      </c>
      <c r="O29" s="10">
        <v>0</v>
      </c>
      <c r="P29" s="10">
        <v>0</v>
      </c>
      <c r="Q29" s="10">
        <v>6000000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</row>
    <row r="30" spans="1:66">
      <c r="A30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67382607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129000000</v>
      </c>
      <c r="BN30" s="10">
        <v>0</v>
      </c>
    </row>
    <row r="31" spans="1:66">
      <c r="A31" t="s">
        <v>33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</row>
    <row r="32" spans="1:66">
      <c r="A32" t="s">
        <v>34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22000000</v>
      </c>
      <c r="J32" s="10">
        <v>22000000</v>
      </c>
      <c r="K32" s="10">
        <v>22000000</v>
      </c>
      <c r="L32" s="10">
        <v>22000000</v>
      </c>
      <c r="M32" s="10">
        <v>0</v>
      </c>
      <c r="N32" s="10">
        <v>0</v>
      </c>
      <c r="O32" s="10">
        <v>0</v>
      </c>
      <c r="P32" s="10">
        <v>0</v>
      </c>
      <c r="Q32" s="10">
        <v>17474.78</v>
      </c>
      <c r="R32" s="10">
        <v>17474.78</v>
      </c>
      <c r="S32" s="10">
        <v>17473.89</v>
      </c>
      <c r="T32" s="10">
        <v>13684.26</v>
      </c>
      <c r="U32" s="10">
        <v>89497.15</v>
      </c>
      <c r="V32" s="10">
        <v>67030.38</v>
      </c>
      <c r="W32" s="10">
        <v>43625.66</v>
      </c>
      <c r="X32" s="10">
        <v>21866.52</v>
      </c>
      <c r="Y32" s="10">
        <v>102972.37</v>
      </c>
      <c r="Z32" s="10">
        <v>76963.31</v>
      </c>
      <c r="AA32" s="10">
        <v>50701.919999999998</v>
      </c>
      <c r="AB32" s="10">
        <v>25385.15</v>
      </c>
      <c r="AC32" s="10">
        <v>105801.61</v>
      </c>
      <c r="AD32" s="10">
        <v>78665.2</v>
      </c>
      <c r="AE32" s="10">
        <v>57275.29</v>
      </c>
      <c r="AF32" s="10">
        <v>26891.3</v>
      </c>
      <c r="AG32" s="10">
        <v>158121.82</v>
      </c>
      <c r="AH32" s="10">
        <v>130941.18</v>
      </c>
      <c r="AI32" s="10">
        <v>87389.22</v>
      </c>
      <c r="AJ32" s="10">
        <v>42952.08</v>
      </c>
      <c r="AK32" s="10">
        <v>761176.07</v>
      </c>
      <c r="AL32" s="10">
        <v>684568.43</v>
      </c>
      <c r="AM32" s="10">
        <v>630430.56000000006</v>
      </c>
      <c r="AN32" s="10">
        <v>593163.85</v>
      </c>
      <c r="AO32" s="10">
        <v>1504621</v>
      </c>
      <c r="AP32" s="10">
        <v>280402.71999999997</v>
      </c>
      <c r="AQ32" s="10">
        <v>247996.59</v>
      </c>
      <c r="AR32" s="10">
        <v>213750</v>
      </c>
      <c r="AS32" s="10">
        <v>4146323.1</v>
      </c>
      <c r="AT32" s="10">
        <v>3910207.92</v>
      </c>
      <c r="AU32" s="10">
        <v>453219.79</v>
      </c>
      <c r="AV32" s="10">
        <v>1326877.8700000001</v>
      </c>
      <c r="AW32" s="10">
        <v>32502077.899999999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300000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</row>
    <row r="33" spans="1:66">
      <c r="A33" t="s">
        <v>35</v>
      </c>
      <c r="B33" s="10">
        <v>6000000</v>
      </c>
      <c r="C33" s="10">
        <v>6000000</v>
      </c>
      <c r="D33" s="10">
        <v>0</v>
      </c>
      <c r="E33" s="10">
        <v>16000000</v>
      </c>
      <c r="F33" s="10">
        <v>0</v>
      </c>
      <c r="G33" s="10">
        <v>0</v>
      </c>
      <c r="H33" s="10">
        <v>0</v>
      </c>
      <c r="I33" s="10">
        <v>22000000</v>
      </c>
      <c r="J33" s="10">
        <v>22000000</v>
      </c>
      <c r="K33" s="10">
        <v>22000000</v>
      </c>
      <c r="L33" s="10">
        <v>22000000</v>
      </c>
      <c r="M33" s="10">
        <v>102182607</v>
      </c>
      <c r="N33" s="10">
        <v>6000000</v>
      </c>
      <c r="O33" s="10">
        <v>0</v>
      </c>
      <c r="P33" s="10">
        <v>0</v>
      </c>
      <c r="Q33" s="10">
        <v>6017474.7800000003</v>
      </c>
      <c r="R33" s="10">
        <v>17474.78</v>
      </c>
      <c r="S33" s="10">
        <v>17473.89</v>
      </c>
      <c r="T33" s="10">
        <v>13684.26</v>
      </c>
      <c r="U33" s="10">
        <v>392089497.14999998</v>
      </c>
      <c r="V33" s="10">
        <v>67030.38</v>
      </c>
      <c r="W33" s="10">
        <v>43625.66</v>
      </c>
      <c r="X33" s="10">
        <v>21866.52</v>
      </c>
      <c r="Y33" s="10">
        <v>102972.37</v>
      </c>
      <c r="Z33" s="10">
        <v>76963.31</v>
      </c>
      <c r="AA33" s="10">
        <v>50701.919999999998</v>
      </c>
      <c r="AB33" s="10">
        <v>25385.15</v>
      </c>
      <c r="AC33" s="10">
        <v>105801.61</v>
      </c>
      <c r="AD33" s="10">
        <v>78665.2</v>
      </c>
      <c r="AE33" s="10">
        <v>57275.29</v>
      </c>
      <c r="AF33" s="10">
        <v>26891.3</v>
      </c>
      <c r="AG33" s="10">
        <v>158121.82</v>
      </c>
      <c r="AH33" s="10">
        <v>130941.18</v>
      </c>
      <c r="AI33" s="10">
        <v>87389.22</v>
      </c>
      <c r="AJ33" s="10">
        <v>42952.08</v>
      </c>
      <c r="AK33" s="10">
        <v>761176.07</v>
      </c>
      <c r="AL33" s="10">
        <v>684568.43</v>
      </c>
      <c r="AM33" s="10">
        <v>630430.56000000006</v>
      </c>
      <c r="AN33" s="10">
        <v>593163.85</v>
      </c>
      <c r="AO33" s="10">
        <v>1504621</v>
      </c>
      <c r="AP33" s="10">
        <v>280402.71999999997</v>
      </c>
      <c r="AQ33" s="10">
        <v>247996.59</v>
      </c>
      <c r="AR33" s="10">
        <v>213750</v>
      </c>
      <c r="AS33" s="10">
        <v>4146323.1</v>
      </c>
      <c r="AT33" s="10">
        <v>3910207.92</v>
      </c>
      <c r="AU33" s="10">
        <v>453219.79</v>
      </c>
      <c r="AV33" s="10">
        <v>1326877.8700000001</v>
      </c>
      <c r="AW33" s="10">
        <v>32502077.899999999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300000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2016922206.52</v>
      </c>
      <c r="BL33" s="10">
        <v>0</v>
      </c>
      <c r="BM33" s="10">
        <v>129500000</v>
      </c>
      <c r="BN33" s="10">
        <v>0</v>
      </c>
    </row>
    <row r="34" spans="1:66">
      <c r="A34" t="s">
        <v>36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55917672</v>
      </c>
      <c r="J34" s="10">
        <v>55917672</v>
      </c>
      <c r="K34" s="10">
        <v>55917672</v>
      </c>
      <c r="L34" s="10">
        <v>55917672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191703825.81999999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129000000</v>
      </c>
      <c r="BL34" s="10">
        <v>0</v>
      </c>
      <c r="BM34" s="10">
        <v>174460000</v>
      </c>
      <c r="BN34" s="10">
        <v>0</v>
      </c>
    </row>
    <row r="35" spans="1:66">
      <c r="A35" t="s">
        <v>37</v>
      </c>
      <c r="B35" s="10">
        <v>8899177880.7999992</v>
      </c>
      <c r="C35" s="10">
        <v>370000000</v>
      </c>
      <c r="D35" s="10">
        <v>0</v>
      </c>
      <c r="E35" s="10">
        <v>8350512252.2299995</v>
      </c>
      <c r="F35" s="10">
        <v>8284063910.3500004</v>
      </c>
      <c r="G35" s="10">
        <v>3283073780.9899998</v>
      </c>
      <c r="H35" s="10">
        <v>508507286.54000002</v>
      </c>
      <c r="I35" s="10">
        <v>5554101966.6099997</v>
      </c>
      <c r="J35" s="10">
        <v>5553637709.5200005</v>
      </c>
      <c r="K35" s="10">
        <v>1024784.67</v>
      </c>
      <c r="L35" s="10">
        <v>724180.91</v>
      </c>
      <c r="M35" s="10">
        <v>5121609336.3299999</v>
      </c>
      <c r="N35" s="10">
        <v>5105391867.6199999</v>
      </c>
      <c r="O35" s="10">
        <v>5105391867.6199999</v>
      </c>
      <c r="P35" s="10">
        <v>0</v>
      </c>
      <c r="Q35" s="10">
        <v>7391988549.25</v>
      </c>
      <c r="R35" s="10">
        <v>7344321193.6800003</v>
      </c>
      <c r="S35" s="10">
        <v>6790411128.3500004</v>
      </c>
      <c r="T35" s="10">
        <v>98394544.209999993</v>
      </c>
      <c r="U35" s="10">
        <v>4306614120</v>
      </c>
      <c r="V35" s="10">
        <v>4110925664.02</v>
      </c>
      <c r="W35" s="10">
        <v>55214748</v>
      </c>
      <c r="X35" s="10">
        <v>52964748</v>
      </c>
      <c r="Y35" s="10">
        <v>2661953339.2399998</v>
      </c>
      <c r="Z35" s="10">
        <v>2429511457.9699998</v>
      </c>
      <c r="AA35" s="10">
        <v>220246678.33000001</v>
      </c>
      <c r="AB35" s="10">
        <v>0</v>
      </c>
      <c r="AC35" s="10">
        <v>1292951032.4100001</v>
      </c>
      <c r="AD35" s="10">
        <v>1254519392.24</v>
      </c>
      <c r="AE35" s="10">
        <v>139457662.62</v>
      </c>
      <c r="AF35" s="10">
        <v>137207662.62</v>
      </c>
      <c r="AG35" s="10">
        <v>1235143869.0999999</v>
      </c>
      <c r="AH35" s="10">
        <v>1234693813.5999999</v>
      </c>
      <c r="AI35" s="10">
        <v>174251384.72999999</v>
      </c>
      <c r="AJ35" s="10">
        <v>1800000</v>
      </c>
      <c r="AK35" s="10">
        <v>884671434.63</v>
      </c>
      <c r="AL35" s="10">
        <v>769284456.96000004</v>
      </c>
      <c r="AM35" s="10">
        <v>766485126.00999999</v>
      </c>
      <c r="AN35" s="10">
        <v>0</v>
      </c>
      <c r="AO35" s="10">
        <v>706866028.20000005</v>
      </c>
      <c r="AP35" s="10">
        <v>706791456.46000004</v>
      </c>
      <c r="AQ35" s="10">
        <v>900000</v>
      </c>
      <c r="AR35" s="10">
        <v>-166334.65</v>
      </c>
      <c r="AS35" s="10">
        <v>760139114.39999998</v>
      </c>
      <c r="AT35" s="10">
        <v>757807440.14999998</v>
      </c>
      <c r="AU35" s="10">
        <v>756269723.23000002</v>
      </c>
      <c r="AV35" s="10">
        <v>34997836.479999997</v>
      </c>
      <c r="AW35" s="10">
        <v>0</v>
      </c>
      <c r="AX35" s="10">
        <v>176408943</v>
      </c>
      <c r="AY35" s="10">
        <v>27037107.960000001</v>
      </c>
      <c r="AZ35" s="10">
        <v>13693935.66</v>
      </c>
      <c r="BA35" s="10">
        <v>62314427.450000003</v>
      </c>
      <c r="BB35" s="10">
        <v>65242641.060000002</v>
      </c>
      <c r="BC35" s="10">
        <v>-9054041.3900000006</v>
      </c>
      <c r="BD35" s="10">
        <v>-5959082.6799999997</v>
      </c>
      <c r="BE35" s="10">
        <v>47385988.25</v>
      </c>
      <c r="BF35" s="10">
        <v>51029499.060000002</v>
      </c>
      <c r="BG35" s="10">
        <v>8858203.8399999999</v>
      </c>
      <c r="BH35" s="10">
        <v>-2188358.4300000002</v>
      </c>
      <c r="BI35" s="10">
        <v>139259336.87</v>
      </c>
      <c r="BJ35" s="10">
        <v>-2240036.12</v>
      </c>
      <c r="BK35" s="10">
        <v>103060709.05</v>
      </c>
      <c r="BL35" s="10">
        <v>0</v>
      </c>
      <c r="BM35" s="10">
        <v>101747692.88</v>
      </c>
      <c r="BN35" s="10">
        <v>0</v>
      </c>
    </row>
    <row r="36" spans="1:66">
      <c r="A36" t="s">
        <v>38</v>
      </c>
      <c r="B36" s="10">
        <v>373363405.61000001</v>
      </c>
      <c r="C36" s="10">
        <v>370000000</v>
      </c>
      <c r="D36" s="10">
        <v>0</v>
      </c>
      <c r="E36" s="10">
        <v>532067286.55000001</v>
      </c>
      <c r="F36" s="10">
        <v>532067286.54000002</v>
      </c>
      <c r="G36" s="10">
        <v>508507286.54000002</v>
      </c>
      <c r="H36" s="10">
        <v>508507286.54000002</v>
      </c>
      <c r="I36" s="10">
        <v>513009332.72000003</v>
      </c>
      <c r="J36" s="10">
        <v>0</v>
      </c>
      <c r="K36" s="10">
        <v>0</v>
      </c>
      <c r="L36" s="10">
        <v>0</v>
      </c>
      <c r="M36" s="10">
        <v>580094577.97000003</v>
      </c>
      <c r="N36" s="10">
        <v>0</v>
      </c>
      <c r="O36" s="10">
        <v>0</v>
      </c>
      <c r="P36" s="10">
        <v>0</v>
      </c>
      <c r="Q36" s="10">
        <v>631766584.82000005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42665714.490000002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</row>
    <row r="37" spans="1:66">
      <c r="A37" t="s">
        <v>39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22000000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14063.7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37060123.060000002</v>
      </c>
      <c r="BM37" s="10">
        <v>0</v>
      </c>
      <c r="BN37" s="10">
        <v>0</v>
      </c>
    </row>
    <row r="38" spans="1:66">
      <c r="A38" t="s">
        <v>40</v>
      </c>
      <c r="B38" s="10">
        <v>8899177880.7999992</v>
      </c>
      <c r="C38" s="10">
        <v>370000000</v>
      </c>
      <c r="D38" s="10">
        <v>0</v>
      </c>
      <c r="E38" s="10">
        <v>8350512252.2299995</v>
      </c>
      <c r="F38" s="10">
        <v>8284063910.3500004</v>
      </c>
      <c r="G38" s="10">
        <v>3283073780.9899998</v>
      </c>
      <c r="H38" s="10">
        <v>508507286.54000002</v>
      </c>
      <c r="I38" s="10">
        <v>5610019638.6099997</v>
      </c>
      <c r="J38" s="10">
        <v>5609555381.5200005</v>
      </c>
      <c r="K38" s="10">
        <v>56942456.670000002</v>
      </c>
      <c r="L38" s="10">
        <v>56641852.909999996</v>
      </c>
      <c r="M38" s="10">
        <v>5143609336.3299999</v>
      </c>
      <c r="N38" s="10">
        <v>5105391867.6199999</v>
      </c>
      <c r="O38" s="10">
        <v>5105391867.6199999</v>
      </c>
      <c r="P38" s="10">
        <v>0</v>
      </c>
      <c r="Q38" s="10">
        <v>7391988549.25</v>
      </c>
      <c r="R38" s="10">
        <v>7344321193.6800003</v>
      </c>
      <c r="S38" s="10">
        <v>6790411128.3500004</v>
      </c>
      <c r="T38" s="10">
        <v>98394544.209999993</v>
      </c>
      <c r="U38" s="10">
        <v>4306614120</v>
      </c>
      <c r="V38" s="10">
        <v>4110925664.02</v>
      </c>
      <c r="W38" s="10">
        <v>55214748</v>
      </c>
      <c r="X38" s="10">
        <v>52964748</v>
      </c>
      <c r="Y38" s="10">
        <v>2661953339.2399998</v>
      </c>
      <c r="Z38" s="10">
        <v>2429511457.9699998</v>
      </c>
      <c r="AA38" s="10">
        <v>220246678.33000001</v>
      </c>
      <c r="AB38" s="10">
        <v>0</v>
      </c>
      <c r="AC38" s="10">
        <v>1292951032.4100001</v>
      </c>
      <c r="AD38" s="10">
        <v>1254519392.24</v>
      </c>
      <c r="AE38" s="10">
        <v>139457662.62</v>
      </c>
      <c r="AF38" s="10">
        <v>137207662.62</v>
      </c>
      <c r="AG38" s="10">
        <v>1235143869.0999999</v>
      </c>
      <c r="AH38" s="10">
        <v>1234693813.5999999</v>
      </c>
      <c r="AI38" s="10">
        <v>174251384.72999999</v>
      </c>
      <c r="AJ38" s="10">
        <v>1800000</v>
      </c>
      <c r="AK38" s="10">
        <v>884671434.63</v>
      </c>
      <c r="AL38" s="10">
        <v>769284456.96000004</v>
      </c>
      <c r="AM38" s="10">
        <v>766485126.00999999</v>
      </c>
      <c r="AN38" s="10">
        <v>0</v>
      </c>
      <c r="AO38" s="10">
        <v>706866028.20000005</v>
      </c>
      <c r="AP38" s="10">
        <v>706791456.46000004</v>
      </c>
      <c r="AQ38" s="10">
        <v>914063.7</v>
      </c>
      <c r="AR38" s="10">
        <v>-166334.65</v>
      </c>
      <c r="AS38" s="10">
        <v>760139114.39999998</v>
      </c>
      <c r="AT38" s="10">
        <v>757807440.14999998</v>
      </c>
      <c r="AU38" s="10">
        <v>756269723.23000002</v>
      </c>
      <c r="AV38" s="10">
        <v>34997836.479999997</v>
      </c>
      <c r="AW38" s="10">
        <v>191703825.81999999</v>
      </c>
      <c r="AX38" s="10">
        <v>176408943</v>
      </c>
      <c r="AY38" s="10">
        <v>27037107.960000001</v>
      </c>
      <c r="AZ38" s="10">
        <v>13693935.66</v>
      </c>
      <c r="BA38" s="10">
        <v>62314427.450000003</v>
      </c>
      <c r="BB38" s="10">
        <v>65242641.060000002</v>
      </c>
      <c r="BC38" s="10">
        <v>-9054041.3900000006</v>
      </c>
      <c r="BD38" s="10">
        <v>-5959082.6799999997</v>
      </c>
      <c r="BE38" s="10">
        <v>47385988.25</v>
      </c>
      <c r="BF38" s="10">
        <v>51029499.060000002</v>
      </c>
      <c r="BG38" s="10">
        <v>8858203.8399999999</v>
      </c>
      <c r="BH38" s="10">
        <v>-2188358.4300000002</v>
      </c>
      <c r="BI38" s="10">
        <v>139259336.87</v>
      </c>
      <c r="BJ38" s="10">
        <v>-2240036.12</v>
      </c>
      <c r="BK38" s="10">
        <v>232060709.05000001</v>
      </c>
      <c r="BL38" s="10">
        <v>37060123.060000002</v>
      </c>
      <c r="BM38" s="10">
        <v>276207692.88</v>
      </c>
      <c r="BN38" s="10">
        <v>0</v>
      </c>
    </row>
    <row r="39" spans="1:66">
      <c r="A39" t="s">
        <v>41</v>
      </c>
      <c r="B39" s="10">
        <v>-8893177880.7999992</v>
      </c>
      <c r="C39" s="10">
        <v>-364000000</v>
      </c>
      <c r="D39" s="10">
        <v>0</v>
      </c>
      <c r="E39" s="10">
        <v>-8334512252.2299995</v>
      </c>
      <c r="F39" s="10">
        <v>-8284063910.3500004</v>
      </c>
      <c r="G39" s="10">
        <v>-3283073780.9899998</v>
      </c>
      <c r="H39" s="10">
        <v>-508507286.54000002</v>
      </c>
      <c r="I39" s="10">
        <v>-5588019638.6099997</v>
      </c>
      <c r="J39" s="10">
        <v>-5587555381.5200005</v>
      </c>
      <c r="K39" s="10">
        <v>-34942456.670000002</v>
      </c>
      <c r="L39" s="10">
        <v>-34641852.909999996</v>
      </c>
      <c r="M39" s="10">
        <v>-5041426729.3299999</v>
      </c>
      <c r="N39" s="10">
        <v>-5099391867.6199999</v>
      </c>
      <c r="O39" s="10">
        <v>-5105391867.6199999</v>
      </c>
      <c r="P39" s="10">
        <v>0</v>
      </c>
      <c r="Q39" s="10">
        <v>-7385971074.4700003</v>
      </c>
      <c r="R39" s="10">
        <v>-7344303718.8999996</v>
      </c>
      <c r="S39" s="10">
        <v>-6790393654.46</v>
      </c>
      <c r="T39" s="10">
        <v>-98380859.950000003</v>
      </c>
      <c r="U39" s="10">
        <v>-3914524622.8499999</v>
      </c>
      <c r="V39" s="10">
        <v>-4110858633.6399999</v>
      </c>
      <c r="W39" s="10">
        <v>-55171122.340000004</v>
      </c>
      <c r="X39" s="10">
        <v>-52942881.479999997</v>
      </c>
      <c r="Y39" s="10">
        <v>-2661850366.8699999</v>
      </c>
      <c r="Z39" s="10">
        <v>-2429434494.6599998</v>
      </c>
      <c r="AA39" s="10">
        <v>-220195976.41</v>
      </c>
      <c r="AB39" s="10">
        <v>25385.15</v>
      </c>
      <c r="AC39" s="10">
        <v>-1292845230.8</v>
      </c>
      <c r="AD39" s="10">
        <v>-1254440727.04</v>
      </c>
      <c r="AE39" s="10">
        <v>-139400387.33000001</v>
      </c>
      <c r="AF39" s="10">
        <v>-137180771.31999999</v>
      </c>
      <c r="AG39" s="10">
        <v>-1234985747.28</v>
      </c>
      <c r="AH39" s="10">
        <v>-1234562872.4200001</v>
      </c>
      <c r="AI39" s="10">
        <v>-174163995.50999999</v>
      </c>
      <c r="AJ39" s="10">
        <v>-1757047.92</v>
      </c>
      <c r="AK39" s="10">
        <v>-883910258.55999994</v>
      </c>
      <c r="AL39" s="10">
        <v>-768599888.52999997</v>
      </c>
      <c r="AM39" s="10">
        <v>-765854695.45000005</v>
      </c>
      <c r="AN39" s="10">
        <v>593163.85</v>
      </c>
      <c r="AO39" s="10">
        <v>-705361407.20000005</v>
      </c>
      <c r="AP39" s="10">
        <v>-706511053.74000001</v>
      </c>
      <c r="AQ39" s="10">
        <v>-666067.11</v>
      </c>
      <c r="AR39" s="10">
        <v>380084.65</v>
      </c>
      <c r="AS39" s="10">
        <v>-755992791.29999995</v>
      </c>
      <c r="AT39" s="10">
        <v>-753897232.23000002</v>
      </c>
      <c r="AU39" s="10">
        <v>-755816503.44000006</v>
      </c>
      <c r="AV39" s="10">
        <v>-33670958.609999999</v>
      </c>
      <c r="AW39" s="10">
        <v>-159201747.91999999</v>
      </c>
      <c r="AX39" s="10">
        <v>-176408943</v>
      </c>
      <c r="AY39" s="10">
        <v>-27037107.960000001</v>
      </c>
      <c r="AZ39" s="10">
        <v>-13693935.66</v>
      </c>
      <c r="BA39" s="10">
        <v>-62314427.450000003</v>
      </c>
      <c r="BB39" s="10">
        <v>-65242641.060000002</v>
      </c>
      <c r="BC39" s="10">
        <v>9054041.3900000006</v>
      </c>
      <c r="BD39" s="10">
        <v>5959082.6799999997</v>
      </c>
      <c r="BE39" s="10">
        <v>-47085988.25</v>
      </c>
      <c r="BF39" s="10">
        <v>-51029499.060000002</v>
      </c>
      <c r="BG39" s="10">
        <v>-8858203.8399999999</v>
      </c>
      <c r="BH39" s="10">
        <v>2188358.4300000002</v>
      </c>
      <c r="BI39" s="10">
        <v>-139259336.87</v>
      </c>
      <c r="BJ39" s="10">
        <v>2240036.12</v>
      </c>
      <c r="BK39" s="10">
        <v>1784861497.47</v>
      </c>
      <c r="BL39" s="10">
        <v>-37060123.060000002</v>
      </c>
      <c r="BM39" s="10">
        <v>-146707692.88</v>
      </c>
      <c r="BN39" s="10">
        <v>0</v>
      </c>
    </row>
    <row r="40" spans="1:66">
      <c r="A40" t="s">
        <v>42</v>
      </c>
      <c r="B40" s="10">
        <v>80097.42</v>
      </c>
      <c r="C40" s="10">
        <v>68369.3</v>
      </c>
      <c r="D40" s="10">
        <v>10268.61</v>
      </c>
      <c r="E40" s="10">
        <v>72317.8</v>
      </c>
      <c r="F40" s="10">
        <v>129834.15</v>
      </c>
      <c r="G40" s="10">
        <v>92483.7</v>
      </c>
      <c r="H40" s="10">
        <v>88199.83</v>
      </c>
      <c r="I40" s="10">
        <v>-16273531.710000001</v>
      </c>
      <c r="J40" s="10">
        <v>-16228116.08</v>
      </c>
      <c r="K40" s="10">
        <v>-16360583.76</v>
      </c>
      <c r="L40" s="10">
        <v>-16492948.4</v>
      </c>
      <c r="M40" s="10">
        <v>-5449166.9900000002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</row>
    <row r="41" spans="1:66">
      <c r="A41" t="s">
        <v>94</v>
      </c>
      <c r="B41" s="10">
        <v>13145894201.459999</v>
      </c>
      <c r="C41" s="10">
        <v>6100740166.4899998</v>
      </c>
      <c r="D41" s="10">
        <v>5808645673.0600004</v>
      </c>
      <c r="E41" s="10">
        <v>28014308908.419998</v>
      </c>
      <c r="F41" s="10">
        <v>23477911166.369999</v>
      </c>
      <c r="G41" s="10">
        <v>9765473139.1499996</v>
      </c>
      <c r="H41" s="10">
        <v>6506279932.4399996</v>
      </c>
      <c r="I41" s="10">
        <v>9783256706.8099995</v>
      </c>
      <c r="J41" s="10">
        <v>4036615306.4200001</v>
      </c>
      <c r="K41" s="10">
        <v>3559669892.8499999</v>
      </c>
      <c r="L41" s="10">
        <v>1206453559.5599999</v>
      </c>
      <c r="M41" s="10">
        <v>3005486960.0900002</v>
      </c>
      <c r="N41" s="10">
        <v>-1294914472.0799999</v>
      </c>
      <c r="O41" s="10">
        <v>-3815403652.5999999</v>
      </c>
      <c r="P41" s="10">
        <v>-1910903003.76</v>
      </c>
      <c r="Q41" s="10">
        <v>-70257612.5</v>
      </c>
      <c r="R41" s="10">
        <v>-1936705900.6700001</v>
      </c>
      <c r="S41" s="10">
        <v>-3956952620.0700002</v>
      </c>
      <c r="T41" s="10">
        <v>-326765153.19999999</v>
      </c>
      <c r="U41" s="10">
        <v>3807309688.1300001</v>
      </c>
      <c r="V41" s="10">
        <v>435342812.01999998</v>
      </c>
      <c r="W41" s="10">
        <v>2727168948.7199998</v>
      </c>
      <c r="X41" s="10">
        <v>596736876.62</v>
      </c>
      <c r="Y41" s="10">
        <v>5366296272.75</v>
      </c>
      <c r="Z41" s="10">
        <v>5399932368.7799997</v>
      </c>
      <c r="AA41" s="10">
        <v>4403293489.2299995</v>
      </c>
      <c r="AB41" s="10">
        <v>3110095533.4699998</v>
      </c>
      <c r="AC41" s="10">
        <v>3145241734.0500002</v>
      </c>
      <c r="AD41" s="10">
        <v>1283517422.1800001</v>
      </c>
      <c r="AE41" s="10">
        <v>525709432.19999999</v>
      </c>
      <c r="AF41" s="10">
        <v>237283028.33000001</v>
      </c>
      <c r="AG41" s="10">
        <v>1649430264.0799999</v>
      </c>
      <c r="AH41" s="10">
        <v>-198441328.36000001</v>
      </c>
      <c r="AI41" s="10">
        <v>-297913519.94999999</v>
      </c>
      <c r="AJ41" s="10">
        <v>-431400759.86000001</v>
      </c>
      <c r="AK41" s="10">
        <v>3371015591.1399999</v>
      </c>
      <c r="AL41" s="10">
        <v>1679309494.52</v>
      </c>
      <c r="AM41" s="10">
        <v>343165530.77999997</v>
      </c>
      <c r="AN41" s="10">
        <v>841737019.26999998</v>
      </c>
      <c r="AO41" s="10">
        <v>248485151.69</v>
      </c>
      <c r="AP41" s="10">
        <v>279164388.01999998</v>
      </c>
      <c r="AQ41" s="10">
        <v>335643907.82999998</v>
      </c>
      <c r="AR41" s="10">
        <v>181264332.96000001</v>
      </c>
      <c r="AS41" s="10">
        <v>571108605.11000001</v>
      </c>
      <c r="AT41" s="10">
        <v>191918354.81</v>
      </c>
      <c r="AU41" s="10">
        <v>-472889512.87</v>
      </c>
      <c r="AV41" s="10">
        <v>83718753.349999994</v>
      </c>
      <c r="AW41" s="10">
        <v>993662014.67999995</v>
      </c>
      <c r="AX41" s="10">
        <v>318679857.89999998</v>
      </c>
      <c r="AY41" s="10">
        <v>166887351.34</v>
      </c>
      <c r="AZ41" s="10">
        <v>126597922.53</v>
      </c>
      <c r="BA41" s="10">
        <v>558280032</v>
      </c>
      <c r="BB41" s="10">
        <v>79241579.609999999</v>
      </c>
      <c r="BC41" s="10">
        <v>-167257230.25999999</v>
      </c>
      <c r="BD41" s="10">
        <v>-248928202.74000001</v>
      </c>
      <c r="BE41" s="10">
        <v>559739696.21000004</v>
      </c>
      <c r="BF41" s="10">
        <v>88485273.069999993</v>
      </c>
      <c r="BG41" s="10">
        <v>-244058375</v>
      </c>
      <c r="BH41" s="10">
        <v>-95349952.079999998</v>
      </c>
      <c r="BI41" s="10">
        <v>-176128879.46000001</v>
      </c>
      <c r="BJ41" s="10">
        <v>-442636280.26999998</v>
      </c>
      <c r="BK41" s="10">
        <v>1495452986.6400001</v>
      </c>
      <c r="BL41" s="10">
        <v>-124544369.95999999</v>
      </c>
      <c r="BM41" s="10">
        <v>262592968.34</v>
      </c>
      <c r="BN41" s="10">
        <v>0</v>
      </c>
    </row>
    <row r="42" spans="1:66">
      <c r="A42" t="s">
        <v>43</v>
      </c>
      <c r="B42" s="10">
        <v>62794794812.989998</v>
      </c>
      <c r="C42" s="10">
        <v>62794794812.989998</v>
      </c>
      <c r="D42" s="10">
        <v>62794794812.989998</v>
      </c>
      <c r="E42" s="10">
        <v>34780485904.57</v>
      </c>
      <c r="F42" s="10">
        <v>34780485904.57</v>
      </c>
      <c r="G42" s="10">
        <v>34780485904.57</v>
      </c>
      <c r="H42" s="10">
        <v>34780485904.57</v>
      </c>
      <c r="I42" s="10">
        <v>24997229197.759998</v>
      </c>
      <c r="J42" s="10">
        <v>24997229197.759998</v>
      </c>
      <c r="K42" s="10">
        <v>24997229197.759998</v>
      </c>
      <c r="L42" s="10">
        <v>24997229197.759998</v>
      </c>
      <c r="M42" s="10">
        <v>21991742237.669998</v>
      </c>
      <c r="N42" s="10">
        <v>21991742237.669998</v>
      </c>
      <c r="O42" s="10">
        <v>21991742237.669998</v>
      </c>
      <c r="P42" s="10">
        <v>21991742237.669998</v>
      </c>
      <c r="Q42" s="10">
        <v>22061999850.169998</v>
      </c>
      <c r="R42" s="10">
        <v>22061999850.169998</v>
      </c>
      <c r="S42" s="10">
        <v>22061999850.169998</v>
      </c>
      <c r="T42" s="10">
        <v>22061999850.169998</v>
      </c>
      <c r="U42" s="10">
        <v>18254690162.040001</v>
      </c>
      <c r="V42" s="10">
        <v>18254690162.040001</v>
      </c>
      <c r="W42" s="10">
        <v>18254690162.040001</v>
      </c>
      <c r="X42" s="10">
        <v>18254690162.040001</v>
      </c>
      <c r="Y42" s="10">
        <v>12888393889.290001</v>
      </c>
      <c r="Z42" s="10">
        <v>12888393889.290001</v>
      </c>
      <c r="AA42" s="10">
        <v>12888393889.290001</v>
      </c>
      <c r="AB42" s="10">
        <v>12888393889.290001</v>
      </c>
      <c r="AC42" s="10">
        <v>9743152155.2399998</v>
      </c>
      <c r="AD42" s="10">
        <v>9743152155.2399998</v>
      </c>
      <c r="AE42" s="10">
        <v>9743152155.2399998</v>
      </c>
      <c r="AF42" s="10">
        <v>9743152155.2399998</v>
      </c>
      <c r="AG42" s="10">
        <v>8093721891.1599998</v>
      </c>
      <c r="AH42" s="10">
        <v>8093721891.1599998</v>
      </c>
      <c r="AI42" s="10">
        <v>8093721891.1599998</v>
      </c>
      <c r="AJ42" s="10">
        <v>8093721891.1599998</v>
      </c>
      <c r="AK42" s="10">
        <v>4722706300.0200005</v>
      </c>
      <c r="AL42" s="10">
        <v>4722706300.0200005</v>
      </c>
      <c r="AM42" s="10">
        <v>4722706300.0200005</v>
      </c>
      <c r="AN42" s="10">
        <v>4722706300.0200005</v>
      </c>
      <c r="AO42" s="10">
        <v>4474221148.3299999</v>
      </c>
      <c r="AP42" s="10">
        <v>4474221148.3299999</v>
      </c>
      <c r="AQ42" s="10">
        <v>4474221148.3299999</v>
      </c>
      <c r="AR42" s="10">
        <v>1697004107.01</v>
      </c>
      <c r="AS42" s="10">
        <v>3891989433.5300002</v>
      </c>
      <c r="AT42" s="10">
        <v>3891989433.5300002</v>
      </c>
      <c r="AU42" s="10">
        <v>3891989433.5300002</v>
      </c>
      <c r="AV42" s="10">
        <v>3891989433.5300002</v>
      </c>
      <c r="AW42" s="10">
        <v>2898327418.8499999</v>
      </c>
      <c r="AX42" s="10">
        <v>2898327418.8499999</v>
      </c>
      <c r="AY42" s="10">
        <v>2898327418.8499999</v>
      </c>
      <c r="AZ42" s="10">
        <v>2898327418.8499999</v>
      </c>
      <c r="BA42" s="10">
        <v>2340047386.8499999</v>
      </c>
      <c r="BB42" s="10">
        <v>2340047386.8499999</v>
      </c>
      <c r="BC42" s="10">
        <v>2340047386.8499999</v>
      </c>
      <c r="BD42" s="10">
        <v>2340258782.8499999</v>
      </c>
      <c r="BE42" s="10">
        <v>1780307690.6400001</v>
      </c>
      <c r="BF42" s="10">
        <v>1780307690.6400001</v>
      </c>
      <c r="BG42" s="10">
        <v>1780307690.6400001</v>
      </c>
      <c r="BH42" s="10">
        <v>1780307690.6400001</v>
      </c>
      <c r="BI42" s="10">
        <v>1956436570.0999999</v>
      </c>
      <c r="BJ42" s="10">
        <v>1956436570.0999999</v>
      </c>
      <c r="BK42" s="10">
        <v>460983583.45999998</v>
      </c>
      <c r="BL42" s="10">
        <v>0</v>
      </c>
      <c r="BM42" s="10">
        <v>198390615.12</v>
      </c>
      <c r="BN42" s="10">
        <v>0</v>
      </c>
    </row>
    <row r="43" spans="1:66">
      <c r="A43" t="s">
        <v>44</v>
      </c>
      <c r="B43" s="10">
        <v>75940689014.449997</v>
      </c>
      <c r="C43" s="10">
        <v>68895534979.479996</v>
      </c>
      <c r="D43" s="10">
        <v>68603440486.050003</v>
      </c>
      <c r="E43" s="10">
        <v>62794794812.989998</v>
      </c>
      <c r="F43" s="10">
        <v>58258397070.940002</v>
      </c>
      <c r="G43" s="10">
        <v>44545959043.720001</v>
      </c>
      <c r="H43" s="10">
        <v>41286765837.010002</v>
      </c>
      <c r="I43" s="10">
        <v>34780485904.57</v>
      </c>
      <c r="J43" s="10">
        <v>29033844504.18</v>
      </c>
      <c r="K43" s="10">
        <v>28556899090.610001</v>
      </c>
      <c r="L43" s="10">
        <v>26203682757.32</v>
      </c>
      <c r="M43" s="10">
        <v>24997229197.759998</v>
      </c>
      <c r="N43" s="10">
        <v>20696827765.59</v>
      </c>
      <c r="O43" s="10">
        <v>18176338585.07</v>
      </c>
      <c r="P43" s="10">
        <v>20080839233.91</v>
      </c>
      <c r="Q43" s="10">
        <v>21991742237.669998</v>
      </c>
      <c r="R43" s="10">
        <v>20125293949.5</v>
      </c>
      <c r="S43" s="10">
        <v>18105047230.099998</v>
      </c>
      <c r="T43" s="10">
        <v>21735234696.970001</v>
      </c>
      <c r="U43" s="10">
        <v>22061999850.169998</v>
      </c>
      <c r="V43" s="10">
        <v>18690032974.060001</v>
      </c>
      <c r="W43" s="10">
        <v>20981859110.759998</v>
      </c>
      <c r="X43" s="10">
        <v>18851427038.66</v>
      </c>
      <c r="Y43" s="10">
        <v>18254690162.040001</v>
      </c>
      <c r="Z43" s="10">
        <v>18288326258.07</v>
      </c>
      <c r="AA43" s="10">
        <v>17291687378.52</v>
      </c>
      <c r="AB43" s="10">
        <v>15998489422.76</v>
      </c>
      <c r="AC43" s="10">
        <v>12888393889.290001</v>
      </c>
      <c r="AD43" s="10">
        <v>11026669577.42</v>
      </c>
      <c r="AE43" s="10">
        <v>10268861587.440001</v>
      </c>
      <c r="AF43" s="10">
        <v>9980435183.5699997</v>
      </c>
      <c r="AG43" s="10">
        <v>9743152155.2399998</v>
      </c>
      <c r="AH43" s="10">
        <v>7895280562.8000002</v>
      </c>
      <c r="AI43" s="10">
        <v>7795808371.21</v>
      </c>
      <c r="AJ43" s="10">
        <v>7662321131.3000002</v>
      </c>
      <c r="AK43" s="10">
        <v>8093721891.1599998</v>
      </c>
      <c r="AL43" s="10">
        <v>6402015794.54</v>
      </c>
      <c r="AM43" s="10">
        <v>5065871830.8000002</v>
      </c>
      <c r="AN43" s="10">
        <v>5564443319.29</v>
      </c>
      <c r="AO43" s="10">
        <v>4722706300.0200005</v>
      </c>
      <c r="AP43" s="10">
        <v>4753385536.3500004</v>
      </c>
      <c r="AQ43" s="10">
        <v>4809865056.1599998</v>
      </c>
      <c r="AR43" s="10">
        <v>1878268439.97</v>
      </c>
      <c r="AS43" s="10">
        <v>4463098038.6400003</v>
      </c>
      <c r="AT43" s="10">
        <v>4083907788.3400002</v>
      </c>
      <c r="AU43" s="10">
        <v>3419099920.6599998</v>
      </c>
      <c r="AV43" s="10">
        <v>3975708186.8800001</v>
      </c>
      <c r="AW43" s="10">
        <v>3891989433.5300002</v>
      </c>
      <c r="AX43" s="10">
        <v>3217007276.75</v>
      </c>
      <c r="AY43" s="10">
        <v>3065214770.1900001</v>
      </c>
      <c r="AZ43" s="10">
        <v>3024925341.3800001</v>
      </c>
      <c r="BA43" s="10">
        <v>2898327418.8499999</v>
      </c>
      <c r="BB43" s="10">
        <v>2419288966.46</v>
      </c>
      <c r="BC43" s="10">
        <v>2172790156.5900002</v>
      </c>
      <c r="BD43" s="10">
        <v>2091330580.1099999</v>
      </c>
      <c r="BE43" s="10">
        <v>2340045386.8499999</v>
      </c>
      <c r="BF43" s="10">
        <v>1868792963.71</v>
      </c>
      <c r="BG43" s="10">
        <v>1536249315.6400001</v>
      </c>
      <c r="BH43" s="10">
        <v>1684957738.5599999</v>
      </c>
      <c r="BI43" s="10">
        <v>1780307690.6400001</v>
      </c>
      <c r="BJ43" s="10">
        <v>1513800289.8299999</v>
      </c>
      <c r="BK43" s="10">
        <v>1956436570.0999999</v>
      </c>
      <c r="BL43" s="10">
        <v>0</v>
      </c>
      <c r="BM43" s="10">
        <v>460983583.45999998</v>
      </c>
      <c r="BN43" s="10">
        <v>0</v>
      </c>
    </row>
    <row r="44" spans="1:66">
      <c r="A44" t="s">
        <v>45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1:66">
      <c r="A45" t="s">
        <v>46</v>
      </c>
      <c r="B45" s="10">
        <v>0</v>
      </c>
      <c r="C45" s="10">
        <v>12044438696.030001</v>
      </c>
      <c r="D45" s="10">
        <v>0</v>
      </c>
      <c r="E45" s="10">
        <v>17930643109.880001</v>
      </c>
      <c r="F45" s="10">
        <v>0</v>
      </c>
      <c r="G45" s="10">
        <v>9377202963.1499996</v>
      </c>
      <c r="H45" s="10">
        <v>0</v>
      </c>
      <c r="I45" s="10">
        <v>16454996625.219999</v>
      </c>
      <c r="J45" s="10">
        <v>0</v>
      </c>
      <c r="K45" s="10">
        <v>8364520508.6099997</v>
      </c>
      <c r="L45" s="10">
        <v>0</v>
      </c>
      <c r="M45" s="10">
        <v>16269371509.83</v>
      </c>
      <c r="N45" s="10">
        <v>0</v>
      </c>
      <c r="O45" s="10">
        <v>7664538017.5900002</v>
      </c>
      <c r="P45" s="10">
        <v>0</v>
      </c>
      <c r="Q45" s="10">
        <v>15964899881.049999</v>
      </c>
      <c r="R45" s="10">
        <v>0</v>
      </c>
      <c r="S45" s="10">
        <v>7620914791.3100004</v>
      </c>
      <c r="T45" s="10">
        <v>0</v>
      </c>
      <c r="U45" s="10">
        <v>14008450702.17</v>
      </c>
      <c r="V45" s="10">
        <v>0</v>
      </c>
      <c r="W45" s="10">
        <v>7348939538.5500002</v>
      </c>
      <c r="X45" s="10">
        <v>0</v>
      </c>
      <c r="Y45" s="10">
        <v>9250323807.6200008</v>
      </c>
      <c r="Z45" s="10">
        <v>0</v>
      </c>
      <c r="AA45" s="10">
        <v>5166306192.5299997</v>
      </c>
      <c r="AB45" s="10">
        <v>0</v>
      </c>
      <c r="AC45" s="10">
        <v>5339761496.9700003</v>
      </c>
      <c r="AD45" s="10">
        <v>0</v>
      </c>
      <c r="AE45" s="10">
        <v>3274562600.0700002</v>
      </c>
      <c r="AF45" s="10">
        <v>0</v>
      </c>
      <c r="AG45" s="10">
        <v>4552888944</v>
      </c>
      <c r="AH45" s="10">
        <v>0</v>
      </c>
      <c r="AI45" s="10">
        <v>2928842256.25</v>
      </c>
      <c r="AJ45" s="10">
        <v>0</v>
      </c>
      <c r="AK45" s="10">
        <v>4000759343.1100001</v>
      </c>
      <c r="AL45" s="10">
        <v>0</v>
      </c>
      <c r="AM45" s="10">
        <v>2351939273.6300001</v>
      </c>
      <c r="AN45" s="10">
        <v>0</v>
      </c>
      <c r="AO45" s="10">
        <v>2830831594.3600001</v>
      </c>
      <c r="AP45" s="10">
        <v>0</v>
      </c>
      <c r="AQ45" s="10">
        <v>893948241.40999997</v>
      </c>
      <c r="AR45" s="10">
        <v>0</v>
      </c>
      <c r="AS45" s="10">
        <v>1504116840.49</v>
      </c>
      <c r="AT45" s="10">
        <v>950993361.80999994</v>
      </c>
      <c r="AU45" s="10">
        <v>605250279.90999997</v>
      </c>
      <c r="AV45" s="10">
        <v>449590769.88</v>
      </c>
      <c r="AW45" s="10">
        <v>1118541629.3699999</v>
      </c>
      <c r="AX45" s="10">
        <v>702485675.25</v>
      </c>
      <c r="AY45" s="10">
        <v>480786925.85000002</v>
      </c>
      <c r="AZ45" s="10">
        <v>369139390.74000001</v>
      </c>
      <c r="BA45" s="10">
        <v>820553997.19000006</v>
      </c>
      <c r="BB45" s="10">
        <v>515569148.98000002</v>
      </c>
      <c r="BC45" s="10">
        <v>349084192.5</v>
      </c>
      <c r="BD45" s="10">
        <v>261503821.72</v>
      </c>
      <c r="BE45" s="10">
        <v>586747838.27999997</v>
      </c>
      <c r="BF45" s="10">
        <v>354499724.25</v>
      </c>
      <c r="BG45" s="10">
        <v>252520818.55000001</v>
      </c>
      <c r="BH45" s="10">
        <v>217609019.5</v>
      </c>
      <c r="BI45" s="10">
        <v>376798521.36000001</v>
      </c>
      <c r="BJ45" s="10">
        <v>238275978.99000001</v>
      </c>
      <c r="BK45" s="10">
        <v>328290723.13999999</v>
      </c>
      <c r="BL45" s="10">
        <v>0</v>
      </c>
      <c r="BM45" s="10">
        <v>251103580</v>
      </c>
      <c r="BN45" s="10">
        <v>0</v>
      </c>
    </row>
    <row r="46" spans="1:66">
      <c r="A46" t="s">
        <v>6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135220914.59</v>
      </c>
      <c r="AP46" s="10">
        <v>0</v>
      </c>
      <c r="AQ46" s="10">
        <v>0</v>
      </c>
      <c r="AR46" s="10">
        <v>0</v>
      </c>
      <c r="AS46" s="10">
        <v>70191397.969999999</v>
      </c>
      <c r="AT46" s="10">
        <v>43705142.329999998</v>
      </c>
      <c r="AU46" s="10">
        <v>28820538.469999999</v>
      </c>
      <c r="AV46" s="10">
        <v>18681889.829999998</v>
      </c>
      <c r="AW46" s="10">
        <v>50580496.340000004</v>
      </c>
      <c r="AX46" s="10">
        <v>32146744.57</v>
      </c>
      <c r="AY46" s="10">
        <v>21918109.09</v>
      </c>
      <c r="AZ46" s="10">
        <v>0</v>
      </c>
      <c r="BA46" s="10">
        <v>33618178.270000003</v>
      </c>
      <c r="BB46" s="10">
        <v>22506325.899999999</v>
      </c>
      <c r="BC46" s="10">
        <v>14977871.93</v>
      </c>
      <c r="BD46" s="10">
        <v>9826969.4900000002</v>
      </c>
      <c r="BE46" s="10">
        <v>22005657.780000001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</row>
    <row r="47" spans="1:66">
      <c r="A47" t="s">
        <v>47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-14802026.52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</row>
    <row r="48" spans="1:66">
      <c r="A48" t="s">
        <v>48</v>
      </c>
      <c r="B48" s="10">
        <v>0</v>
      </c>
      <c r="C48" s="10">
        <v>-3205173.03</v>
      </c>
      <c r="D48" s="10">
        <v>0</v>
      </c>
      <c r="E48" s="10">
        <v>12327496.220000001</v>
      </c>
      <c r="F48" s="10">
        <v>0</v>
      </c>
      <c r="G48" s="10">
        <v>5536334.9299999997</v>
      </c>
      <c r="H48" s="10">
        <v>0</v>
      </c>
      <c r="I48" s="10">
        <v>-540313.39</v>
      </c>
      <c r="J48" s="10">
        <v>0</v>
      </c>
      <c r="K48" s="10">
        <v>404373.28</v>
      </c>
      <c r="L48" s="10">
        <v>0</v>
      </c>
      <c r="M48" s="10">
        <v>432745.88</v>
      </c>
      <c r="N48" s="10">
        <v>0</v>
      </c>
      <c r="O48" s="10">
        <v>243295.23</v>
      </c>
      <c r="P48" s="10">
        <v>0</v>
      </c>
      <c r="Q48" s="10">
        <v>-2004032.3</v>
      </c>
      <c r="R48" s="10">
        <v>0</v>
      </c>
      <c r="S48" s="10">
        <v>-2068342.1</v>
      </c>
      <c r="T48" s="10">
        <v>0</v>
      </c>
      <c r="U48" s="10">
        <v>2979258.5</v>
      </c>
      <c r="V48" s="10">
        <v>0</v>
      </c>
      <c r="W48" s="10">
        <v>955859.42</v>
      </c>
      <c r="X48" s="10">
        <v>0</v>
      </c>
      <c r="Y48" s="10">
        <v>-2500650.5699999998</v>
      </c>
      <c r="Z48" s="10">
        <v>0</v>
      </c>
      <c r="AA48" s="10">
        <v>-1568169.42</v>
      </c>
      <c r="AB48" s="10">
        <v>0</v>
      </c>
      <c r="AC48" s="10">
        <v>-3066975.05</v>
      </c>
      <c r="AD48" s="10">
        <v>0</v>
      </c>
      <c r="AE48" s="10">
        <v>2776574.21</v>
      </c>
      <c r="AF48" s="10">
        <v>0</v>
      </c>
      <c r="AG48" s="10">
        <v>-300085.01</v>
      </c>
      <c r="AH48" s="10">
        <v>0</v>
      </c>
      <c r="AI48" s="10">
        <v>442604</v>
      </c>
      <c r="AJ48" s="10">
        <v>0</v>
      </c>
      <c r="AK48" s="10">
        <v>450078.22</v>
      </c>
      <c r="AL48" s="10">
        <v>0</v>
      </c>
      <c r="AM48" s="10">
        <v>-1411074.74</v>
      </c>
      <c r="AN48" s="10">
        <v>0</v>
      </c>
      <c r="AO48" s="10">
        <v>-614738.65</v>
      </c>
      <c r="AP48" s="10">
        <v>0</v>
      </c>
      <c r="AQ48" s="10">
        <v>1317514.0900000001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-1324018.3500000001</v>
      </c>
      <c r="AX48" s="10">
        <v>0</v>
      </c>
      <c r="AY48" s="10">
        <v>0</v>
      </c>
      <c r="AZ48" s="10">
        <v>0</v>
      </c>
      <c r="BA48" s="10">
        <v>761947.03</v>
      </c>
      <c r="BB48" s="10">
        <v>0</v>
      </c>
      <c r="BC48" s="10">
        <v>0</v>
      </c>
      <c r="BD48" s="10">
        <v>0</v>
      </c>
      <c r="BE48" s="10">
        <v>2052540.39</v>
      </c>
      <c r="BF48" s="10">
        <v>0</v>
      </c>
      <c r="BG48" s="10">
        <v>0</v>
      </c>
      <c r="BH48" s="10">
        <v>0</v>
      </c>
      <c r="BI48" s="10">
        <v>5977107.7199999997</v>
      </c>
      <c r="BJ48" s="10">
        <v>0</v>
      </c>
      <c r="BK48" s="10">
        <v>6692428.5199999996</v>
      </c>
      <c r="BL48" s="10">
        <v>0</v>
      </c>
      <c r="BM48" s="10">
        <v>-557245</v>
      </c>
      <c r="BN48" s="10">
        <v>0</v>
      </c>
    </row>
    <row r="49" spans="1:66">
      <c r="A49" t="s">
        <v>49</v>
      </c>
      <c r="B49" s="10">
        <v>0</v>
      </c>
      <c r="C49" s="10">
        <v>516162327.69999999</v>
      </c>
      <c r="D49" s="10">
        <v>0</v>
      </c>
      <c r="E49" s="10">
        <v>842728072.03999996</v>
      </c>
      <c r="F49" s="10">
        <v>0</v>
      </c>
      <c r="G49" s="10">
        <v>417647140.01999998</v>
      </c>
      <c r="H49" s="10">
        <v>0</v>
      </c>
      <c r="I49" s="10">
        <v>761458678.28999996</v>
      </c>
      <c r="J49" s="10">
        <v>0</v>
      </c>
      <c r="K49" s="10">
        <v>373349019.23000002</v>
      </c>
      <c r="L49" s="10">
        <v>0</v>
      </c>
      <c r="M49" s="10">
        <v>675349786.98000002</v>
      </c>
      <c r="N49" s="10">
        <v>0</v>
      </c>
      <c r="O49" s="10">
        <v>321291816.05000001</v>
      </c>
      <c r="P49" s="10">
        <v>0</v>
      </c>
      <c r="Q49" s="10">
        <v>520481867.72000003</v>
      </c>
      <c r="R49" s="10">
        <v>0</v>
      </c>
      <c r="S49" s="10">
        <v>254184419.62</v>
      </c>
      <c r="T49" s="10">
        <v>0</v>
      </c>
      <c r="U49" s="10">
        <v>414952194.94</v>
      </c>
      <c r="V49" s="10">
        <v>0</v>
      </c>
      <c r="W49" s="10">
        <v>200507000.40000001</v>
      </c>
      <c r="X49" s="10">
        <v>0</v>
      </c>
      <c r="Y49" s="10">
        <v>331356736.88</v>
      </c>
      <c r="Z49" s="10">
        <v>0</v>
      </c>
      <c r="AA49" s="10">
        <v>158950782.41999999</v>
      </c>
      <c r="AB49" s="10">
        <v>0</v>
      </c>
      <c r="AC49" s="10">
        <v>267815117.52000001</v>
      </c>
      <c r="AD49" s="10">
        <v>0</v>
      </c>
      <c r="AE49" s="10">
        <v>122119373.3</v>
      </c>
      <c r="AF49" s="10">
        <v>0</v>
      </c>
      <c r="AG49" s="10">
        <v>187387081.41</v>
      </c>
      <c r="AH49" s="10">
        <v>0</v>
      </c>
      <c r="AI49" s="10">
        <v>89093818.810000002</v>
      </c>
      <c r="AJ49" s="10">
        <v>0</v>
      </c>
      <c r="AK49" s="10">
        <v>147042974.22999999</v>
      </c>
      <c r="AL49" s="10">
        <v>0</v>
      </c>
      <c r="AM49" s="10">
        <v>70037352.950000003</v>
      </c>
      <c r="AN49" s="10">
        <v>0</v>
      </c>
      <c r="AO49" s="10">
        <v>103823977.31999999</v>
      </c>
      <c r="AP49" s="10">
        <v>0</v>
      </c>
      <c r="AQ49" s="10">
        <v>49772665.390000001</v>
      </c>
      <c r="AR49" s="10">
        <v>0</v>
      </c>
      <c r="AS49" s="10">
        <v>84717392.170000002</v>
      </c>
      <c r="AT49" s="10">
        <v>62546557.289999999</v>
      </c>
      <c r="AU49" s="10">
        <v>40854031.590000004</v>
      </c>
      <c r="AV49" s="10">
        <v>20555222.16</v>
      </c>
      <c r="AW49" s="10">
        <v>64659106.390000001</v>
      </c>
      <c r="AX49" s="10">
        <v>14382986.699999999</v>
      </c>
      <c r="AY49" s="10">
        <v>31667890.949999999</v>
      </c>
      <c r="AZ49" s="10">
        <v>15524717.93</v>
      </c>
      <c r="BA49" s="10">
        <v>55088524.049999997</v>
      </c>
      <c r="BB49" s="10">
        <v>40655791.490000002</v>
      </c>
      <c r="BC49" s="10">
        <v>26579528.530000001</v>
      </c>
      <c r="BD49" s="10">
        <v>12725361.800000001</v>
      </c>
      <c r="BE49" s="10">
        <v>58391200.810000002</v>
      </c>
      <c r="BF49" s="10">
        <v>47752591.530000001</v>
      </c>
      <c r="BG49" s="10">
        <v>35569491.770000003</v>
      </c>
      <c r="BH49" s="10">
        <v>23864812.800000001</v>
      </c>
      <c r="BI49" s="10">
        <v>20409817.800000001</v>
      </c>
      <c r="BJ49" s="10">
        <v>9446489.4299999997</v>
      </c>
      <c r="BK49" s="10">
        <v>11587498.189999999</v>
      </c>
      <c r="BL49" s="10">
        <v>0</v>
      </c>
      <c r="BM49" s="10">
        <v>10108725</v>
      </c>
      <c r="BN49" s="10">
        <v>0</v>
      </c>
    </row>
    <row r="50" spans="1:66">
      <c r="A50" t="s">
        <v>50</v>
      </c>
      <c r="B50" s="10">
        <v>0</v>
      </c>
      <c r="C50" s="10">
        <v>40237130.289999999</v>
      </c>
      <c r="D50" s="10">
        <v>0</v>
      </c>
      <c r="E50" s="10">
        <v>80457895.989999995</v>
      </c>
      <c r="F50" s="10">
        <v>0</v>
      </c>
      <c r="G50" s="10">
        <v>40081010.549999997</v>
      </c>
      <c r="H50" s="10">
        <v>0</v>
      </c>
      <c r="I50" s="10">
        <v>79883270.420000002</v>
      </c>
      <c r="J50" s="10">
        <v>0</v>
      </c>
      <c r="K50" s="10">
        <v>39738464.259999998</v>
      </c>
      <c r="L50" s="10">
        <v>0</v>
      </c>
      <c r="M50" s="10">
        <v>77607523.200000003</v>
      </c>
      <c r="N50" s="10">
        <v>0</v>
      </c>
      <c r="O50" s="10">
        <v>38383088.600000001</v>
      </c>
      <c r="P50" s="10">
        <v>0</v>
      </c>
      <c r="Q50" s="10">
        <v>31617810.780000001</v>
      </c>
      <c r="R50" s="10">
        <v>0</v>
      </c>
      <c r="S50" s="10">
        <v>11204325.32</v>
      </c>
      <c r="T50" s="10">
        <v>0</v>
      </c>
      <c r="U50" s="10">
        <v>15994854.35</v>
      </c>
      <c r="V50" s="10">
        <v>0</v>
      </c>
      <c r="W50" s="10">
        <v>6655978.8700000001</v>
      </c>
      <c r="X50" s="10">
        <v>0</v>
      </c>
      <c r="Y50" s="10">
        <v>11855582.220000001</v>
      </c>
      <c r="Z50" s="10">
        <v>0</v>
      </c>
      <c r="AA50" s="10">
        <v>5646985.7000000002</v>
      </c>
      <c r="AB50" s="10">
        <v>0</v>
      </c>
      <c r="AC50" s="10">
        <v>14719853.449999999</v>
      </c>
      <c r="AD50" s="10">
        <v>0</v>
      </c>
      <c r="AE50" s="10">
        <v>5961975.2400000002</v>
      </c>
      <c r="AF50" s="10">
        <v>0</v>
      </c>
      <c r="AG50" s="10">
        <v>11552408.130000001</v>
      </c>
      <c r="AH50" s="10">
        <v>0</v>
      </c>
      <c r="AI50" s="10">
        <v>5728173.5</v>
      </c>
      <c r="AJ50" s="10">
        <v>0</v>
      </c>
      <c r="AK50" s="10">
        <v>6995493.6799999997</v>
      </c>
      <c r="AL50" s="10">
        <v>0</v>
      </c>
      <c r="AM50" s="10">
        <v>3361247.64</v>
      </c>
      <c r="AN50" s="10">
        <v>0</v>
      </c>
      <c r="AO50" s="10">
        <v>8419605.2599999998</v>
      </c>
      <c r="AP50" s="10">
        <v>0</v>
      </c>
      <c r="AQ50" s="10">
        <v>3214603.12</v>
      </c>
      <c r="AR50" s="10">
        <v>0</v>
      </c>
      <c r="AS50" s="10">
        <v>3228097.47</v>
      </c>
      <c r="AT50" s="10">
        <v>507627.19</v>
      </c>
      <c r="AU50" s="10">
        <v>303570.90999999997</v>
      </c>
      <c r="AV50" s="10">
        <v>141331.29</v>
      </c>
      <c r="AW50" s="10">
        <v>1721214.26</v>
      </c>
      <c r="AX50" s="10">
        <v>84999.84</v>
      </c>
      <c r="AY50" s="10">
        <v>84999.84</v>
      </c>
      <c r="AZ50" s="10">
        <v>42500.01</v>
      </c>
      <c r="BA50" s="10">
        <v>171205.04</v>
      </c>
      <c r="BB50" s="10">
        <v>127500.03</v>
      </c>
      <c r="BC50" s="10">
        <v>85000.02</v>
      </c>
      <c r="BD50" s="10">
        <v>42500.01</v>
      </c>
      <c r="BE50" s="10">
        <v>170000.04</v>
      </c>
      <c r="BF50" s="10">
        <v>127500.03</v>
      </c>
      <c r="BG50" s="10">
        <v>85000.02</v>
      </c>
      <c r="BH50" s="10">
        <v>42500.01</v>
      </c>
      <c r="BI50" s="10">
        <v>170000.04</v>
      </c>
      <c r="BJ50" s="10">
        <v>85000.02</v>
      </c>
      <c r="BK50" s="10">
        <v>676000.04</v>
      </c>
      <c r="BL50" s="10">
        <v>0</v>
      </c>
      <c r="BM50" s="10">
        <v>3477429</v>
      </c>
      <c r="BN50" s="10">
        <v>0</v>
      </c>
    </row>
    <row r="51" spans="1:66">
      <c r="A51" t="s">
        <v>51</v>
      </c>
      <c r="B51" s="10">
        <v>0</v>
      </c>
      <c r="C51" s="10">
        <v>5140436.7300000004</v>
      </c>
      <c r="D51" s="10">
        <v>0</v>
      </c>
      <c r="E51" s="10">
        <v>11008704.17</v>
      </c>
      <c r="F51" s="10">
        <v>0</v>
      </c>
      <c r="G51" s="10">
        <v>5681522.1299999999</v>
      </c>
      <c r="H51" s="10">
        <v>0</v>
      </c>
      <c r="I51" s="10">
        <v>6804749.0199999996</v>
      </c>
      <c r="J51" s="10">
        <v>0</v>
      </c>
      <c r="K51" s="10">
        <v>2445058.8199999998</v>
      </c>
      <c r="L51" s="10">
        <v>0</v>
      </c>
      <c r="M51" s="10">
        <v>3842650.48</v>
      </c>
      <c r="N51" s="10">
        <v>0</v>
      </c>
      <c r="O51" s="10">
        <v>1851383.57</v>
      </c>
      <c r="P51" s="10">
        <v>0</v>
      </c>
      <c r="Q51" s="10">
        <v>4197830.59</v>
      </c>
      <c r="R51" s="10">
        <v>0</v>
      </c>
      <c r="S51" s="10">
        <v>1942477.92</v>
      </c>
      <c r="T51" s="10">
        <v>0</v>
      </c>
      <c r="U51" s="10">
        <v>3854764.8</v>
      </c>
      <c r="V51" s="10">
        <v>0</v>
      </c>
      <c r="W51" s="10">
        <v>1919834.64</v>
      </c>
      <c r="X51" s="10">
        <v>0</v>
      </c>
      <c r="Y51" s="10">
        <v>4896216.72</v>
      </c>
      <c r="Z51" s="10">
        <v>0</v>
      </c>
      <c r="AA51" s="10">
        <v>863163.66</v>
      </c>
      <c r="AB51" s="10">
        <v>0</v>
      </c>
      <c r="AC51" s="10">
        <v>3034894.25</v>
      </c>
      <c r="AD51" s="10">
        <v>0</v>
      </c>
      <c r="AE51" s="10">
        <v>2588560.7999999998</v>
      </c>
      <c r="AF51" s="10">
        <v>0</v>
      </c>
      <c r="AG51" s="10">
        <v>8627818.8800000008</v>
      </c>
      <c r="AH51" s="10">
        <v>0</v>
      </c>
      <c r="AI51" s="10">
        <v>4684138.12</v>
      </c>
      <c r="AJ51" s="10">
        <v>0</v>
      </c>
      <c r="AK51" s="10">
        <v>10613073.470000001</v>
      </c>
      <c r="AL51" s="10">
        <v>0</v>
      </c>
      <c r="AM51" s="10">
        <v>6441361.3099999996</v>
      </c>
      <c r="AN51" s="10">
        <v>0</v>
      </c>
      <c r="AO51" s="10">
        <v>65846168.600000001</v>
      </c>
      <c r="AP51" s="10">
        <v>0</v>
      </c>
      <c r="AQ51" s="10">
        <v>4580442.62</v>
      </c>
      <c r="AR51" s="10">
        <v>0</v>
      </c>
      <c r="AS51" s="10">
        <v>8744492.6899999995</v>
      </c>
      <c r="AT51" s="10">
        <v>6440605.7699999996</v>
      </c>
      <c r="AU51" s="10">
        <v>4187782.96</v>
      </c>
      <c r="AV51" s="10">
        <v>2098114.34</v>
      </c>
      <c r="AW51" s="10">
        <v>12051388.76</v>
      </c>
      <c r="AX51" s="10">
        <v>2203602.2400000002</v>
      </c>
      <c r="AY51" s="10">
        <v>4623317.43</v>
      </c>
      <c r="AZ51" s="10">
        <v>967986.57</v>
      </c>
      <c r="BA51" s="10">
        <v>11374067.689999999</v>
      </c>
      <c r="BB51" s="10">
        <v>2772944.12</v>
      </c>
      <c r="BC51" s="10">
        <v>2416531.69</v>
      </c>
      <c r="BD51" s="10">
        <v>1638077.4399999999</v>
      </c>
      <c r="BE51" s="10">
        <v>5297418.04</v>
      </c>
      <c r="BF51" s="10">
        <v>2483546</v>
      </c>
      <c r="BG51" s="10">
        <v>1638442.04</v>
      </c>
      <c r="BH51" s="10">
        <v>642970.9</v>
      </c>
      <c r="BI51" s="10">
        <v>-5629054.3700000001</v>
      </c>
      <c r="BJ51" s="10">
        <v>1086189.98</v>
      </c>
      <c r="BK51" s="10">
        <v>2083990</v>
      </c>
      <c r="BL51" s="10">
        <v>0</v>
      </c>
      <c r="BM51" s="10">
        <v>0</v>
      </c>
      <c r="BN51" s="10">
        <v>0</v>
      </c>
    </row>
    <row r="52" spans="1:66">
      <c r="A52" t="s">
        <v>52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-2089751.57</v>
      </c>
      <c r="AU52" s="10">
        <v>-4163123.12</v>
      </c>
      <c r="AV52" s="10">
        <v>0</v>
      </c>
      <c r="AW52" s="10">
        <v>0</v>
      </c>
      <c r="AX52" s="10">
        <v>-7270021.3700000001</v>
      </c>
      <c r="AY52" s="10">
        <v>-3257900.75</v>
      </c>
      <c r="AZ52" s="10">
        <v>-3505403.97</v>
      </c>
      <c r="BA52" s="10">
        <v>651300.25</v>
      </c>
      <c r="BB52" s="10">
        <v>-1362568.65</v>
      </c>
      <c r="BC52" s="10">
        <v>-2030370.94</v>
      </c>
      <c r="BD52" s="10">
        <v>-3138222.93</v>
      </c>
      <c r="BE52" s="10">
        <v>-651300.25</v>
      </c>
      <c r="BF52" s="10">
        <v>-5089210.82</v>
      </c>
      <c r="BG52" s="10">
        <v>10178421.859999999</v>
      </c>
      <c r="BH52" s="10">
        <v>-13206672.5</v>
      </c>
      <c r="BI52" s="10">
        <v>23337681.800000001</v>
      </c>
      <c r="BJ52" s="10">
        <v>17089893.879999999</v>
      </c>
      <c r="BK52" s="10">
        <v>-3929579.65</v>
      </c>
      <c r="BL52" s="10">
        <v>0</v>
      </c>
      <c r="BM52" s="10">
        <v>0</v>
      </c>
      <c r="BN52" s="10">
        <v>0</v>
      </c>
    </row>
    <row r="53" spans="1:66">
      <c r="A53" t="s">
        <v>53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844344.7</v>
      </c>
      <c r="AT53" s="10">
        <v>53240196.289999999</v>
      </c>
      <c r="AU53" s="10">
        <v>2170710.7999999998</v>
      </c>
      <c r="AV53" s="10">
        <v>44782229.460000001</v>
      </c>
      <c r="AW53" s="10">
        <v>-6145179.6900000004</v>
      </c>
      <c r="AX53" s="10">
        <v>46238296.43</v>
      </c>
      <c r="AY53" s="10">
        <v>33325369.199999999</v>
      </c>
      <c r="AZ53" s="10">
        <v>55553692.549999997</v>
      </c>
      <c r="BA53" s="10">
        <v>2225642.5099999998</v>
      </c>
      <c r="BB53" s="10">
        <v>99984845.620000005</v>
      </c>
      <c r="BC53" s="10">
        <v>48162524.469999999</v>
      </c>
      <c r="BD53" s="10">
        <v>44631775.57</v>
      </c>
      <c r="BE53" s="10">
        <v>1676058.29</v>
      </c>
      <c r="BF53" s="10">
        <v>71798377.230000004</v>
      </c>
      <c r="BG53" s="10">
        <v>24492403.010000002</v>
      </c>
      <c r="BH53" s="10">
        <v>20398978.800000001</v>
      </c>
      <c r="BI53" s="10">
        <v>3422740.32</v>
      </c>
      <c r="BJ53" s="10">
        <v>29752060.640000001</v>
      </c>
      <c r="BK53" s="10">
        <v>0</v>
      </c>
      <c r="BL53" s="10">
        <v>0</v>
      </c>
      <c r="BM53" s="10">
        <v>0</v>
      </c>
      <c r="BN53" s="10">
        <v>0</v>
      </c>
    </row>
    <row r="54" spans="1:66">
      <c r="A54" t="s">
        <v>54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900998.31</v>
      </c>
      <c r="AP54" s="10">
        <v>0</v>
      </c>
      <c r="AQ54" s="10">
        <v>-98880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</row>
    <row r="55" spans="1:66">
      <c r="A55" t="s">
        <v>55</v>
      </c>
      <c r="B55" s="10">
        <v>0</v>
      </c>
      <c r="C55" s="10">
        <v>115399.49</v>
      </c>
      <c r="D55" s="10">
        <v>0</v>
      </c>
      <c r="E55" s="10">
        <v>1869869.13</v>
      </c>
      <c r="F55" s="10">
        <v>0</v>
      </c>
      <c r="G55" s="10">
        <v>-43123.46</v>
      </c>
      <c r="H55" s="10">
        <v>0</v>
      </c>
      <c r="I55" s="10">
        <v>-17419.86</v>
      </c>
      <c r="J55" s="10">
        <v>0</v>
      </c>
      <c r="K55" s="10">
        <v>38556.61</v>
      </c>
      <c r="L55" s="10">
        <v>0</v>
      </c>
      <c r="M55" s="10">
        <v>85119583.319999993</v>
      </c>
      <c r="N55" s="10">
        <v>0</v>
      </c>
      <c r="O55" s="10">
        <v>5620616.7999999998</v>
      </c>
      <c r="P55" s="10">
        <v>0</v>
      </c>
      <c r="Q55" s="10">
        <v>8997287.1699999999</v>
      </c>
      <c r="R55" s="10">
        <v>0</v>
      </c>
      <c r="S55" s="10">
        <v>175182.81</v>
      </c>
      <c r="T55" s="10">
        <v>0</v>
      </c>
      <c r="U55" s="10">
        <v>155718.82</v>
      </c>
      <c r="V55" s="10">
        <v>0</v>
      </c>
      <c r="W55" s="10">
        <v>84152.4</v>
      </c>
      <c r="X55" s="10">
        <v>0</v>
      </c>
      <c r="Y55" s="10">
        <v>-888534.94</v>
      </c>
      <c r="Z55" s="10">
        <v>0</v>
      </c>
      <c r="AA55" s="10">
        <v>-886934.94</v>
      </c>
      <c r="AB55" s="10">
        <v>0</v>
      </c>
      <c r="AC55" s="10">
        <v>617857.77</v>
      </c>
      <c r="AD55" s="10">
        <v>0</v>
      </c>
      <c r="AE55" s="10">
        <v>561791.21</v>
      </c>
      <c r="AF55" s="10">
        <v>0</v>
      </c>
      <c r="AG55" s="10">
        <v>227122.97</v>
      </c>
      <c r="AH55" s="10">
        <v>0</v>
      </c>
      <c r="AI55" s="10">
        <v>8880.69</v>
      </c>
      <c r="AJ55" s="10">
        <v>0</v>
      </c>
      <c r="AK55" s="10">
        <v>3241808.24</v>
      </c>
      <c r="AL55" s="10">
        <v>0</v>
      </c>
      <c r="AM55" s="10">
        <v>3118790.2</v>
      </c>
      <c r="AN55" s="10">
        <v>0</v>
      </c>
      <c r="AO55" s="10">
        <v>3146711.19</v>
      </c>
      <c r="AP55" s="10">
        <v>0</v>
      </c>
      <c r="AQ55" s="10">
        <v>149474.44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210396.99</v>
      </c>
      <c r="BB55" s="10">
        <v>627297.24</v>
      </c>
      <c r="BC55" s="10">
        <v>0</v>
      </c>
      <c r="BD55" s="10">
        <v>0</v>
      </c>
      <c r="BE55" s="10">
        <v>0</v>
      </c>
      <c r="BF55" s="10">
        <v>8291.7099999999991</v>
      </c>
      <c r="BG55" s="10">
        <v>8291.7099999999991</v>
      </c>
      <c r="BH55" s="10">
        <v>7741.71</v>
      </c>
      <c r="BI55" s="10">
        <v>0</v>
      </c>
      <c r="BJ55" s="10">
        <v>0</v>
      </c>
      <c r="BK55" s="10">
        <v>602996.92000000004</v>
      </c>
      <c r="BL55" s="10">
        <v>0</v>
      </c>
      <c r="BM55" s="10">
        <v>216575</v>
      </c>
      <c r="BN55" s="10">
        <v>0</v>
      </c>
    </row>
    <row r="56" spans="1:66">
      <c r="A56" t="s">
        <v>56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</row>
    <row r="57" spans="1:66">
      <c r="A57" t="s">
        <v>57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</row>
    <row r="58" spans="1:66">
      <c r="A58" t="s">
        <v>58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</row>
    <row r="59" spans="1:66">
      <c r="A59" t="s">
        <v>3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-17474.78</v>
      </c>
      <c r="R59" s="10">
        <v>0</v>
      </c>
      <c r="S59" s="10">
        <v>-17473.89</v>
      </c>
      <c r="T59" s="10">
        <v>0</v>
      </c>
      <c r="U59" s="10">
        <v>-89497.15</v>
      </c>
      <c r="V59" s="10">
        <v>0</v>
      </c>
      <c r="W59" s="10">
        <v>-43625.66</v>
      </c>
      <c r="X59" s="10">
        <v>0</v>
      </c>
      <c r="Y59" s="10">
        <v>-102972.37</v>
      </c>
      <c r="Z59" s="10">
        <v>0</v>
      </c>
      <c r="AA59" s="10">
        <v>-50701.919999999998</v>
      </c>
      <c r="AB59" s="10">
        <v>0</v>
      </c>
      <c r="AC59" s="10">
        <v>-105801.61</v>
      </c>
      <c r="AD59" s="10">
        <v>0</v>
      </c>
      <c r="AE59" s="10">
        <v>-57275.29</v>
      </c>
      <c r="AF59" s="10">
        <v>0</v>
      </c>
      <c r="AG59" s="10">
        <v>-158121.82</v>
      </c>
      <c r="AH59" s="10">
        <v>0</v>
      </c>
      <c r="AI59" s="10">
        <v>-601548.09</v>
      </c>
      <c r="AJ59" s="10">
        <v>0</v>
      </c>
      <c r="AK59" s="10">
        <v>-761176.07</v>
      </c>
      <c r="AL59" s="10">
        <v>0</v>
      </c>
      <c r="AM59" s="10">
        <v>-1310147.72</v>
      </c>
      <c r="AN59" s="10">
        <v>0</v>
      </c>
      <c r="AO59" s="10">
        <v>-2019007.08</v>
      </c>
      <c r="AP59" s="10">
        <v>0</v>
      </c>
      <c r="AQ59" s="10">
        <v>1864264.06</v>
      </c>
      <c r="AR59" s="10">
        <v>0</v>
      </c>
      <c r="AS59" s="10">
        <v>-3977754.65</v>
      </c>
      <c r="AT59" s="10">
        <v>-2960704.31</v>
      </c>
      <c r="AU59" s="10">
        <v>453219.79</v>
      </c>
      <c r="AV59" s="10">
        <v>-2819139.21</v>
      </c>
      <c r="AW59" s="10">
        <v>-32264593.949999999</v>
      </c>
      <c r="AX59" s="10">
        <v>-14225903.98</v>
      </c>
      <c r="AY59" s="10">
        <v>-8107880.4500000002</v>
      </c>
      <c r="AZ59" s="10">
        <v>-3746924.02</v>
      </c>
      <c r="BA59" s="10">
        <v>-25348043.32</v>
      </c>
      <c r="BB59" s="10">
        <v>-22307046.379999999</v>
      </c>
      <c r="BC59" s="10">
        <v>-9958861.9700000007</v>
      </c>
      <c r="BD59" s="10">
        <v>-6747422.2300000004</v>
      </c>
      <c r="BE59" s="10">
        <v>-16050225.99</v>
      </c>
      <c r="BF59" s="10">
        <v>-12123039.800000001</v>
      </c>
      <c r="BG59" s="10">
        <v>-4371087.49</v>
      </c>
      <c r="BH59" s="10">
        <v>-2188358.4300000002</v>
      </c>
      <c r="BI59" s="10">
        <v>-17318934.370000001</v>
      </c>
      <c r="BJ59" s="10">
        <v>-11881729.68</v>
      </c>
      <c r="BK59" s="10">
        <v>-5661113.7599999998</v>
      </c>
      <c r="BL59" s="10">
        <v>0</v>
      </c>
      <c r="BM59" s="10">
        <v>8118091</v>
      </c>
      <c r="BN59" s="10">
        <v>0</v>
      </c>
    </row>
    <row r="60" spans="1:66">
      <c r="A60" t="s">
        <v>59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-3869276.9</v>
      </c>
      <c r="J60" s="10">
        <v>0</v>
      </c>
      <c r="K60" s="10">
        <v>-3342169.86</v>
      </c>
      <c r="L60" s="10">
        <v>0</v>
      </c>
      <c r="M60" s="10">
        <v>-3095265.75</v>
      </c>
      <c r="N60" s="10">
        <v>0</v>
      </c>
      <c r="O60" s="10">
        <v>-3010000</v>
      </c>
      <c r="P60" s="10">
        <v>0</v>
      </c>
      <c r="Q60" s="10">
        <v>-3010000</v>
      </c>
      <c r="R60" s="10">
        <v>0</v>
      </c>
      <c r="S60" s="10">
        <v>-3010000</v>
      </c>
      <c r="T60" s="10">
        <v>0</v>
      </c>
      <c r="U60" s="10">
        <v>-3103250</v>
      </c>
      <c r="V60" s="10">
        <v>0</v>
      </c>
      <c r="W60" s="10">
        <v>-3103250</v>
      </c>
      <c r="X60" s="10">
        <v>0</v>
      </c>
      <c r="Y60" s="10">
        <v>-3383000</v>
      </c>
      <c r="Z60" s="10">
        <v>0</v>
      </c>
      <c r="AA60" s="10">
        <v>-3196500</v>
      </c>
      <c r="AB60" s="10">
        <v>0</v>
      </c>
      <c r="AC60" s="10">
        <v>-469050</v>
      </c>
      <c r="AD60" s="10">
        <v>0</v>
      </c>
      <c r="AE60" s="10">
        <v>-282550</v>
      </c>
      <c r="AF60" s="10">
        <v>0</v>
      </c>
      <c r="AG60" s="10">
        <v>-1209447.26</v>
      </c>
      <c r="AH60" s="10">
        <v>0</v>
      </c>
      <c r="AI60" s="10">
        <v>-734797.26</v>
      </c>
      <c r="AJ60" s="10">
        <v>0</v>
      </c>
      <c r="AK60" s="10">
        <v>-1322250</v>
      </c>
      <c r="AL60" s="10">
        <v>0</v>
      </c>
      <c r="AM60" s="10">
        <v>-720100</v>
      </c>
      <c r="AN60" s="10">
        <v>0</v>
      </c>
      <c r="AO60" s="10">
        <v>-1814950</v>
      </c>
      <c r="AP60" s="10">
        <v>0</v>
      </c>
      <c r="AQ60" s="10">
        <v>-859950</v>
      </c>
      <c r="AR60" s="10">
        <v>0</v>
      </c>
      <c r="AS60" s="10">
        <v>-3012928.94</v>
      </c>
      <c r="AT60" s="10">
        <v>-144435.35999999999</v>
      </c>
      <c r="AU60" s="10">
        <v>-144435.35999999999</v>
      </c>
      <c r="AV60" s="10">
        <v>0</v>
      </c>
      <c r="AW60" s="10">
        <v>-427953.6</v>
      </c>
      <c r="AX60" s="10">
        <v>-23718.23</v>
      </c>
      <c r="AY60" s="10">
        <v>-23718.23</v>
      </c>
      <c r="AZ60" s="10">
        <v>187658.6</v>
      </c>
      <c r="BA60" s="10">
        <v>-315063.71000000002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</row>
    <row r="61" spans="1:66">
      <c r="A61" t="s">
        <v>60</v>
      </c>
      <c r="B61" s="10">
        <v>0</v>
      </c>
      <c r="C61" s="10">
        <v>-89908762.780000001</v>
      </c>
      <c r="D61" s="10">
        <v>0</v>
      </c>
      <c r="E61" s="10">
        <v>-590203046.53999996</v>
      </c>
      <c r="F61" s="10">
        <v>0</v>
      </c>
      <c r="G61" s="10">
        <v>260090725.31999999</v>
      </c>
      <c r="H61" s="10">
        <v>0</v>
      </c>
      <c r="I61" s="10">
        <v>-333734968.43000001</v>
      </c>
      <c r="J61" s="10">
        <v>0</v>
      </c>
      <c r="K61" s="10">
        <v>272887074.25999999</v>
      </c>
      <c r="L61" s="10">
        <v>0</v>
      </c>
      <c r="M61" s="10">
        <v>3771418.94</v>
      </c>
      <c r="N61" s="10">
        <v>0</v>
      </c>
      <c r="O61" s="10">
        <v>-135000945.25999999</v>
      </c>
      <c r="P61" s="10">
        <v>0</v>
      </c>
      <c r="Q61" s="10">
        <v>-181715611.33000001</v>
      </c>
      <c r="R61" s="10">
        <v>0</v>
      </c>
      <c r="S61" s="10">
        <v>340839344.95999998</v>
      </c>
      <c r="T61" s="10">
        <v>0</v>
      </c>
      <c r="U61" s="10">
        <v>-141027962.78999999</v>
      </c>
      <c r="V61" s="10">
        <v>0</v>
      </c>
      <c r="W61" s="10">
        <v>120997885.90000001</v>
      </c>
      <c r="X61" s="10">
        <v>0</v>
      </c>
      <c r="Y61" s="10">
        <v>-224191011.56</v>
      </c>
      <c r="Z61" s="10">
        <v>0</v>
      </c>
      <c r="AA61" s="10">
        <v>-5882723.6100000003</v>
      </c>
      <c r="AB61" s="10">
        <v>0</v>
      </c>
      <c r="AC61" s="10">
        <v>-53017136.829999998</v>
      </c>
      <c r="AD61" s="10">
        <v>0</v>
      </c>
      <c r="AE61" s="10">
        <v>59048587.619999997</v>
      </c>
      <c r="AF61" s="10">
        <v>0</v>
      </c>
      <c r="AG61" s="10">
        <v>-48739824.600000001</v>
      </c>
      <c r="AH61" s="10">
        <v>0</v>
      </c>
      <c r="AI61" s="10">
        <v>82943236.900000006</v>
      </c>
      <c r="AJ61" s="10">
        <v>0</v>
      </c>
      <c r="AK61" s="10">
        <v>-123831417.11</v>
      </c>
      <c r="AL61" s="10">
        <v>0</v>
      </c>
      <c r="AM61" s="10">
        <v>3752810.71</v>
      </c>
      <c r="AN61" s="10">
        <v>0</v>
      </c>
      <c r="AO61" s="10">
        <v>117243937.53</v>
      </c>
      <c r="AP61" s="10">
        <v>0</v>
      </c>
      <c r="AQ61" s="10">
        <v>14525569.27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</row>
    <row r="62" spans="1:66">
      <c r="A62" t="s">
        <v>61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-1649389.62</v>
      </c>
      <c r="BK62" s="10">
        <v>0</v>
      </c>
      <c r="BL62" s="10">
        <v>0</v>
      </c>
      <c r="BM62" s="10">
        <v>0</v>
      </c>
      <c r="BN62" s="10">
        <v>0</v>
      </c>
    </row>
    <row r="63" spans="1:66">
      <c r="A63" t="s">
        <v>62</v>
      </c>
      <c r="B63" s="10">
        <v>0</v>
      </c>
      <c r="C63" s="10">
        <v>-228058581.49000001</v>
      </c>
      <c r="D63" s="10">
        <v>0</v>
      </c>
      <c r="E63" s="10">
        <v>-2608954802.8499999</v>
      </c>
      <c r="F63" s="10">
        <v>0</v>
      </c>
      <c r="G63" s="10">
        <v>-431629401.95999998</v>
      </c>
      <c r="H63" s="10">
        <v>0</v>
      </c>
      <c r="I63" s="10">
        <v>-3030932654.8499999</v>
      </c>
      <c r="J63" s="10">
        <v>0</v>
      </c>
      <c r="K63" s="10">
        <v>-1301708263.3699999</v>
      </c>
      <c r="L63" s="10">
        <v>0</v>
      </c>
      <c r="M63" s="10">
        <v>-3145554128.8200002</v>
      </c>
      <c r="N63" s="10">
        <v>0</v>
      </c>
      <c r="O63" s="10">
        <v>-1403844283.6199999</v>
      </c>
      <c r="P63" s="10">
        <v>0</v>
      </c>
      <c r="Q63" s="10">
        <v>-2171082645.6100001</v>
      </c>
      <c r="R63" s="10">
        <v>0</v>
      </c>
      <c r="S63" s="10">
        <v>-673293858.29999995</v>
      </c>
      <c r="T63" s="10">
        <v>0</v>
      </c>
      <c r="U63" s="10">
        <v>-2478610040.5599999</v>
      </c>
      <c r="V63" s="10">
        <v>0</v>
      </c>
      <c r="W63" s="10">
        <v>-586716939.80999994</v>
      </c>
      <c r="X63" s="10">
        <v>0</v>
      </c>
      <c r="Y63" s="10">
        <v>-1612991469.4400001</v>
      </c>
      <c r="Z63" s="10">
        <v>0</v>
      </c>
      <c r="AA63" s="10">
        <v>-341487204.91000003</v>
      </c>
      <c r="AB63" s="10">
        <v>0</v>
      </c>
      <c r="AC63" s="10">
        <v>-1381879643.0599999</v>
      </c>
      <c r="AD63" s="10">
        <v>0</v>
      </c>
      <c r="AE63" s="10">
        <v>-303082490.22000003</v>
      </c>
      <c r="AF63" s="10">
        <v>0</v>
      </c>
      <c r="AG63" s="10">
        <v>-1077678627.03</v>
      </c>
      <c r="AH63" s="10">
        <v>0</v>
      </c>
      <c r="AI63" s="10">
        <v>-141652769.31999999</v>
      </c>
      <c r="AJ63" s="10">
        <v>0</v>
      </c>
      <c r="AK63" s="10">
        <v>-809748865.40999997</v>
      </c>
      <c r="AL63" s="10">
        <v>0</v>
      </c>
      <c r="AM63" s="10">
        <v>-138655736.41999999</v>
      </c>
      <c r="AN63" s="10">
        <v>0</v>
      </c>
      <c r="AO63" s="10">
        <v>-323901731.39999998</v>
      </c>
      <c r="AP63" s="10">
        <v>0</v>
      </c>
      <c r="AQ63" s="10">
        <v>-139118319.88999999</v>
      </c>
      <c r="AR63" s="10">
        <v>0</v>
      </c>
      <c r="AS63" s="10">
        <v>-101199764.44</v>
      </c>
      <c r="AT63" s="10">
        <v>-22958058.309999999</v>
      </c>
      <c r="AU63" s="10">
        <v>5269726.93</v>
      </c>
      <c r="AV63" s="10">
        <v>59104895.240000002</v>
      </c>
      <c r="AW63" s="10">
        <v>-166808430.13</v>
      </c>
      <c r="AX63" s="10">
        <v>9748865.6600000001</v>
      </c>
      <c r="AY63" s="10">
        <v>25559734.649999999</v>
      </c>
      <c r="AZ63" s="10">
        <v>53328812.759999998</v>
      </c>
      <c r="BA63" s="10">
        <v>-478734574.06</v>
      </c>
      <c r="BB63" s="10">
        <v>-301491174.80000001</v>
      </c>
      <c r="BC63" s="10">
        <v>-103549319.19</v>
      </c>
      <c r="BD63" s="10">
        <v>-64313445.969999999</v>
      </c>
      <c r="BE63" s="10">
        <v>-138394032.53</v>
      </c>
      <c r="BF63" s="10">
        <v>-125743547.61</v>
      </c>
      <c r="BG63" s="10">
        <v>-112299075.68000001</v>
      </c>
      <c r="BH63" s="10">
        <v>46630996.520000003</v>
      </c>
      <c r="BI63" s="10">
        <v>-290243761.70999998</v>
      </c>
      <c r="BJ63" s="10">
        <v>-223373984.80000001</v>
      </c>
      <c r="BK63" s="10">
        <v>-274782350.81</v>
      </c>
      <c r="BL63" s="10">
        <v>0</v>
      </c>
      <c r="BM63" s="10">
        <v>-88931716</v>
      </c>
      <c r="BN63" s="10">
        <v>0</v>
      </c>
    </row>
    <row r="64" spans="1:66">
      <c r="A64" t="s">
        <v>63</v>
      </c>
      <c r="B64" s="10">
        <v>0</v>
      </c>
      <c r="C64" s="10">
        <v>-867196197.21000004</v>
      </c>
      <c r="D64" s="10">
        <v>0</v>
      </c>
      <c r="E64" s="10">
        <v>7669650565.8400002</v>
      </c>
      <c r="F64" s="10">
        <v>0</v>
      </c>
      <c r="G64" s="10">
        <v>2009494366.98</v>
      </c>
      <c r="H64" s="10">
        <v>0</v>
      </c>
      <c r="I64" s="10">
        <v>-6705177839.3400002</v>
      </c>
      <c r="J64" s="10">
        <v>0</v>
      </c>
      <c r="K64" s="10">
        <v>-2133980381.4100001</v>
      </c>
      <c r="L64" s="10">
        <v>0</v>
      </c>
      <c r="M64" s="10">
        <v>-1517982420.5599999</v>
      </c>
      <c r="N64" s="10">
        <v>0</v>
      </c>
      <c r="O64" s="10">
        <v>11051404.51</v>
      </c>
      <c r="P64" s="10">
        <v>0</v>
      </c>
      <c r="Q64" s="10">
        <v>-63379598.189999998</v>
      </c>
      <c r="R64" s="10">
        <v>0</v>
      </c>
      <c r="S64" s="10">
        <v>82035839.959999993</v>
      </c>
      <c r="T64" s="10">
        <v>0</v>
      </c>
      <c r="U64" s="10">
        <v>-64889789.579999998</v>
      </c>
      <c r="V64" s="10">
        <v>0</v>
      </c>
      <c r="W64" s="10">
        <v>-195513684.44999999</v>
      </c>
      <c r="X64" s="10">
        <v>0</v>
      </c>
      <c r="Y64" s="10">
        <v>-148673263.19999999</v>
      </c>
      <c r="Z64" s="10">
        <v>0</v>
      </c>
      <c r="AA64" s="10">
        <v>-8014324.8799999999</v>
      </c>
      <c r="AB64" s="10">
        <v>0</v>
      </c>
      <c r="AC64" s="10">
        <v>231534141.13</v>
      </c>
      <c r="AD64" s="10">
        <v>0</v>
      </c>
      <c r="AE64" s="10">
        <v>215808858.63999999</v>
      </c>
      <c r="AF64" s="10">
        <v>0</v>
      </c>
      <c r="AG64" s="10">
        <v>-671596539.44000006</v>
      </c>
      <c r="AH64" s="10">
        <v>0</v>
      </c>
      <c r="AI64" s="10">
        <v>-133667894.11</v>
      </c>
      <c r="AJ64" s="10">
        <v>0</v>
      </c>
      <c r="AK64" s="10">
        <v>-94515474.359999999</v>
      </c>
      <c r="AL64" s="10">
        <v>0</v>
      </c>
      <c r="AM64" s="10">
        <v>3332575.91</v>
      </c>
      <c r="AN64" s="10">
        <v>0</v>
      </c>
      <c r="AO64" s="10">
        <v>71616599.290000007</v>
      </c>
      <c r="AP64" s="10">
        <v>0</v>
      </c>
      <c r="AQ64" s="10">
        <v>-29402802.809999999</v>
      </c>
      <c r="AR64" s="10">
        <v>0</v>
      </c>
      <c r="AS64" s="10">
        <v>-45784689.460000001</v>
      </c>
      <c r="AT64" s="10">
        <v>-46409210.600000001</v>
      </c>
      <c r="AU64" s="10">
        <v>9089548.3000000007</v>
      </c>
      <c r="AV64" s="10">
        <v>61337918.350000001</v>
      </c>
      <c r="AW64" s="10">
        <v>-86411335</v>
      </c>
      <c r="AX64" s="10">
        <v>-82831092.430000007</v>
      </c>
      <c r="AY64" s="10">
        <v>-30390522.329999998</v>
      </c>
      <c r="AZ64" s="10">
        <v>-37039192.299999997</v>
      </c>
      <c r="BA64" s="10">
        <v>-55960435.450000003</v>
      </c>
      <c r="BB64" s="10">
        <v>-93010654.280000001</v>
      </c>
      <c r="BC64" s="10">
        <v>-37056787.130000003</v>
      </c>
      <c r="BD64" s="10">
        <v>6273634.7300000004</v>
      </c>
      <c r="BE64" s="10">
        <v>-65987645.460000001</v>
      </c>
      <c r="BF64" s="10">
        <v>-55287599.170000002</v>
      </c>
      <c r="BG64" s="10">
        <v>80674002.530000001</v>
      </c>
      <c r="BH64" s="10">
        <v>16140256.75</v>
      </c>
      <c r="BI64" s="10">
        <v>-81069660.290000007</v>
      </c>
      <c r="BJ64" s="10">
        <v>-136438439.78999999</v>
      </c>
      <c r="BK64" s="10">
        <v>-57514907.57</v>
      </c>
      <c r="BL64" s="10">
        <v>0</v>
      </c>
      <c r="BM64" s="10">
        <v>286093006</v>
      </c>
      <c r="BN64" s="10">
        <v>0</v>
      </c>
    </row>
    <row r="65" spans="1:66">
      <c r="A65" t="s">
        <v>64</v>
      </c>
      <c r="B65" s="10">
        <v>0</v>
      </c>
      <c r="C65" s="10">
        <v>-4482364865.3699999</v>
      </c>
      <c r="D65" s="10">
        <v>0</v>
      </c>
      <c r="E65" s="10">
        <v>14101721783.17</v>
      </c>
      <c r="F65" s="10">
        <v>0</v>
      </c>
      <c r="G65" s="10">
        <v>1919900746.3299999</v>
      </c>
      <c r="H65" s="10">
        <v>0</v>
      </c>
      <c r="I65" s="10">
        <v>10207469291.540001</v>
      </c>
      <c r="J65" s="10">
        <v>0</v>
      </c>
      <c r="K65" s="10">
        <v>-712663897.14999998</v>
      </c>
      <c r="L65" s="10">
        <v>0</v>
      </c>
      <c r="M65" s="10">
        <v>183659033.09999999</v>
      </c>
      <c r="N65" s="10">
        <v>0</v>
      </c>
      <c r="O65" s="10">
        <v>-2212381044.9699998</v>
      </c>
      <c r="P65" s="10">
        <v>0</v>
      </c>
      <c r="Q65" s="10">
        <v>-1453960453.1800001</v>
      </c>
      <c r="R65" s="10">
        <v>0</v>
      </c>
      <c r="S65" s="10">
        <v>-2417882200.6999998</v>
      </c>
      <c r="T65" s="10">
        <v>0</v>
      </c>
      <c r="U65" s="10">
        <v>162643655.75</v>
      </c>
      <c r="V65" s="10">
        <v>0</v>
      </c>
      <c r="W65" s="10">
        <v>-2434973254.9299998</v>
      </c>
      <c r="X65" s="10">
        <v>0</v>
      </c>
      <c r="Y65" s="10">
        <v>2542863248.1700001</v>
      </c>
      <c r="Z65" s="10">
        <v>0</v>
      </c>
      <c r="AA65" s="10">
        <v>357217270.44999999</v>
      </c>
      <c r="AB65" s="10">
        <v>0</v>
      </c>
      <c r="AC65" s="10">
        <v>1782531765.03</v>
      </c>
      <c r="AD65" s="10">
        <v>0</v>
      </c>
      <c r="AE65" s="10">
        <v>-1613622895.03</v>
      </c>
      <c r="AF65" s="10">
        <v>0</v>
      </c>
      <c r="AG65" s="10">
        <v>1262936413.96</v>
      </c>
      <c r="AH65" s="10">
        <v>0</v>
      </c>
      <c r="AI65" s="10">
        <v>-2286898259.0599999</v>
      </c>
      <c r="AJ65" s="10">
        <v>0</v>
      </c>
      <c r="AK65" s="10">
        <v>2108564947.74</v>
      </c>
      <c r="AL65" s="10">
        <v>0</v>
      </c>
      <c r="AM65" s="10">
        <v>-804204946.49000001</v>
      </c>
      <c r="AN65" s="10">
        <v>0</v>
      </c>
      <c r="AO65" s="10">
        <v>-1265396867.9400001</v>
      </c>
      <c r="AP65" s="10">
        <v>0</v>
      </c>
      <c r="AQ65" s="10">
        <v>-114079764.15000001</v>
      </c>
      <c r="AR65" s="10">
        <v>0</v>
      </c>
      <c r="AS65" s="10">
        <v>587303605.69000006</v>
      </c>
      <c r="AT65" s="10">
        <v>447257943.26999998</v>
      </c>
      <c r="AU65" s="10">
        <v>-97220238.280000001</v>
      </c>
      <c r="AV65" s="10">
        <v>-431268983.50999999</v>
      </c>
      <c r="AW65" s="10">
        <v>739535163.91999996</v>
      </c>
      <c r="AX65" s="10">
        <v>180779657.61000001</v>
      </c>
      <c r="AY65" s="10">
        <v>-119581813.95999999</v>
      </c>
      <c r="AZ65" s="10">
        <v>-222974212.28999999</v>
      </c>
      <c r="BA65" s="10">
        <v>611487337.72000003</v>
      </c>
      <c r="BB65" s="10">
        <v>108602758.23</v>
      </c>
      <c r="BC65" s="10">
        <v>-326694844.04000002</v>
      </c>
      <c r="BD65" s="10">
        <v>-443826421.5</v>
      </c>
      <c r="BE65" s="10">
        <v>486448732.68000001</v>
      </c>
      <c r="BF65" s="10">
        <v>145640158.97</v>
      </c>
      <c r="BG65" s="10">
        <v>-332427872.82999998</v>
      </c>
      <c r="BH65" s="10">
        <v>-308344721.63</v>
      </c>
      <c r="BI65" s="10">
        <v>382940470.94999999</v>
      </c>
      <c r="BJ65" s="10">
        <v>-110592312.08</v>
      </c>
      <c r="BK65" s="10">
        <v>20581850.370000001</v>
      </c>
      <c r="BL65" s="10">
        <v>0</v>
      </c>
      <c r="BM65" s="10">
        <v>-90345288</v>
      </c>
      <c r="BN65" s="10">
        <v>0</v>
      </c>
    </row>
    <row r="66" spans="1:66">
      <c r="A66" t="s">
        <v>65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</row>
    <row r="67" spans="1:66">
      <c r="A67" t="s">
        <v>66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</row>
    <row r="68" spans="1:66">
      <c r="A68" t="s">
        <v>67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15311966.220000001</v>
      </c>
      <c r="BG68" s="10">
        <v>9965227.2300000004</v>
      </c>
      <c r="BH68" s="10">
        <v>7514662.2400000002</v>
      </c>
      <c r="BI68" s="10">
        <v>15787449.41</v>
      </c>
      <c r="BJ68" s="10">
        <v>8079397.9800000004</v>
      </c>
      <c r="BK68" s="10">
        <v>13655501.960000001</v>
      </c>
      <c r="BL68" s="10">
        <v>0</v>
      </c>
      <c r="BM68" s="10">
        <v>0</v>
      </c>
      <c r="BN68" s="10">
        <v>0</v>
      </c>
    </row>
    <row r="69" spans="1:66">
      <c r="A69" t="s">
        <v>68</v>
      </c>
      <c r="B69" s="10">
        <v>0</v>
      </c>
      <c r="C69" s="10">
        <v>6935360410.3599997</v>
      </c>
      <c r="D69" s="10">
        <v>0</v>
      </c>
      <c r="E69" s="10">
        <v>37451249647.050003</v>
      </c>
      <c r="F69" s="10">
        <v>0</v>
      </c>
      <c r="G69" s="10">
        <v>13603962283.99</v>
      </c>
      <c r="H69" s="10">
        <v>0</v>
      </c>
      <c r="I69" s="10">
        <v>17436340141.720001</v>
      </c>
      <c r="J69" s="10">
        <v>0</v>
      </c>
      <c r="K69" s="10">
        <v>4901688343.2799997</v>
      </c>
      <c r="L69" s="10">
        <v>0</v>
      </c>
      <c r="M69" s="10">
        <v>12632522436.6</v>
      </c>
      <c r="N69" s="10">
        <v>0</v>
      </c>
      <c r="O69" s="10">
        <v>4288743348.5</v>
      </c>
      <c r="P69" s="10">
        <v>0</v>
      </c>
      <c r="Q69" s="10">
        <v>12655024861.92</v>
      </c>
      <c r="R69" s="10">
        <v>0</v>
      </c>
      <c r="S69" s="10">
        <v>5215024506.9099998</v>
      </c>
      <c r="T69" s="10">
        <v>0</v>
      </c>
      <c r="U69" s="10">
        <v>11921310609.25</v>
      </c>
      <c r="V69" s="10">
        <v>0</v>
      </c>
      <c r="W69" s="10">
        <v>4459709495.3299999</v>
      </c>
      <c r="X69" s="10">
        <v>0</v>
      </c>
      <c r="Y69" s="10">
        <v>10148564689.530001</v>
      </c>
      <c r="Z69" s="10">
        <v>0</v>
      </c>
      <c r="AA69" s="10">
        <v>5327897835.0799999</v>
      </c>
      <c r="AB69" s="10">
        <v>0</v>
      </c>
      <c r="AC69" s="10">
        <v>6201476519.5699997</v>
      </c>
      <c r="AD69" s="10">
        <v>0</v>
      </c>
      <c r="AE69" s="10">
        <v>1766383110.55</v>
      </c>
      <c r="AF69" s="10">
        <v>0</v>
      </c>
      <c r="AG69" s="10">
        <v>4223937144.1900001</v>
      </c>
      <c r="AH69" s="10">
        <v>0</v>
      </c>
      <c r="AI69" s="10">
        <v>548187840.42999995</v>
      </c>
      <c r="AJ69" s="10">
        <v>0</v>
      </c>
      <c r="AK69" s="10">
        <v>5247488535.7399998</v>
      </c>
      <c r="AL69" s="10">
        <v>0</v>
      </c>
      <c r="AM69" s="10">
        <v>1495681406.98</v>
      </c>
      <c r="AN69" s="10">
        <v>0</v>
      </c>
      <c r="AO69" s="10">
        <v>1743303211.3800001</v>
      </c>
      <c r="AP69" s="10">
        <v>0</v>
      </c>
      <c r="AQ69" s="10">
        <v>685813057.54999995</v>
      </c>
      <c r="AR69" s="10">
        <v>0</v>
      </c>
      <c r="AS69" s="10">
        <v>2105171033.6900001</v>
      </c>
      <c r="AT69" s="10">
        <v>1490129273.8</v>
      </c>
      <c r="AU69" s="10">
        <v>594871612.89999998</v>
      </c>
      <c r="AV69" s="10">
        <v>222204247.83000001</v>
      </c>
      <c r="AW69" s="10">
        <v>1693707488.3199999</v>
      </c>
      <c r="AX69" s="10">
        <v>883720092.28999996</v>
      </c>
      <c r="AY69" s="10">
        <v>436604511.29000002</v>
      </c>
      <c r="AZ69" s="10">
        <v>242281053.09999999</v>
      </c>
      <c r="BA69" s="10">
        <v>975784480.20000005</v>
      </c>
      <c r="BB69" s="10">
        <v>372675167.5</v>
      </c>
      <c r="BC69" s="10">
        <v>-37984534.130000003</v>
      </c>
      <c r="BD69" s="10">
        <v>-181383371.87</v>
      </c>
      <c r="BE69" s="10">
        <v>941706242.08000004</v>
      </c>
      <c r="BF69" s="10">
        <v>439378758.54000002</v>
      </c>
      <c r="BG69" s="10">
        <v>-33965937.280000001</v>
      </c>
      <c r="BH69" s="10">
        <v>9112186.6699999999</v>
      </c>
      <c r="BI69" s="10">
        <v>434582378.66000003</v>
      </c>
      <c r="BJ69" s="10">
        <v>-180120845.05000001</v>
      </c>
      <c r="BK69" s="10">
        <v>42283037.350000001</v>
      </c>
      <c r="BL69" s="10">
        <v>-86280877.689999998</v>
      </c>
      <c r="BM69" s="10">
        <v>443124645</v>
      </c>
      <c r="BN69" s="10">
        <v>0</v>
      </c>
    </row>
    <row r="70" spans="1:66">
      <c r="A70" t="s">
        <v>69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</row>
    <row r="71" spans="1:66">
      <c r="A71" t="s">
        <v>70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</row>
    <row r="72" spans="1:66">
      <c r="A72" t="s">
        <v>71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</row>
    <row r="73" spans="1:66">
      <c r="A73" t="s">
        <v>72</v>
      </c>
      <c r="B73" s="10">
        <v>0</v>
      </c>
      <c r="C73" s="10">
        <v>68895534979.479996</v>
      </c>
      <c r="D73" s="10">
        <v>0</v>
      </c>
      <c r="E73" s="10">
        <v>62794794812.989998</v>
      </c>
      <c r="F73" s="10">
        <v>0</v>
      </c>
      <c r="G73" s="10">
        <v>44545959043.720001</v>
      </c>
      <c r="H73" s="10">
        <v>0</v>
      </c>
      <c r="I73" s="10">
        <v>34780485904.57</v>
      </c>
      <c r="J73" s="10">
        <v>0</v>
      </c>
      <c r="K73" s="10">
        <v>28556899090.610001</v>
      </c>
      <c r="L73" s="10">
        <v>0</v>
      </c>
      <c r="M73" s="10">
        <v>24997229197.759998</v>
      </c>
      <c r="N73" s="10">
        <v>0</v>
      </c>
      <c r="O73" s="10">
        <v>18176338585.07</v>
      </c>
      <c r="P73" s="10">
        <v>0</v>
      </c>
      <c r="Q73" s="10">
        <v>21991742237.669998</v>
      </c>
      <c r="R73" s="10">
        <v>0</v>
      </c>
      <c r="S73" s="10">
        <v>18105047230.099998</v>
      </c>
      <c r="T73" s="10">
        <v>0</v>
      </c>
      <c r="U73" s="10">
        <v>22061999850.169998</v>
      </c>
      <c r="V73" s="10">
        <v>0</v>
      </c>
      <c r="W73" s="10">
        <v>20981859110.759998</v>
      </c>
      <c r="X73" s="10">
        <v>0</v>
      </c>
      <c r="Y73" s="10">
        <v>18254690162.040001</v>
      </c>
      <c r="Z73" s="10">
        <v>0</v>
      </c>
      <c r="AA73" s="10">
        <v>17291687378.52</v>
      </c>
      <c r="AB73" s="10">
        <v>15998489422.76</v>
      </c>
      <c r="AC73" s="10">
        <v>12888393889.290001</v>
      </c>
      <c r="AD73" s="10">
        <v>11026669577.42</v>
      </c>
      <c r="AE73" s="10">
        <v>10268861587.440001</v>
      </c>
      <c r="AF73" s="10">
        <v>9980435183.5699997</v>
      </c>
      <c r="AG73" s="10">
        <v>9743152155.2399998</v>
      </c>
      <c r="AH73" s="10">
        <v>7895280562.8000002</v>
      </c>
      <c r="AI73" s="10">
        <v>7795808371.21</v>
      </c>
      <c r="AJ73" s="10">
        <v>7662321131.3000002</v>
      </c>
      <c r="AK73" s="10">
        <v>8093721891.1599998</v>
      </c>
      <c r="AL73" s="10">
        <v>6402015794.54</v>
      </c>
      <c r="AM73" s="10">
        <v>5065871830.8000002</v>
      </c>
      <c r="AN73" s="10">
        <v>5564443319.29</v>
      </c>
      <c r="AO73" s="10">
        <v>4722706300.0200005</v>
      </c>
      <c r="AP73" s="10">
        <v>4753385536.3500004</v>
      </c>
      <c r="AQ73" s="10">
        <v>4809865056.1599998</v>
      </c>
      <c r="AR73" s="10">
        <v>1878268439.97</v>
      </c>
      <c r="AS73" s="10">
        <v>4463098038.6400003</v>
      </c>
      <c r="AT73" s="10">
        <v>4083907788.3400002</v>
      </c>
      <c r="AU73" s="10">
        <v>3419099920.6599998</v>
      </c>
      <c r="AV73" s="10">
        <v>3975708186.8800001</v>
      </c>
      <c r="AW73" s="10">
        <v>3891989433.5300002</v>
      </c>
      <c r="AX73" s="10">
        <v>3217007276.75</v>
      </c>
      <c r="AY73" s="10">
        <v>3065214770.1900001</v>
      </c>
      <c r="AZ73" s="10">
        <v>3024925341.3800001</v>
      </c>
      <c r="BA73" s="10">
        <v>2898327418.8499999</v>
      </c>
      <c r="BB73" s="10">
        <v>2419288966.46</v>
      </c>
      <c r="BC73" s="10">
        <v>2172790156.5900002</v>
      </c>
      <c r="BD73" s="10">
        <v>2091330580.1099999</v>
      </c>
      <c r="BE73" s="10">
        <v>2340045386.8499999</v>
      </c>
      <c r="BF73" s="10">
        <v>1868792963.71</v>
      </c>
      <c r="BG73" s="10">
        <v>1536249315.6400001</v>
      </c>
      <c r="BH73" s="10">
        <v>1684957738.5599999</v>
      </c>
      <c r="BI73" s="10">
        <v>1780307690.6400001</v>
      </c>
      <c r="BJ73" s="10">
        <v>1513800289.8299999</v>
      </c>
      <c r="BK73" s="10">
        <v>1956436570.0999999</v>
      </c>
      <c r="BL73" s="10">
        <v>0</v>
      </c>
      <c r="BM73" s="10">
        <v>460983583.45999998</v>
      </c>
      <c r="BN73" s="10">
        <v>0</v>
      </c>
    </row>
    <row r="74" spans="1:66">
      <c r="A74" t="s">
        <v>73</v>
      </c>
      <c r="B74" s="10">
        <v>0</v>
      </c>
      <c r="C74" s="10">
        <v>62794794812.989998</v>
      </c>
      <c r="D74" s="10">
        <v>0</v>
      </c>
      <c r="E74" s="10">
        <v>34780485904.57</v>
      </c>
      <c r="F74" s="10">
        <v>0</v>
      </c>
      <c r="G74" s="10">
        <v>34780485904.57</v>
      </c>
      <c r="H74" s="10">
        <v>0</v>
      </c>
      <c r="I74" s="10">
        <v>24997229197.759998</v>
      </c>
      <c r="J74" s="10">
        <v>0</v>
      </c>
      <c r="K74" s="10">
        <v>24997229197.759998</v>
      </c>
      <c r="L74" s="10">
        <v>0</v>
      </c>
      <c r="M74" s="10">
        <v>21991742237.669998</v>
      </c>
      <c r="N74" s="10">
        <v>0</v>
      </c>
      <c r="O74" s="10">
        <v>21991742237.669998</v>
      </c>
      <c r="P74" s="10">
        <v>0</v>
      </c>
      <c r="Q74" s="10">
        <v>22061999850.169998</v>
      </c>
      <c r="R74" s="10">
        <v>0</v>
      </c>
      <c r="S74" s="10">
        <v>22061999850.169998</v>
      </c>
      <c r="T74" s="10">
        <v>0</v>
      </c>
      <c r="U74" s="10">
        <v>18254690162.040001</v>
      </c>
      <c r="V74" s="10">
        <v>0</v>
      </c>
      <c r="W74" s="10">
        <v>18254690162.040001</v>
      </c>
      <c r="X74" s="10">
        <v>0</v>
      </c>
      <c r="Y74" s="10">
        <v>12888393889.290001</v>
      </c>
      <c r="Z74" s="10">
        <v>0</v>
      </c>
      <c r="AA74" s="10">
        <v>12888393889.290001</v>
      </c>
      <c r="AB74" s="10">
        <v>12888393889.290001</v>
      </c>
      <c r="AC74" s="10">
        <v>9743152155.2399998</v>
      </c>
      <c r="AD74" s="10">
        <v>9743152155.2399998</v>
      </c>
      <c r="AE74" s="10">
        <v>9743152155.2399998</v>
      </c>
      <c r="AF74" s="10">
        <v>9743152155.2399998</v>
      </c>
      <c r="AG74" s="10">
        <v>8093721891.1599998</v>
      </c>
      <c r="AH74" s="10">
        <v>8093721891.1599998</v>
      </c>
      <c r="AI74" s="10">
        <v>8093721891.1599998</v>
      </c>
      <c r="AJ74" s="10">
        <v>8093721891.1599998</v>
      </c>
      <c r="AK74" s="10">
        <v>4722706300.0200005</v>
      </c>
      <c r="AL74" s="10">
        <v>4722706300.0200005</v>
      </c>
      <c r="AM74" s="10">
        <v>4722706300.0200005</v>
      </c>
      <c r="AN74" s="10">
        <v>4722706300.0200005</v>
      </c>
      <c r="AO74" s="10">
        <v>4474221148.3299999</v>
      </c>
      <c r="AP74" s="10">
        <v>4474221148.3299999</v>
      </c>
      <c r="AQ74" s="10">
        <v>4474221148.3299999</v>
      </c>
      <c r="AR74" s="10">
        <v>1697004107.01</v>
      </c>
      <c r="AS74" s="10">
        <v>3891989433.5300002</v>
      </c>
      <c r="AT74" s="10">
        <v>3891989433.5300002</v>
      </c>
      <c r="AU74" s="10">
        <v>3891989433.5300002</v>
      </c>
      <c r="AV74" s="10">
        <v>3891989433.5300002</v>
      </c>
      <c r="AW74" s="10">
        <v>2898327418.8499999</v>
      </c>
      <c r="AX74" s="10">
        <v>2898327418.8499999</v>
      </c>
      <c r="AY74" s="10">
        <v>2898327418.8499999</v>
      </c>
      <c r="AZ74" s="10">
        <v>2898327418.8499999</v>
      </c>
      <c r="BA74" s="10">
        <v>2340047386.8499999</v>
      </c>
      <c r="BB74" s="10">
        <v>2340047386.8499999</v>
      </c>
      <c r="BC74" s="10">
        <v>2340047386.8499999</v>
      </c>
      <c r="BD74" s="10">
        <v>2340258782.8499999</v>
      </c>
      <c r="BE74" s="10">
        <v>1780307690.6400001</v>
      </c>
      <c r="BF74" s="10">
        <v>1780307690.6400001</v>
      </c>
      <c r="BG74" s="10">
        <v>1780307690.6400001</v>
      </c>
      <c r="BH74" s="10">
        <v>1780307690.6400001</v>
      </c>
      <c r="BI74" s="10">
        <v>1956436570.0999999</v>
      </c>
      <c r="BJ74" s="10">
        <v>1956436570.0999999</v>
      </c>
      <c r="BK74" s="10">
        <v>460983583.45999998</v>
      </c>
      <c r="BL74" s="10">
        <v>0</v>
      </c>
      <c r="BM74" s="10">
        <v>198390615.12</v>
      </c>
      <c r="BN74" s="10">
        <v>0</v>
      </c>
    </row>
    <row r="75" spans="1:66">
      <c r="A75" t="s">
        <v>74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</row>
    <row r="76" spans="1:66">
      <c r="A76" t="s">
        <v>75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0</v>
      </c>
      <c r="BM76" s="10">
        <v>0</v>
      </c>
      <c r="BN76" s="10">
        <v>0</v>
      </c>
    </row>
    <row r="77" spans="1:66">
      <c r="A77" t="s">
        <v>76</v>
      </c>
      <c r="B77" s="10">
        <v>0</v>
      </c>
      <c r="C77" s="10">
        <v>6100740166.4899998</v>
      </c>
      <c r="D77" s="10">
        <v>0</v>
      </c>
      <c r="E77" s="10">
        <v>28014308908.419998</v>
      </c>
      <c r="F77" s="10">
        <v>0</v>
      </c>
      <c r="G77" s="10">
        <v>9765473139.1499996</v>
      </c>
      <c r="H77" s="10">
        <v>0</v>
      </c>
      <c r="I77" s="10">
        <v>9783256706.8099995</v>
      </c>
      <c r="J77" s="10">
        <v>0</v>
      </c>
      <c r="K77" s="10">
        <v>3559669892.8499999</v>
      </c>
      <c r="L77" s="10">
        <v>0</v>
      </c>
      <c r="M77" s="10">
        <v>3005486960.0900002</v>
      </c>
      <c r="N77" s="10">
        <v>0</v>
      </c>
      <c r="O77" s="10">
        <v>-3815403652.5999999</v>
      </c>
      <c r="P77" s="10">
        <v>0</v>
      </c>
      <c r="Q77" s="10">
        <v>-70257612.5</v>
      </c>
      <c r="R77" s="10">
        <v>0</v>
      </c>
      <c r="S77" s="10">
        <v>-3956952620.0700002</v>
      </c>
      <c r="T77" s="10">
        <v>0</v>
      </c>
      <c r="U77" s="10">
        <v>3807309688.1300001</v>
      </c>
      <c r="V77" s="10">
        <v>0</v>
      </c>
      <c r="W77" s="10">
        <v>2727168948.7199998</v>
      </c>
      <c r="X77" s="10">
        <v>0</v>
      </c>
      <c r="Y77" s="10">
        <v>5366296272.75</v>
      </c>
      <c r="Z77" s="10">
        <v>0</v>
      </c>
      <c r="AA77" s="10">
        <v>4403293489.2299995</v>
      </c>
      <c r="AB77" s="10">
        <v>3110095533.4699998</v>
      </c>
      <c r="AC77" s="10">
        <v>3145241734.0500002</v>
      </c>
      <c r="AD77" s="10">
        <v>1283517422.1800001</v>
      </c>
      <c r="AE77" s="10">
        <v>525709432.19999999</v>
      </c>
      <c r="AF77" s="10">
        <v>237283028.33000001</v>
      </c>
      <c r="AG77" s="10">
        <v>1649430264.0799999</v>
      </c>
      <c r="AH77" s="10">
        <v>-198441328.36000001</v>
      </c>
      <c r="AI77" s="10">
        <v>-297913519.94999999</v>
      </c>
      <c r="AJ77" s="10">
        <v>-431400759.86000001</v>
      </c>
      <c r="AK77" s="10">
        <v>3371015591.1399999</v>
      </c>
      <c r="AL77" s="10">
        <v>1679309494.52</v>
      </c>
      <c r="AM77" s="10">
        <v>343165530.77999997</v>
      </c>
      <c r="AN77" s="10">
        <v>841737019.26999998</v>
      </c>
      <c r="AO77" s="10">
        <v>248485151.69</v>
      </c>
      <c r="AP77" s="10">
        <v>279164388.01999998</v>
      </c>
      <c r="AQ77" s="10">
        <v>335643907.82999998</v>
      </c>
      <c r="AR77" s="10">
        <v>181264332.96000001</v>
      </c>
      <c r="AS77" s="10">
        <v>571108605.11000001</v>
      </c>
      <c r="AT77" s="10">
        <v>191918354.81</v>
      </c>
      <c r="AU77" s="10">
        <v>-472889512.87</v>
      </c>
      <c r="AV77" s="10">
        <v>83718753.349999994</v>
      </c>
      <c r="AW77" s="10">
        <v>993662014.67999995</v>
      </c>
      <c r="AX77" s="10">
        <v>318679857.89999998</v>
      </c>
      <c r="AY77" s="10">
        <v>166887351.34</v>
      </c>
      <c r="AZ77" s="10">
        <v>126597922.53</v>
      </c>
      <c r="BA77" s="10">
        <v>558280032</v>
      </c>
      <c r="BB77" s="10">
        <v>79241579.609999999</v>
      </c>
      <c r="BC77" s="10">
        <v>-167257230.25999999</v>
      </c>
      <c r="BD77" s="10">
        <v>-248928202.74000001</v>
      </c>
      <c r="BE77" s="10">
        <v>559739696.21000004</v>
      </c>
      <c r="BF77" s="10">
        <v>88485273.069999993</v>
      </c>
      <c r="BG77" s="10">
        <v>-244058375</v>
      </c>
      <c r="BH77" s="10">
        <v>-95349952.079999998</v>
      </c>
      <c r="BI77" s="10">
        <v>-176128879.46000001</v>
      </c>
      <c r="BJ77" s="10">
        <v>-442636280.26999998</v>
      </c>
      <c r="BK77" s="10">
        <v>1495452986.6400001</v>
      </c>
      <c r="BL77" s="10">
        <v>0</v>
      </c>
      <c r="BM77" s="10">
        <v>262592968.34</v>
      </c>
      <c r="BN77" s="10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3"/>
  <sheetViews>
    <sheetView zoomScale="70" zoomScaleNormal="70" workbookViewId="0">
      <pane ySplit="1" topLeftCell="A2" activePane="bottomLeft" state="frozen"/>
      <selection pane="bottomLeft" activeCell="C15" sqref="A1:R53"/>
    </sheetView>
  </sheetViews>
  <sheetFormatPr defaultRowHeight="13.5"/>
  <cols>
    <col min="1" max="1" width="23.125" style="31" bestFit="1" customWidth="1"/>
    <col min="2" max="2" width="25.625" style="12" bestFit="1" customWidth="1"/>
    <col min="3" max="3" width="11.125" bestFit="1" customWidth="1"/>
    <col min="4" max="5" width="10.5" bestFit="1" customWidth="1"/>
    <col min="6" max="6" width="9.875" customWidth="1"/>
    <col min="7" max="8" width="13.125" style="12" bestFit="1" customWidth="1"/>
    <col min="9" max="9" width="12.5" bestFit="1" customWidth="1"/>
    <col min="10" max="10" width="12.75" bestFit="1" customWidth="1"/>
    <col min="11" max="11" width="11.625" style="12" bestFit="1" customWidth="1"/>
    <col min="12" max="12" width="11.125" style="12" bestFit="1" customWidth="1"/>
    <col min="13" max="14" width="11.625" style="12" bestFit="1" customWidth="1"/>
    <col min="15" max="15" width="11.125" bestFit="1" customWidth="1"/>
    <col min="16" max="16" width="11.625" bestFit="1" customWidth="1"/>
    <col min="17" max="17" width="11.125" bestFit="1" customWidth="1"/>
    <col min="18" max="18" width="11.625" bestFit="1" customWidth="1"/>
  </cols>
  <sheetData>
    <row r="1" spans="1:20" s="17" customFormat="1">
      <c r="A1" s="26"/>
      <c r="B1" s="25"/>
      <c r="C1" s="50">
        <v>2000</v>
      </c>
      <c r="D1" s="51">
        <v>2001</v>
      </c>
      <c r="E1" s="52">
        <v>2002</v>
      </c>
      <c r="F1" s="54">
        <v>2003</v>
      </c>
      <c r="G1" s="78">
        <v>2017</v>
      </c>
      <c r="H1" s="79"/>
      <c r="I1" s="77">
        <v>2016</v>
      </c>
      <c r="J1" s="77"/>
      <c r="K1" s="77">
        <v>2015</v>
      </c>
      <c r="L1" s="77"/>
      <c r="M1" s="77">
        <v>2014</v>
      </c>
      <c r="N1" s="77"/>
      <c r="O1" s="77">
        <v>2013</v>
      </c>
      <c r="P1" s="77"/>
      <c r="Q1" s="77">
        <v>2012</v>
      </c>
      <c r="R1" s="77"/>
    </row>
    <row r="2" spans="1:20" s="17" customFormat="1">
      <c r="A2" s="20" t="s">
        <v>262</v>
      </c>
      <c r="B2" s="25"/>
      <c r="C2" s="14"/>
      <c r="D2" s="14">
        <v>376798521.36000001</v>
      </c>
      <c r="E2" s="14">
        <v>328290723.13999999</v>
      </c>
      <c r="F2" s="53"/>
      <c r="G2" s="25"/>
      <c r="H2" s="14">
        <v>27083199520.900002</v>
      </c>
      <c r="I2" s="14"/>
      <c r="J2" s="14">
        <v>16718362734.16</v>
      </c>
      <c r="K2" s="14"/>
      <c r="L2" s="14">
        <v>15490675244.9</v>
      </c>
      <c r="M2" s="14"/>
      <c r="N2" s="14">
        <v>15349804322.27</v>
      </c>
      <c r="O2" s="14"/>
      <c r="P2" s="14">
        <v>15136639784.35</v>
      </c>
      <c r="Q2" s="25"/>
      <c r="R2" s="14">
        <v>13308079612.879999</v>
      </c>
      <c r="S2" s="23"/>
      <c r="T2" s="23"/>
    </row>
    <row r="3" spans="1:20" s="12" customFormat="1">
      <c r="A3" s="27" t="s">
        <v>300</v>
      </c>
      <c r="B3" s="13"/>
      <c r="C3" s="14">
        <v>92500000</v>
      </c>
      <c r="D3" s="14">
        <f>D8/10*6</f>
        <v>150000000</v>
      </c>
      <c r="E3" s="14">
        <f>E8/10*2</f>
        <v>55000000</v>
      </c>
      <c r="F3" s="14"/>
      <c r="G3" s="13"/>
      <c r="H3" s="14"/>
      <c r="I3" s="14"/>
      <c r="J3" s="14">
        <v>8525814468.6000004</v>
      </c>
      <c r="K3" s="14"/>
      <c r="L3" s="14">
        <v>7751996623.8000002</v>
      </c>
      <c r="M3" s="14"/>
      <c r="N3" s="14">
        <v>4995099252</v>
      </c>
      <c r="O3" s="14"/>
      <c r="P3" s="14">
        <v>4540999320</v>
      </c>
      <c r="Q3" s="13"/>
      <c r="R3" s="14">
        <v>6664077420.2200003</v>
      </c>
      <c r="S3" s="21"/>
      <c r="T3" s="21"/>
    </row>
    <row r="4" spans="1:20" s="12" customFormat="1">
      <c r="A4" s="27" t="s">
        <v>263</v>
      </c>
      <c r="B4" s="13"/>
      <c r="C4" s="14"/>
      <c r="D4" s="14"/>
      <c r="E4" s="14"/>
      <c r="F4" s="14"/>
      <c r="G4" s="13"/>
      <c r="H4" s="18">
        <f>H2-J3</f>
        <v>18557385052.300003</v>
      </c>
      <c r="I4" s="14"/>
      <c r="J4" s="18">
        <f>J2-L3</f>
        <v>8966366110.3600006</v>
      </c>
      <c r="K4" s="14"/>
      <c r="L4" s="18">
        <f>L2-N3</f>
        <v>10495575992.9</v>
      </c>
      <c r="M4" s="14"/>
      <c r="N4" s="18">
        <f>N2-P3</f>
        <v>10808805002.27</v>
      </c>
      <c r="O4" s="14"/>
      <c r="P4" s="18">
        <f>P2-R3</f>
        <v>8472562364.1300001</v>
      </c>
      <c r="Q4" s="14"/>
      <c r="R4" s="32"/>
      <c r="S4" s="21"/>
      <c r="T4" s="21"/>
    </row>
    <row r="5" spans="1:20" s="12" customFormat="1">
      <c r="A5" s="27" t="s">
        <v>306</v>
      </c>
      <c r="B5" s="13"/>
      <c r="C5" s="14"/>
      <c r="D5" s="14"/>
      <c r="E5" s="14">
        <v>434582378.66000003</v>
      </c>
      <c r="F5" s="14"/>
      <c r="G5" s="13"/>
      <c r="H5" s="18"/>
      <c r="I5" s="14"/>
      <c r="J5" s="18"/>
      <c r="K5" s="14"/>
      <c r="L5" s="18"/>
      <c r="M5" s="14"/>
      <c r="N5" s="18"/>
      <c r="O5" s="14"/>
      <c r="P5" s="18"/>
      <c r="Q5" s="14"/>
      <c r="R5" s="32"/>
      <c r="S5" s="21"/>
      <c r="T5" s="21"/>
    </row>
    <row r="6" spans="1:20" s="12" customFormat="1">
      <c r="A6" s="27" t="s">
        <v>307</v>
      </c>
      <c r="B6" s="13"/>
      <c r="C6" s="14"/>
      <c r="D6" s="14"/>
      <c r="E6" s="14">
        <v>-471451921.25</v>
      </c>
      <c r="F6" s="14"/>
      <c r="G6" s="13"/>
      <c r="H6" s="18"/>
      <c r="I6" s="14"/>
      <c r="J6" s="18"/>
      <c r="K6" s="14"/>
      <c r="L6" s="18"/>
      <c r="M6" s="14"/>
      <c r="N6" s="18"/>
      <c r="O6" s="14"/>
      <c r="P6" s="18"/>
      <c r="Q6" s="14"/>
      <c r="R6" s="32"/>
      <c r="S6" s="21"/>
      <c r="T6" s="21"/>
    </row>
    <row r="7" spans="1:20" s="12" customFormat="1">
      <c r="A7" s="27" t="s">
        <v>308</v>
      </c>
      <c r="B7" s="13"/>
      <c r="C7" s="14"/>
      <c r="D7" s="14"/>
      <c r="E7" s="14">
        <v>-139259336.87</v>
      </c>
      <c r="F7" s="14"/>
      <c r="G7" s="13"/>
      <c r="H7" s="18"/>
      <c r="I7" s="14"/>
      <c r="J7" s="18"/>
      <c r="K7" s="14"/>
      <c r="L7" s="18"/>
      <c r="M7" s="14"/>
      <c r="N7" s="18"/>
      <c r="O7" s="14"/>
      <c r="P7" s="18"/>
      <c r="Q7" s="14"/>
      <c r="R7" s="32"/>
      <c r="S7" s="21"/>
      <c r="T7" s="21"/>
    </row>
    <row r="8" spans="1:20">
      <c r="A8" s="81" t="s">
        <v>258</v>
      </c>
      <c r="B8" s="16" t="s">
        <v>253</v>
      </c>
      <c r="C8" s="15">
        <v>185000000</v>
      </c>
      <c r="D8" s="15">
        <v>250000000</v>
      </c>
      <c r="E8" s="15">
        <f>D8*1.1</f>
        <v>275000000</v>
      </c>
      <c r="F8" s="44">
        <f>E8*1.1</f>
        <v>302500000</v>
      </c>
      <c r="G8" s="15">
        <v>1256197800</v>
      </c>
      <c r="H8" s="19">
        <f t="shared" ref="H8:J12" si="0">G8-I8</f>
        <v>0</v>
      </c>
      <c r="I8" s="15">
        <v>1256197800</v>
      </c>
      <c r="J8" s="19">
        <f t="shared" si="0"/>
        <v>0</v>
      </c>
      <c r="K8" s="15">
        <v>1256197800</v>
      </c>
      <c r="L8" s="19">
        <f t="shared" ref="L8:L16" si="1">K8-M8</f>
        <v>114199800</v>
      </c>
      <c r="M8" s="15">
        <v>1141998000</v>
      </c>
      <c r="N8" s="19">
        <f t="shared" ref="N8:P19" si="2">M8-O8</f>
        <v>103818000</v>
      </c>
      <c r="O8" s="15">
        <v>1038180000</v>
      </c>
      <c r="P8" s="19">
        <f t="shared" si="2"/>
        <v>0</v>
      </c>
      <c r="Q8" s="15">
        <v>1038180000</v>
      </c>
      <c r="R8" s="2"/>
    </row>
    <row r="9" spans="1:20">
      <c r="A9" s="81"/>
      <c r="B9" s="16" t="s">
        <v>254</v>
      </c>
      <c r="C9" s="15">
        <v>88432681.620000005</v>
      </c>
      <c r="D9" s="15">
        <v>2039189510.54</v>
      </c>
      <c r="E9" s="15">
        <v>2014320830.54</v>
      </c>
      <c r="F9" s="15"/>
      <c r="G9" s="15">
        <v>1374964415.72</v>
      </c>
      <c r="H9" s="19">
        <f t="shared" si="0"/>
        <v>0</v>
      </c>
      <c r="I9" s="15">
        <v>1374964415.72</v>
      </c>
      <c r="J9" s="19">
        <f t="shared" si="0"/>
        <v>0</v>
      </c>
      <c r="K9" s="15">
        <v>1374964415.72</v>
      </c>
      <c r="L9" s="19">
        <f t="shared" si="1"/>
        <v>0</v>
      </c>
      <c r="M9" s="15">
        <v>1374964415.72</v>
      </c>
      <c r="N9" s="19">
        <f t="shared" si="2"/>
        <v>0</v>
      </c>
      <c r="O9" s="15">
        <v>1374964415.72</v>
      </c>
      <c r="P9" s="19">
        <f t="shared" si="2"/>
        <v>0</v>
      </c>
      <c r="Q9" s="15">
        <v>1374964415.72</v>
      </c>
      <c r="R9" s="2"/>
    </row>
    <row r="10" spans="1:20">
      <c r="A10" s="81"/>
      <c r="B10" s="16" t="s">
        <v>255</v>
      </c>
      <c r="C10" s="15">
        <v>0</v>
      </c>
      <c r="D10" s="15">
        <v>0</v>
      </c>
      <c r="E10" s="15">
        <v>0</v>
      </c>
      <c r="F10" s="15"/>
      <c r="G10" s="15">
        <v>-7401576.4000000004</v>
      </c>
      <c r="H10" s="19">
        <f t="shared" si="0"/>
        <v>3839265.16</v>
      </c>
      <c r="I10" s="15">
        <v>-11240841.560000001</v>
      </c>
      <c r="J10" s="19">
        <f t="shared" si="0"/>
        <v>1793233.9100000001</v>
      </c>
      <c r="K10" s="15">
        <v>-13034075.470000001</v>
      </c>
      <c r="L10" s="19">
        <f t="shared" si="1"/>
        <v>-12415031.48</v>
      </c>
      <c r="M10" s="15">
        <v>-619043.99</v>
      </c>
      <c r="N10" s="19">
        <f t="shared" si="2"/>
        <v>-619043.99</v>
      </c>
      <c r="O10" s="15">
        <v>0</v>
      </c>
      <c r="P10" s="19">
        <f t="shared" si="2"/>
        <v>0</v>
      </c>
      <c r="Q10" s="15">
        <v>0</v>
      </c>
      <c r="R10" s="2"/>
    </row>
    <row r="11" spans="1:20">
      <c r="A11" s="81"/>
      <c r="B11" s="16" t="s">
        <v>256</v>
      </c>
      <c r="C11" s="15">
        <v>63435431.119999997</v>
      </c>
      <c r="D11" s="15">
        <v>163612517.12</v>
      </c>
      <c r="E11" s="15">
        <v>275280085.31999999</v>
      </c>
      <c r="F11" s="15"/>
      <c r="G11" s="15">
        <v>8215595509.6899996</v>
      </c>
      <c r="H11" s="19">
        <f t="shared" si="0"/>
        <v>1079945546.5699997</v>
      </c>
      <c r="I11" s="15">
        <v>7135649963.1199999</v>
      </c>
      <c r="J11" s="19">
        <f t="shared" si="0"/>
        <v>925125465.57999992</v>
      </c>
      <c r="K11" s="15">
        <v>6210524497.54</v>
      </c>
      <c r="L11" s="19">
        <f t="shared" si="1"/>
        <v>961117262.92000008</v>
      </c>
      <c r="M11" s="15">
        <v>5249407234.6199999</v>
      </c>
      <c r="N11" s="19">
        <f t="shared" si="2"/>
        <v>1028603307.4400001</v>
      </c>
      <c r="O11" s="15">
        <v>4220803927.1799998</v>
      </c>
      <c r="P11" s="19">
        <f t="shared" si="2"/>
        <v>1184369466.7199998</v>
      </c>
      <c r="Q11" s="15">
        <v>3036434460.46</v>
      </c>
      <c r="R11" s="2"/>
    </row>
    <row r="12" spans="1:20">
      <c r="A12" s="81"/>
      <c r="B12" s="15" t="s">
        <v>257</v>
      </c>
      <c r="C12" s="15">
        <v>0</v>
      </c>
      <c r="D12" s="15">
        <v>0</v>
      </c>
      <c r="E12" s="15">
        <v>0</v>
      </c>
      <c r="F12" s="15"/>
      <c r="G12" s="15">
        <v>600859229.62</v>
      </c>
      <c r="H12" s="19">
        <f t="shared" si="0"/>
        <v>180100820.25999999</v>
      </c>
      <c r="I12" s="15">
        <v>420758409.36000001</v>
      </c>
      <c r="J12" s="19">
        <f t="shared" si="0"/>
        <v>202397105.93000001</v>
      </c>
      <c r="K12" s="15">
        <v>218361303.43000001</v>
      </c>
      <c r="L12" s="19">
        <f t="shared" si="1"/>
        <v>119766801.06</v>
      </c>
      <c r="M12" s="15">
        <v>98594502.370000005</v>
      </c>
      <c r="N12" s="19">
        <f t="shared" si="2"/>
        <v>85298216.100000009</v>
      </c>
      <c r="O12" s="15">
        <v>13296286.27</v>
      </c>
      <c r="P12" s="19">
        <f t="shared" si="2"/>
        <v>13296286.27</v>
      </c>
      <c r="Q12" s="15">
        <v>0</v>
      </c>
      <c r="R12" s="2"/>
    </row>
    <row r="13" spans="1:20">
      <c r="A13" s="81"/>
      <c r="B13" s="16" t="s">
        <v>252</v>
      </c>
      <c r="C13" s="15">
        <v>105552620.23</v>
      </c>
      <c r="D13" s="15">
        <v>78113637.140000001</v>
      </c>
      <c r="E13" s="15">
        <v>288244590.30000001</v>
      </c>
      <c r="F13" s="15"/>
      <c r="G13" s="15">
        <v>80011307450.330002</v>
      </c>
      <c r="H13" s="19">
        <f>G13-I13</f>
        <v>17293499413.720001</v>
      </c>
      <c r="I13" s="15">
        <v>62717808036.610001</v>
      </c>
      <c r="J13" s="19">
        <f>I13-K13</f>
        <v>7838843538.840004</v>
      </c>
      <c r="K13" s="15">
        <v>54878964497.769997</v>
      </c>
      <c r="L13" s="19">
        <f t="shared" si="1"/>
        <v>9312907160.3999939</v>
      </c>
      <c r="M13" s="15">
        <v>45566057337.370003</v>
      </c>
      <c r="N13" s="19">
        <f t="shared" si="2"/>
        <v>9591085478.7300034</v>
      </c>
      <c r="O13" s="15">
        <v>35974971858.639999</v>
      </c>
      <c r="P13" s="19">
        <f t="shared" si="2"/>
        <v>7274896611.1399994</v>
      </c>
      <c r="Q13" s="15">
        <v>28700075247.5</v>
      </c>
      <c r="R13" s="2"/>
    </row>
    <row r="14" spans="1:20" s="12" customFormat="1">
      <c r="A14" s="81"/>
      <c r="B14" s="14" t="s">
        <v>259</v>
      </c>
      <c r="C14" s="14"/>
      <c r="D14" s="14">
        <v>2530915664.8000002</v>
      </c>
      <c r="E14" s="14">
        <v>2852845506.1599998</v>
      </c>
      <c r="F14" s="14"/>
      <c r="G14" s="15">
        <v>91451522828.960007</v>
      </c>
      <c r="H14" s="18">
        <f t="shared" ref="H14:J15" si="3">G14-I14</f>
        <v>18557385045.710007</v>
      </c>
      <c r="I14" s="14">
        <v>72894137783.25</v>
      </c>
      <c r="J14" s="18">
        <f t="shared" si="3"/>
        <v>8968159344.2600021</v>
      </c>
      <c r="K14" s="14">
        <v>63925978438.989998</v>
      </c>
      <c r="L14" s="18">
        <f t="shared" si="1"/>
        <v>10495575992.900002</v>
      </c>
      <c r="M14" s="14">
        <v>53430402446.089996</v>
      </c>
      <c r="N14" s="18">
        <f t="shared" si="2"/>
        <v>10808185958.279999</v>
      </c>
      <c r="O14" s="14">
        <v>42622216487.809998</v>
      </c>
      <c r="P14" s="18">
        <f t="shared" si="2"/>
        <v>8472562364.1299973</v>
      </c>
      <c r="Q14" s="14">
        <v>34149654123.68</v>
      </c>
      <c r="R14" s="13"/>
    </row>
    <row r="15" spans="1:20">
      <c r="A15" s="81"/>
      <c r="B15" s="15" t="s">
        <v>260</v>
      </c>
      <c r="C15" s="15"/>
      <c r="D15" s="15">
        <v>6716039.0099999998</v>
      </c>
      <c r="E15" s="15">
        <v>22503488.420000002</v>
      </c>
      <c r="F15" s="15"/>
      <c r="G15" s="15">
        <v>4568104646.1199999</v>
      </c>
      <c r="H15" s="19">
        <f t="shared" si="3"/>
        <v>1563699574.6500001</v>
      </c>
      <c r="I15" s="15">
        <v>3004405071.4699998</v>
      </c>
      <c r="J15" s="19">
        <f t="shared" si="3"/>
        <v>696213089.1699996</v>
      </c>
      <c r="K15" s="15">
        <v>2308191982.3000002</v>
      </c>
      <c r="L15" s="19">
        <f t="shared" si="1"/>
        <v>427043587.27000022</v>
      </c>
      <c r="M15" s="15">
        <v>1881148395.03</v>
      </c>
      <c r="N15" s="19">
        <f t="shared" si="2"/>
        <v>374272609.57999992</v>
      </c>
      <c r="O15" s="15">
        <v>1506875785.45</v>
      </c>
      <c r="P15" s="19">
        <f t="shared" si="2"/>
        <v>202493511.88000011</v>
      </c>
      <c r="Q15" s="15">
        <v>1304382273.5699999</v>
      </c>
      <c r="R15" s="2"/>
    </row>
    <row r="16" spans="1:20" s="12" customFormat="1">
      <c r="A16" s="81"/>
      <c r="B16" s="14" t="s">
        <v>261</v>
      </c>
      <c r="C16" s="14">
        <v>442420732.97000003</v>
      </c>
      <c r="D16" s="14">
        <f>SUM(D14:D15)</f>
        <v>2537631703.8100004</v>
      </c>
      <c r="E16" s="14">
        <f>SUM(E14:E15)</f>
        <v>2875348994.5799999</v>
      </c>
      <c r="F16" s="14"/>
      <c r="G16" s="14">
        <v>96019627475.080002</v>
      </c>
      <c r="H16" s="18">
        <f>G16-I16</f>
        <v>20121084620.360001</v>
      </c>
      <c r="I16" s="14">
        <v>75898542854.720001</v>
      </c>
      <c r="J16" s="18">
        <f>I16-K16</f>
        <v>9664372433.4300003</v>
      </c>
      <c r="K16" s="14">
        <v>66234170421.290001</v>
      </c>
      <c r="L16" s="18">
        <f t="shared" si="1"/>
        <v>10922619580.169998</v>
      </c>
      <c r="M16" s="14">
        <v>55311550841.120003</v>
      </c>
      <c r="N16" s="18">
        <f t="shared" si="2"/>
        <v>11182458567.860001</v>
      </c>
      <c r="O16" s="14">
        <v>44129092273.260002</v>
      </c>
      <c r="P16" s="18">
        <f t="shared" si="2"/>
        <v>8675055876.0100021</v>
      </c>
      <c r="Q16" s="14">
        <v>35454036397.25</v>
      </c>
      <c r="R16" s="13"/>
    </row>
    <row r="17" spans="1:18">
      <c r="A17" s="28" t="s">
        <v>228</v>
      </c>
      <c r="B17" s="13"/>
      <c r="C17" s="14"/>
      <c r="D17" s="14">
        <v>925757031.16999996</v>
      </c>
      <c r="E17" s="14">
        <v>1055556072.14</v>
      </c>
      <c r="F17" s="14"/>
      <c r="G17" s="14">
        <v>38590489400</v>
      </c>
      <c r="H17" s="18">
        <f>G17-I17</f>
        <v>1554493974.3099976</v>
      </c>
      <c r="I17" s="14">
        <v>37035995425.690002</v>
      </c>
      <c r="J17" s="18">
        <f>I17-K17</f>
        <v>16968702424.210003</v>
      </c>
      <c r="K17" s="14">
        <v>20067293001.48</v>
      </c>
      <c r="L17" s="18">
        <f>K17-M17</f>
        <v>9505678617.9699993</v>
      </c>
      <c r="M17" s="14">
        <v>10561614383.51</v>
      </c>
      <c r="N17" s="18">
        <f>M17-O17</f>
        <v>-763444020.28000069</v>
      </c>
      <c r="O17" s="14">
        <v>11325058403.790001</v>
      </c>
      <c r="P17" s="18">
        <f>O17-Q17</f>
        <v>1780885847.5800018</v>
      </c>
      <c r="Q17" s="14">
        <v>9544172556.2099991</v>
      </c>
      <c r="R17" s="2"/>
    </row>
    <row r="18" spans="1:18">
      <c r="A18" s="28" t="s">
        <v>227</v>
      </c>
      <c r="B18" s="13"/>
      <c r="C18" s="14">
        <v>1268856244.9000001</v>
      </c>
      <c r="D18" s="14">
        <v>3463388734.98</v>
      </c>
      <c r="E18" s="14">
        <v>3930905066.7199998</v>
      </c>
      <c r="F18" s="14"/>
      <c r="G18" s="14">
        <v>134610116875.08</v>
      </c>
      <c r="H18" s="18">
        <f t="shared" ref="H18:J53" si="4">G18-I18</f>
        <v>21675578594.669998</v>
      </c>
      <c r="I18" s="14">
        <v>112934538280.41</v>
      </c>
      <c r="J18" s="18">
        <f t="shared" si="4"/>
        <v>26633074857.639999</v>
      </c>
      <c r="K18" s="14">
        <v>86301463422.770004</v>
      </c>
      <c r="L18" s="18">
        <f t="shared" ref="L18:L53" si="5">K18-M18</f>
        <v>20428298198.140007</v>
      </c>
      <c r="M18" s="14">
        <v>65873165224.629997</v>
      </c>
      <c r="N18" s="18">
        <f t="shared" si="2"/>
        <v>10419014547.579994</v>
      </c>
      <c r="O18" s="14">
        <v>55454150677.050003</v>
      </c>
      <c r="P18" s="18">
        <f>O18-Q18</f>
        <v>10455941723.590004</v>
      </c>
      <c r="Q18" s="14">
        <v>44998208953.459999</v>
      </c>
      <c r="R18" s="2"/>
    </row>
    <row r="19" spans="1:18" s="12" customFormat="1">
      <c r="A19" s="27" t="s">
        <v>213</v>
      </c>
      <c r="B19" s="13" t="s">
        <v>219</v>
      </c>
      <c r="C19" s="14">
        <v>460983583.45999998</v>
      </c>
      <c r="D19" s="14">
        <v>1956436570.0999999</v>
      </c>
      <c r="E19" s="14">
        <v>1780307690.6400001</v>
      </c>
      <c r="F19" s="14"/>
      <c r="G19" s="14">
        <v>87868869913.339996</v>
      </c>
      <c r="H19" s="18">
        <f t="shared" si="4"/>
        <v>21013907795.119995</v>
      </c>
      <c r="I19" s="14">
        <v>66854962118.220001</v>
      </c>
      <c r="J19" s="18">
        <f t="shared" si="4"/>
        <v>30054212223.160004</v>
      </c>
      <c r="K19" s="14">
        <v>36800749895.059998</v>
      </c>
      <c r="L19" s="18">
        <f t="shared" si="5"/>
        <v>9090032214.8499985</v>
      </c>
      <c r="M19" s="14">
        <v>27710717680.209999</v>
      </c>
      <c r="N19" s="18">
        <f t="shared" si="2"/>
        <v>2525708348.5299988</v>
      </c>
      <c r="O19" s="14">
        <v>25185009331.68</v>
      </c>
      <c r="P19" s="18">
        <f>O19-Q19</f>
        <v>3123009481.5100021</v>
      </c>
      <c r="Q19" s="14">
        <v>22061999850.169998</v>
      </c>
      <c r="R19" s="13"/>
    </row>
    <row r="20" spans="1:18">
      <c r="A20" s="82" t="s">
        <v>215</v>
      </c>
      <c r="B20" s="16" t="s">
        <v>249</v>
      </c>
      <c r="C20" s="15">
        <v>2500000</v>
      </c>
      <c r="D20" s="15">
        <v>11740000</v>
      </c>
      <c r="E20" s="15">
        <v>37016763.100000001</v>
      </c>
      <c r="F20" s="15"/>
      <c r="G20" s="15">
        <v>1221706039</v>
      </c>
      <c r="H20" s="19">
        <f t="shared" si="4"/>
        <v>404078867</v>
      </c>
      <c r="I20" s="22">
        <v>817627172</v>
      </c>
      <c r="J20" s="19">
        <f t="shared" si="4"/>
        <v>-7761308234.8199997</v>
      </c>
      <c r="K20" s="15">
        <v>8578935406.8199997</v>
      </c>
      <c r="L20" s="19">
        <f t="shared" si="5"/>
        <v>6731096788.9899998</v>
      </c>
      <c r="M20" s="15">
        <v>1847838617.8299999</v>
      </c>
      <c r="N20" s="19">
        <f t="shared" ref="N20:N52" si="6">M20-O20</f>
        <v>1551754612.8299999</v>
      </c>
      <c r="O20" s="15">
        <v>296084005</v>
      </c>
      <c r="P20" s="19">
        <f t="shared" ref="P20:P42" si="7">O20-Q20</f>
        <v>92004887.199999988</v>
      </c>
      <c r="Q20" s="15">
        <v>204079117.80000001</v>
      </c>
      <c r="R20" s="2"/>
    </row>
    <row r="21" spans="1:18">
      <c r="A21" s="83"/>
      <c r="B21" s="16" t="s">
        <v>250</v>
      </c>
      <c r="C21" s="15">
        <v>0</v>
      </c>
      <c r="D21" s="15">
        <v>0</v>
      </c>
      <c r="E21" s="15">
        <v>0</v>
      </c>
      <c r="F21" s="15"/>
      <c r="G21" s="15">
        <v>0</v>
      </c>
      <c r="H21" s="19">
        <f t="shared" si="4"/>
        <v>0</v>
      </c>
      <c r="I21" s="22">
        <v>0</v>
      </c>
      <c r="J21" s="19">
        <f t="shared" si="4"/>
        <v>0</v>
      </c>
      <c r="K21" s="15">
        <v>0</v>
      </c>
      <c r="L21" s="19">
        <f t="shared" si="5"/>
        <v>0</v>
      </c>
      <c r="M21" s="15">
        <v>0</v>
      </c>
      <c r="N21" s="19">
        <f t="shared" si="6"/>
        <v>0</v>
      </c>
      <c r="O21" s="15">
        <v>0</v>
      </c>
      <c r="P21" s="19">
        <f t="shared" si="7"/>
        <v>0</v>
      </c>
      <c r="Q21" s="15">
        <v>0</v>
      </c>
      <c r="R21" s="2"/>
    </row>
    <row r="22" spans="1:18">
      <c r="A22" s="83"/>
      <c r="B22" s="16" t="s">
        <v>216</v>
      </c>
      <c r="C22" s="15">
        <v>47884805.68</v>
      </c>
      <c r="D22" s="15">
        <v>46700450.369999997</v>
      </c>
      <c r="E22" s="15">
        <v>42735776.909999996</v>
      </c>
      <c r="F22" s="15"/>
      <c r="G22" s="15">
        <v>0</v>
      </c>
      <c r="H22" s="19">
        <f t="shared" si="4"/>
        <v>-9</v>
      </c>
      <c r="I22" s="22">
        <v>9</v>
      </c>
      <c r="J22" s="19">
        <f t="shared" si="4"/>
        <v>-230759.89</v>
      </c>
      <c r="K22" s="15">
        <v>230768.89</v>
      </c>
      <c r="L22" s="19">
        <f t="shared" si="5"/>
        <v>-4075392.35</v>
      </c>
      <c r="M22" s="15">
        <v>4306161.24</v>
      </c>
      <c r="N22" s="19">
        <f t="shared" si="6"/>
        <v>3378938.45</v>
      </c>
      <c r="O22" s="15">
        <v>927222.79</v>
      </c>
      <c r="P22" s="19">
        <f t="shared" si="7"/>
        <v>-16890924.48</v>
      </c>
      <c r="Q22" s="15">
        <v>17818147.27</v>
      </c>
      <c r="R22" s="2"/>
    </row>
    <row r="23" spans="1:18">
      <c r="A23" s="83"/>
      <c r="B23" s="16" t="s">
        <v>229</v>
      </c>
      <c r="C23" s="15">
        <v>15247081.699999999</v>
      </c>
      <c r="D23" s="15">
        <v>3011768.4</v>
      </c>
      <c r="E23" s="15">
        <v>6120132.5</v>
      </c>
      <c r="F23" s="15"/>
      <c r="G23" s="15">
        <v>790807322.07000005</v>
      </c>
      <c r="H23" s="19">
        <f t="shared" si="4"/>
        <v>-255293374.8499999</v>
      </c>
      <c r="I23" s="22">
        <v>1046100696.92</v>
      </c>
      <c r="J23" s="19">
        <f t="shared" si="4"/>
        <v>-431634162.98000014</v>
      </c>
      <c r="K23" s="15">
        <v>1477734859.9000001</v>
      </c>
      <c r="L23" s="19">
        <f t="shared" si="5"/>
        <v>-1386475544.3800001</v>
      </c>
      <c r="M23" s="15">
        <v>2864210404.2800002</v>
      </c>
      <c r="N23" s="19">
        <f t="shared" si="6"/>
        <v>-1440368895.4000001</v>
      </c>
      <c r="O23" s="15">
        <v>4304579299.6800003</v>
      </c>
      <c r="P23" s="19">
        <f t="shared" si="7"/>
        <v>431708891.79000044</v>
      </c>
      <c r="Q23" s="15">
        <v>3872870407.8899999</v>
      </c>
      <c r="R23" s="2"/>
    </row>
    <row r="24" spans="1:18">
      <c r="A24" s="83"/>
      <c r="B24" s="16" t="s">
        <v>243</v>
      </c>
      <c r="C24" s="15"/>
      <c r="D24" s="15">
        <v>0</v>
      </c>
      <c r="E24" s="15">
        <v>0</v>
      </c>
      <c r="F24" s="15"/>
      <c r="G24" s="15">
        <v>241458615.88999999</v>
      </c>
      <c r="H24" s="19">
        <f t="shared" si="4"/>
        <v>100553759.00999999</v>
      </c>
      <c r="I24" s="22">
        <v>140904856.88</v>
      </c>
      <c r="J24" s="19">
        <f t="shared" si="4"/>
        <v>55557805.409999996</v>
      </c>
      <c r="K24" s="15">
        <v>85347051.469999999</v>
      </c>
      <c r="L24" s="19">
        <f t="shared" si="5"/>
        <v>4744129.1400000006</v>
      </c>
      <c r="M24" s="15">
        <v>80602922.329999998</v>
      </c>
      <c r="N24" s="19">
        <f t="shared" si="6"/>
        <v>-107996224.89999999</v>
      </c>
      <c r="O24" s="15">
        <v>188599147.22999999</v>
      </c>
      <c r="P24" s="19"/>
      <c r="Q24" s="15"/>
      <c r="R24" s="2"/>
    </row>
    <row r="25" spans="1:18">
      <c r="A25" s="83"/>
      <c r="B25" s="16" t="s">
        <v>217</v>
      </c>
      <c r="C25" s="15">
        <v>9792294.1199999992</v>
      </c>
      <c r="D25" s="15">
        <v>33320706.809999999</v>
      </c>
      <c r="E25" s="15">
        <v>45195662.659999996</v>
      </c>
      <c r="F25" s="15"/>
      <c r="G25" s="15">
        <v>31323463.350000001</v>
      </c>
      <c r="H25" s="19">
        <f t="shared" si="4"/>
        <v>-45904102.020000003</v>
      </c>
      <c r="I25" s="22">
        <v>77227565.370000005</v>
      </c>
      <c r="J25" s="19">
        <f t="shared" si="4"/>
        <v>29008546.620000005</v>
      </c>
      <c r="K25" s="15">
        <v>48219018.75</v>
      </c>
      <c r="L25" s="19">
        <f t="shared" si="5"/>
        <v>-32669901.829999998</v>
      </c>
      <c r="M25" s="15">
        <v>80888920.579999998</v>
      </c>
      <c r="N25" s="19">
        <f t="shared" si="6"/>
        <v>-38685268.239999995</v>
      </c>
      <c r="O25" s="15">
        <v>119574188.81999999</v>
      </c>
      <c r="P25" s="19">
        <f t="shared" si="7"/>
        <v>-18394495.290000021</v>
      </c>
      <c r="Q25" s="15">
        <v>137968684.11000001</v>
      </c>
      <c r="R25" s="2"/>
    </row>
    <row r="26" spans="1:18">
      <c r="A26" s="83"/>
      <c r="B26" s="16" t="s">
        <v>218</v>
      </c>
      <c r="C26" s="15">
        <v>512332818.61000001</v>
      </c>
      <c r="D26" s="15">
        <v>787652811.63999999</v>
      </c>
      <c r="E26" s="15">
        <v>1076612588.52</v>
      </c>
      <c r="F26" s="15"/>
      <c r="G26" s="15">
        <v>22057481376.459999</v>
      </c>
      <c r="H26" s="19">
        <f t="shared" si="4"/>
        <v>1435229550.9099998</v>
      </c>
      <c r="I26" s="22">
        <v>20622251825.549999</v>
      </c>
      <c r="J26" s="19">
        <f t="shared" si="4"/>
        <v>2608954802.8499985</v>
      </c>
      <c r="K26" s="15">
        <v>18013297022.700001</v>
      </c>
      <c r="L26" s="19">
        <f t="shared" si="5"/>
        <v>3030932654.8500004</v>
      </c>
      <c r="M26" s="15">
        <v>14982364367.85</v>
      </c>
      <c r="N26" s="19">
        <f t="shared" si="6"/>
        <v>3145554128.8199997</v>
      </c>
      <c r="O26" s="15">
        <v>11836810239.030001</v>
      </c>
      <c r="P26" s="19">
        <f t="shared" si="7"/>
        <v>2171082645.6100006</v>
      </c>
      <c r="Q26" s="15">
        <v>9665727593.4200001</v>
      </c>
      <c r="R26" s="2"/>
    </row>
    <row r="27" spans="1:18">
      <c r="A27" s="83"/>
      <c r="B27" s="16" t="s">
        <v>298</v>
      </c>
      <c r="C27" s="15">
        <v>1807921.64</v>
      </c>
      <c r="D27" s="15">
        <v>8996282.4100000001</v>
      </c>
      <c r="E27" s="15">
        <v>3267745.14</v>
      </c>
      <c r="F27" s="15"/>
      <c r="G27" s="15"/>
      <c r="H27" s="19"/>
      <c r="I27" s="22"/>
      <c r="J27" s="19"/>
      <c r="K27" s="15"/>
      <c r="L27" s="19"/>
      <c r="M27" s="15"/>
      <c r="N27" s="19"/>
      <c r="O27" s="15"/>
      <c r="P27" s="19"/>
      <c r="Q27" s="15"/>
      <c r="R27" s="2"/>
    </row>
    <row r="28" spans="1:18" s="12" customFormat="1">
      <c r="A28" s="84"/>
      <c r="B28" s="13" t="s">
        <v>267</v>
      </c>
      <c r="C28" s="14">
        <f>SUM(C20:C26)</f>
        <v>587757000.11000001</v>
      </c>
      <c r="D28" s="14">
        <f>SUM(D20:D26)</f>
        <v>882425737.22000003</v>
      </c>
      <c r="E28" s="14">
        <f>SUM(E20:E26)</f>
        <v>1207680923.6900001</v>
      </c>
      <c r="F28" s="14"/>
      <c r="G28" s="14">
        <f>SUM(G20:G26)</f>
        <v>24342776816.77</v>
      </c>
      <c r="H28" s="18">
        <f>G28-I28</f>
        <v>1638664691.0499992</v>
      </c>
      <c r="I28" s="14">
        <f>SUM(I20:I26)</f>
        <v>22704112125.720001</v>
      </c>
      <c r="J28" s="18">
        <f>I28-K28</f>
        <v>-5499652002.8099976</v>
      </c>
      <c r="K28" s="14">
        <f>SUM(K20:K26)</f>
        <v>28203764128.529999</v>
      </c>
      <c r="L28" s="18">
        <f>K28-M28</f>
        <v>8343552734.4199982</v>
      </c>
      <c r="M28" s="14">
        <f>SUM(M20:M26)</f>
        <v>19860211394.110001</v>
      </c>
      <c r="N28" s="18">
        <f>M28-O28</f>
        <v>3113637291.5600014</v>
      </c>
      <c r="O28" s="14">
        <f>SUM(O20:O26)</f>
        <v>16746574102.549999</v>
      </c>
      <c r="P28" s="18">
        <f>O28-Q28</f>
        <v>2848110152.0599995</v>
      </c>
      <c r="Q28" s="14">
        <f>SUM(Q20:Q26)</f>
        <v>13898463950.49</v>
      </c>
      <c r="R28" s="13"/>
    </row>
    <row r="29" spans="1:18">
      <c r="A29" s="82" t="s">
        <v>214</v>
      </c>
      <c r="B29" s="16" t="s">
        <v>220</v>
      </c>
      <c r="C29" s="15"/>
      <c r="D29" s="15">
        <v>414239895.73000002</v>
      </c>
      <c r="E29" s="15">
        <v>470098687.69</v>
      </c>
      <c r="F29" s="15"/>
      <c r="G29" s="15">
        <v>15244096632.02</v>
      </c>
      <c r="H29" s="19">
        <f t="shared" si="4"/>
        <v>790919192.68000031</v>
      </c>
      <c r="I29" s="22">
        <v>14453177439.34</v>
      </c>
      <c r="J29" s="19">
        <f t="shared" si="4"/>
        <v>3037224249.6200008</v>
      </c>
      <c r="K29" s="15">
        <v>11415953189.719999</v>
      </c>
      <c r="L29" s="19">
        <f t="shared" si="5"/>
        <v>1040195418.1299992</v>
      </c>
      <c r="M29" s="15">
        <v>10375757771.59</v>
      </c>
      <c r="N29" s="19">
        <f t="shared" si="6"/>
        <v>1852500811.4800005</v>
      </c>
      <c r="O29" s="15">
        <v>8523256960.1099997</v>
      </c>
      <c r="P29" s="19">
        <f t="shared" si="7"/>
        <v>1715923729.0199995</v>
      </c>
      <c r="Q29" s="15">
        <v>6807333231.0900002</v>
      </c>
      <c r="R29" s="2"/>
    </row>
    <row r="30" spans="1:18">
      <c r="A30" s="83"/>
      <c r="B30" s="16" t="s">
        <v>248</v>
      </c>
      <c r="C30" s="15"/>
      <c r="D30" s="15">
        <v>162048784.65000001</v>
      </c>
      <c r="E30" s="15">
        <v>442903497.32999998</v>
      </c>
      <c r="F30" s="15"/>
      <c r="G30" s="15">
        <v>2016405005.77</v>
      </c>
      <c r="H30" s="19">
        <f t="shared" si="4"/>
        <v>-729174989.90999985</v>
      </c>
      <c r="I30" s="22">
        <v>2745579995.6799998</v>
      </c>
      <c r="J30" s="19">
        <f t="shared" si="4"/>
        <v>-2149570720.8300004</v>
      </c>
      <c r="K30" s="15">
        <v>4895150716.5100002</v>
      </c>
      <c r="L30" s="19">
        <f t="shared" si="5"/>
        <v>1473376268.4900002</v>
      </c>
      <c r="M30" s="15">
        <v>3421774448.02</v>
      </c>
      <c r="N30" s="19">
        <f t="shared" si="6"/>
        <v>2965446155.8899999</v>
      </c>
      <c r="O30" s="15">
        <v>456328292.13</v>
      </c>
      <c r="P30" s="19">
        <f t="shared" si="7"/>
        <v>63655968.180000007</v>
      </c>
      <c r="Q30" s="15">
        <v>392672323.94999999</v>
      </c>
      <c r="R30" s="2"/>
    </row>
    <row r="31" spans="1:18">
      <c r="A31" s="83"/>
      <c r="B31" s="16" t="s">
        <v>221</v>
      </c>
      <c r="C31" s="15"/>
      <c r="D31" s="15">
        <v>0</v>
      </c>
      <c r="E31" s="15">
        <v>0</v>
      </c>
      <c r="F31" s="15"/>
      <c r="G31" s="15">
        <v>0</v>
      </c>
      <c r="H31" s="19">
        <f t="shared" si="4"/>
        <v>0</v>
      </c>
      <c r="I31" s="22">
        <v>0</v>
      </c>
      <c r="J31" s="19">
        <f t="shared" si="4"/>
        <v>-260855.92</v>
      </c>
      <c r="K31" s="15">
        <v>260855.92</v>
      </c>
      <c r="L31" s="19">
        <f t="shared" si="5"/>
        <v>0</v>
      </c>
      <c r="M31" s="15">
        <v>260855.92</v>
      </c>
      <c r="N31" s="19">
        <f t="shared" si="6"/>
        <v>-1464254.54</v>
      </c>
      <c r="O31" s="15">
        <v>1725110.46</v>
      </c>
      <c r="P31" s="19">
        <f t="shared" si="7"/>
        <v>-951832.12999999989</v>
      </c>
      <c r="Q31" s="15">
        <v>2676942.59</v>
      </c>
      <c r="R31" s="2"/>
    </row>
    <row r="32" spans="1:18">
      <c r="A32" s="83"/>
      <c r="B32" s="16" t="s">
        <v>222</v>
      </c>
      <c r="C32" s="15"/>
      <c r="D32" s="15">
        <v>594999.96</v>
      </c>
      <c r="E32" s="15">
        <v>424999.92</v>
      </c>
      <c r="F32" s="15"/>
      <c r="G32" s="15">
        <v>3458622239.3800001</v>
      </c>
      <c r="H32" s="19">
        <f t="shared" si="4"/>
        <v>-73118386.21999979</v>
      </c>
      <c r="I32" s="22">
        <v>3531740625.5999999</v>
      </c>
      <c r="J32" s="19">
        <f t="shared" si="4"/>
        <v>-50721805.440000057</v>
      </c>
      <c r="K32" s="15">
        <v>3582462431.04</v>
      </c>
      <c r="L32" s="19">
        <f t="shared" si="5"/>
        <v>-161251.19999980927</v>
      </c>
      <c r="M32" s="15">
        <v>3582623682.2399998</v>
      </c>
      <c r="N32" s="19">
        <f t="shared" si="6"/>
        <v>19315571.729999542</v>
      </c>
      <c r="O32" s="15">
        <v>3563308110.5100002</v>
      </c>
      <c r="P32" s="19">
        <f t="shared" si="7"/>
        <v>2700692211.3100004</v>
      </c>
      <c r="Q32" s="15">
        <v>862615899.20000005</v>
      </c>
      <c r="R32" s="2"/>
    </row>
    <row r="33" spans="1:18">
      <c r="A33" s="83"/>
      <c r="B33" s="16" t="s">
        <v>223</v>
      </c>
      <c r="C33" s="15"/>
      <c r="D33" s="15">
        <v>0</v>
      </c>
      <c r="E33" s="15">
        <v>0</v>
      </c>
      <c r="F33" s="15"/>
      <c r="G33" s="15">
        <v>0</v>
      </c>
      <c r="H33" s="19">
        <f t="shared" si="4"/>
        <v>0</v>
      </c>
      <c r="I33" s="22">
        <v>0</v>
      </c>
      <c r="J33" s="19">
        <f t="shared" si="4"/>
        <v>0</v>
      </c>
      <c r="K33" s="15">
        <v>0</v>
      </c>
      <c r="L33" s="19">
        <f t="shared" si="5"/>
        <v>0</v>
      </c>
      <c r="M33" s="15">
        <v>0</v>
      </c>
      <c r="N33" s="19">
        <f t="shared" si="6"/>
        <v>0</v>
      </c>
      <c r="O33" s="15">
        <v>0</v>
      </c>
      <c r="P33" s="19">
        <f t="shared" si="7"/>
        <v>0</v>
      </c>
      <c r="Q33" s="15">
        <v>0</v>
      </c>
      <c r="R33" s="2"/>
    </row>
    <row r="34" spans="1:18">
      <c r="A34" s="83"/>
      <c r="B34" s="16" t="s">
        <v>225</v>
      </c>
      <c r="C34" s="15"/>
      <c r="D34" s="15">
        <v>16579763.939999999</v>
      </c>
      <c r="E34" s="15">
        <v>22221522.309999999</v>
      </c>
      <c r="F34" s="15"/>
      <c r="G34" s="15">
        <v>177859674.53999999</v>
      </c>
      <c r="H34" s="19">
        <f t="shared" si="4"/>
        <v>-10259101.969999999</v>
      </c>
      <c r="I34" s="22">
        <v>188118776.50999999</v>
      </c>
      <c r="J34" s="19">
        <f t="shared" si="4"/>
        <v>-10484761.300000012</v>
      </c>
      <c r="K34" s="15">
        <v>198603537.81</v>
      </c>
      <c r="L34" s="19">
        <f t="shared" si="5"/>
        <v>193195250.97999999</v>
      </c>
      <c r="M34" s="15">
        <v>5408286.8300000001</v>
      </c>
      <c r="N34" s="19">
        <f t="shared" si="6"/>
        <v>-2640458.13</v>
      </c>
      <c r="O34" s="15">
        <v>8048744.96</v>
      </c>
      <c r="P34" s="19">
        <f t="shared" si="7"/>
        <v>-2128284.4699999997</v>
      </c>
      <c r="Q34" s="15">
        <v>10177029.43</v>
      </c>
      <c r="R34" s="2"/>
    </row>
    <row r="35" spans="1:18">
      <c r="A35" s="83"/>
      <c r="B35" s="16" t="s">
        <v>224</v>
      </c>
      <c r="C35" s="15"/>
      <c r="D35" s="15">
        <v>0</v>
      </c>
      <c r="E35" s="15">
        <v>0</v>
      </c>
      <c r="F35" s="15"/>
      <c r="G35" s="15">
        <v>1401797361.77</v>
      </c>
      <c r="H35" s="19">
        <f t="shared" si="4"/>
        <v>-343741758.91000009</v>
      </c>
      <c r="I35" s="22">
        <v>1745539120.6800001</v>
      </c>
      <c r="J35" s="19">
        <f t="shared" si="4"/>
        <v>590203046.53999996</v>
      </c>
      <c r="K35" s="15">
        <v>1155336074.1400001</v>
      </c>
      <c r="L35" s="19">
        <f t="shared" si="5"/>
        <v>333734968.43000007</v>
      </c>
      <c r="M35" s="15">
        <v>821601105.71000004</v>
      </c>
      <c r="N35" s="19">
        <f t="shared" si="6"/>
        <v>-3771418.939999938</v>
      </c>
      <c r="O35" s="15">
        <v>825372524.64999998</v>
      </c>
      <c r="P35" s="19">
        <f t="shared" si="7"/>
        <v>181715611.32999992</v>
      </c>
      <c r="Q35" s="15">
        <v>643656913.32000005</v>
      </c>
      <c r="R35" s="2"/>
    </row>
    <row r="36" spans="1:18" s="12" customFormat="1">
      <c r="A36" s="84"/>
      <c r="B36" s="13" t="s">
        <v>267</v>
      </c>
      <c r="C36" s="14">
        <f>SUM(C29:C35)</f>
        <v>0</v>
      </c>
      <c r="D36" s="14">
        <f>SUM(D29:D35)</f>
        <v>593463444.28000009</v>
      </c>
      <c r="E36" s="14">
        <f>SUM(E29:E35)</f>
        <v>935648707.24999988</v>
      </c>
      <c r="F36" s="14"/>
      <c r="G36" s="14">
        <f>SUM(G29:G35)</f>
        <v>22298780913.480003</v>
      </c>
      <c r="H36" s="18">
        <f>G36-I36</f>
        <v>-365375044.3299942</v>
      </c>
      <c r="I36" s="14">
        <f>SUM(I29:I35)</f>
        <v>22664155957.809998</v>
      </c>
      <c r="J36" s="18">
        <f>I36-K36</f>
        <v>1416389152.6699982</v>
      </c>
      <c r="K36" s="14">
        <f>SUM(K29:K35)</f>
        <v>21247766805.139999</v>
      </c>
      <c r="L36" s="18">
        <f>K36-M36</f>
        <v>3040340654.829998</v>
      </c>
      <c r="M36" s="14">
        <f>SUM(M29:M35)</f>
        <v>18207426150.310001</v>
      </c>
      <c r="N36" s="18">
        <f>M36-O36</f>
        <v>4829386407.4900036</v>
      </c>
      <c r="O36" s="14">
        <f>SUM(O29:O35)</f>
        <v>13378039742.819998</v>
      </c>
      <c r="P36" s="18">
        <f>O36-Q36</f>
        <v>4658907403.2399979</v>
      </c>
      <c r="Q36" s="14">
        <f>SUM(Q29:Q35)</f>
        <v>8719132339.5799999</v>
      </c>
      <c r="R36" s="13"/>
    </row>
    <row r="37" spans="1:18">
      <c r="A37" s="82" t="s">
        <v>226</v>
      </c>
      <c r="B37" s="16" t="s">
        <v>247</v>
      </c>
      <c r="C37" s="15"/>
      <c r="D37" s="15"/>
      <c r="E37" s="15"/>
      <c r="F37" s="15"/>
      <c r="G37" s="15"/>
      <c r="H37" s="19"/>
      <c r="I37" s="22"/>
      <c r="J37" s="19">
        <f t="shared" si="4"/>
        <v>0</v>
      </c>
      <c r="K37" s="15"/>
      <c r="L37" s="19">
        <f t="shared" si="5"/>
        <v>0</v>
      </c>
      <c r="M37" s="15"/>
      <c r="N37" s="19">
        <f t="shared" si="6"/>
        <v>0</v>
      </c>
      <c r="O37" s="15">
        <v>0</v>
      </c>
      <c r="P37" s="19">
        <f t="shared" si="7"/>
        <v>0</v>
      </c>
      <c r="Q37" s="15">
        <v>0</v>
      </c>
      <c r="R37" s="2"/>
    </row>
    <row r="38" spans="1:18">
      <c r="A38" s="83"/>
      <c r="B38" s="16" t="s">
        <v>231</v>
      </c>
      <c r="C38" s="15"/>
      <c r="D38" s="15"/>
      <c r="E38" s="15"/>
      <c r="F38" s="15"/>
      <c r="G38" s="15"/>
      <c r="H38" s="19"/>
      <c r="I38" s="22"/>
      <c r="J38" s="19">
        <f t="shared" si="4"/>
        <v>0</v>
      </c>
      <c r="K38" s="15"/>
      <c r="L38" s="19">
        <f t="shared" si="5"/>
        <v>0</v>
      </c>
      <c r="M38" s="15"/>
      <c r="N38" s="19">
        <f t="shared" si="6"/>
        <v>0</v>
      </c>
      <c r="O38" s="15">
        <v>0</v>
      </c>
      <c r="P38" s="19">
        <f t="shared" si="7"/>
        <v>0</v>
      </c>
      <c r="Q38" s="15">
        <v>0</v>
      </c>
      <c r="R38" s="2"/>
    </row>
    <row r="39" spans="1:18">
      <c r="A39" s="83"/>
      <c r="B39" s="16" t="s">
        <v>232</v>
      </c>
      <c r="C39" s="15"/>
      <c r="D39" s="15"/>
      <c r="E39" s="15"/>
      <c r="F39" s="15"/>
      <c r="G39" s="15"/>
      <c r="H39" s="19"/>
      <c r="I39" s="22"/>
      <c r="J39" s="19">
        <f t="shared" si="4"/>
        <v>0</v>
      </c>
      <c r="K39" s="15"/>
      <c r="L39" s="19">
        <f t="shared" si="5"/>
        <v>0</v>
      </c>
      <c r="M39" s="15"/>
      <c r="N39" s="19">
        <f t="shared" si="6"/>
        <v>0</v>
      </c>
      <c r="O39" s="15">
        <v>0</v>
      </c>
      <c r="P39" s="19">
        <f t="shared" si="7"/>
        <v>0</v>
      </c>
      <c r="Q39" s="15">
        <v>0</v>
      </c>
      <c r="R39" s="2"/>
    </row>
    <row r="40" spans="1:18">
      <c r="A40" s="83"/>
      <c r="B40" s="16" t="s">
        <v>230</v>
      </c>
      <c r="C40" s="15"/>
      <c r="D40" s="15"/>
      <c r="E40" s="15"/>
      <c r="F40" s="15"/>
      <c r="G40" s="15"/>
      <c r="H40" s="19"/>
      <c r="I40" s="22"/>
      <c r="J40" s="19">
        <f t="shared" si="4"/>
        <v>0</v>
      </c>
      <c r="K40" s="15"/>
      <c r="L40" s="19">
        <f t="shared" si="5"/>
        <v>0</v>
      </c>
      <c r="M40" s="15"/>
      <c r="N40" s="19">
        <f t="shared" si="6"/>
        <v>0</v>
      </c>
      <c r="O40" s="15">
        <v>0</v>
      </c>
      <c r="P40" s="19">
        <f t="shared" si="7"/>
        <v>0</v>
      </c>
      <c r="Q40" s="15">
        <v>0</v>
      </c>
      <c r="R40" s="2"/>
    </row>
    <row r="41" spans="1:18">
      <c r="A41" s="83"/>
      <c r="B41" s="16" t="s">
        <v>233</v>
      </c>
      <c r="C41" s="15"/>
      <c r="D41" s="15">
        <v>0</v>
      </c>
      <c r="E41" s="15">
        <v>4000000</v>
      </c>
      <c r="G41" s="15"/>
      <c r="H41" s="19"/>
      <c r="I41" s="22"/>
      <c r="J41" s="19">
        <f t="shared" si="4"/>
        <v>0</v>
      </c>
      <c r="K41" s="15"/>
      <c r="L41" s="19">
        <f t="shared" si="5"/>
        <v>0</v>
      </c>
      <c r="M41" s="15"/>
      <c r="N41" s="19">
        <f t="shared" si="6"/>
        <v>-4000000</v>
      </c>
      <c r="O41" s="15">
        <v>4000000</v>
      </c>
      <c r="P41" s="19">
        <f t="shared" si="7"/>
        <v>0</v>
      </c>
      <c r="Q41" s="15">
        <v>4000000</v>
      </c>
      <c r="R41" s="2"/>
    </row>
    <row r="42" spans="1:18">
      <c r="A42" s="83"/>
      <c r="B42" s="16" t="s">
        <v>234</v>
      </c>
      <c r="C42" s="15"/>
      <c r="D42" s="15"/>
      <c r="E42" s="15"/>
      <c r="F42" s="15"/>
      <c r="G42" s="15"/>
      <c r="H42" s="19"/>
      <c r="I42" s="22"/>
      <c r="J42" s="19">
        <f t="shared" si="4"/>
        <v>0</v>
      </c>
      <c r="K42" s="15"/>
      <c r="L42" s="19">
        <f t="shared" si="5"/>
        <v>0</v>
      </c>
      <c r="M42" s="15"/>
      <c r="N42" s="19">
        <f t="shared" si="6"/>
        <v>0</v>
      </c>
      <c r="O42" s="15">
        <v>0</v>
      </c>
      <c r="P42" s="19">
        <f t="shared" si="7"/>
        <v>0</v>
      </c>
      <c r="Q42" s="15">
        <v>0</v>
      </c>
      <c r="R42" s="2"/>
    </row>
    <row r="43" spans="1:18" s="12" customFormat="1">
      <c r="A43" s="84"/>
      <c r="B43" s="13" t="s">
        <v>267</v>
      </c>
      <c r="C43" s="14"/>
      <c r="D43" s="14"/>
      <c r="E43" s="14"/>
      <c r="F43" s="14"/>
      <c r="G43" s="14">
        <f>SUM(G37:G42)</f>
        <v>0</v>
      </c>
      <c r="H43" s="14">
        <f t="shared" ref="H43:Q43" si="8">SUM(H37:H42)</f>
        <v>0</v>
      </c>
      <c r="I43" s="14">
        <f t="shared" si="8"/>
        <v>0</v>
      </c>
      <c r="J43" s="14">
        <f t="shared" si="8"/>
        <v>0</v>
      </c>
      <c r="K43" s="14">
        <f t="shared" si="8"/>
        <v>0</v>
      </c>
      <c r="L43" s="14">
        <f t="shared" si="8"/>
        <v>0</v>
      </c>
      <c r="M43" s="14">
        <f t="shared" si="8"/>
        <v>0</v>
      </c>
      <c r="N43" s="14">
        <f t="shared" si="8"/>
        <v>-4000000</v>
      </c>
      <c r="O43" s="14">
        <f t="shared" si="8"/>
        <v>4000000</v>
      </c>
      <c r="P43" s="14">
        <f t="shared" si="8"/>
        <v>0</v>
      </c>
      <c r="Q43" s="14">
        <f t="shared" si="8"/>
        <v>4000000</v>
      </c>
      <c r="R43" s="39"/>
    </row>
    <row r="44" spans="1:18">
      <c r="A44" s="80" t="s">
        <v>245</v>
      </c>
      <c r="B44" s="16" t="s">
        <v>242</v>
      </c>
      <c r="C44" s="15"/>
      <c r="D44" s="15"/>
      <c r="E44" s="15"/>
      <c r="F44" s="15"/>
      <c r="G44" s="15"/>
      <c r="H44" s="19"/>
      <c r="I44" s="15">
        <v>10778818332.129999</v>
      </c>
      <c r="J44" s="19">
        <f t="shared" si="4"/>
        <v>4811196032.999999</v>
      </c>
      <c r="K44" s="15">
        <v>5967622299.1300001</v>
      </c>
      <c r="L44" s="19">
        <f t="shared" si="5"/>
        <v>2011171589.9400001</v>
      </c>
      <c r="M44" s="15">
        <v>3956450709.1900001</v>
      </c>
      <c r="N44" s="19">
        <f>M44-O44</f>
        <v>1183261609.6500001</v>
      </c>
      <c r="O44" s="15">
        <v>2773189099.54</v>
      </c>
      <c r="P44" s="19">
        <f t="shared" ref="P44:P52" si="9">O44-Q44</f>
        <v>2773189099.54</v>
      </c>
      <c r="Q44" s="15">
        <v>0</v>
      </c>
    </row>
    <row r="45" spans="1:18">
      <c r="A45" s="80"/>
      <c r="B45" s="16" t="s">
        <v>235</v>
      </c>
      <c r="C45" s="15"/>
      <c r="D45" s="15">
        <v>10084988.039999999</v>
      </c>
      <c r="E45" s="15">
        <v>24208759.649999999</v>
      </c>
      <c r="F45" s="15"/>
      <c r="G45" s="15"/>
      <c r="H45" s="19"/>
      <c r="I45" s="15">
        <v>1040608203.1799999</v>
      </c>
      <c r="J45" s="19">
        <f t="shared" si="4"/>
        <v>159632131.08999991</v>
      </c>
      <c r="K45" s="15">
        <v>880976072.09000003</v>
      </c>
      <c r="L45" s="19">
        <f t="shared" si="5"/>
        <v>173441424.55000007</v>
      </c>
      <c r="M45" s="15">
        <v>707534647.53999996</v>
      </c>
      <c r="N45" s="19">
        <f t="shared" si="6"/>
        <v>422786358.64999998</v>
      </c>
      <c r="O45" s="15">
        <v>284748288.88999999</v>
      </c>
      <c r="P45" s="19">
        <f t="shared" si="9"/>
        <v>-60532688.790000021</v>
      </c>
      <c r="Q45" s="15">
        <v>345280977.68000001</v>
      </c>
    </row>
    <row r="46" spans="1:18">
      <c r="A46" s="80"/>
      <c r="B46" s="16" t="s">
        <v>236</v>
      </c>
      <c r="C46" s="15"/>
      <c r="D46" s="15">
        <v>306147007.76999998</v>
      </c>
      <c r="E46" s="15">
        <v>452516762.87</v>
      </c>
      <c r="F46" s="15"/>
      <c r="G46" s="15"/>
      <c r="H46" s="19"/>
      <c r="I46" s="15">
        <v>17541082237.009998</v>
      </c>
      <c r="J46" s="19">
        <f t="shared" si="4"/>
        <v>9279500163.9699974</v>
      </c>
      <c r="K46" s="15">
        <v>8261582073.04</v>
      </c>
      <c r="L46" s="19">
        <f t="shared" si="5"/>
        <v>6785348976.9499998</v>
      </c>
      <c r="M46" s="15">
        <v>1476233096.0899999</v>
      </c>
      <c r="N46" s="19">
        <f t="shared" si="6"/>
        <v>-1568880490.01</v>
      </c>
      <c r="O46" s="15">
        <v>3045113586.0999999</v>
      </c>
      <c r="P46" s="19">
        <f t="shared" si="9"/>
        <v>-2046272683.4500003</v>
      </c>
      <c r="Q46" s="15">
        <v>5091386269.5500002</v>
      </c>
    </row>
    <row r="47" spans="1:18">
      <c r="A47" s="80"/>
      <c r="B47" s="16" t="s">
        <v>237</v>
      </c>
      <c r="C47" s="15"/>
      <c r="D47" s="15">
        <v>10173700</v>
      </c>
      <c r="E47" s="15">
        <v>41000000</v>
      </c>
      <c r="F47" s="15"/>
      <c r="G47" s="15"/>
      <c r="H47" s="19"/>
      <c r="I47" s="15">
        <v>1628507252.03</v>
      </c>
      <c r="J47" s="19">
        <f t="shared" si="4"/>
        <v>653029504.97000003</v>
      </c>
      <c r="K47" s="15">
        <v>975477747.05999994</v>
      </c>
      <c r="L47" s="19">
        <f t="shared" si="5"/>
        <v>-13166095.5</v>
      </c>
      <c r="M47" s="15">
        <v>988643842.55999994</v>
      </c>
      <c r="N47" s="19">
        <f t="shared" si="6"/>
        <v>728359350.81999993</v>
      </c>
      <c r="O47" s="15">
        <v>260284491.74000001</v>
      </c>
      <c r="P47" s="19">
        <f t="shared" si="9"/>
        <v>-9373263.8399999738</v>
      </c>
      <c r="Q47" s="15">
        <v>269657755.57999998</v>
      </c>
    </row>
    <row r="48" spans="1:18">
      <c r="A48" s="80"/>
      <c r="B48" s="16" t="s">
        <v>238</v>
      </c>
      <c r="C48" s="15"/>
      <c r="D48" s="15">
        <v>237655974.44</v>
      </c>
      <c r="E48" s="15">
        <v>320854102.24000001</v>
      </c>
      <c r="F48" s="15"/>
      <c r="G48" s="15"/>
      <c r="H48" s="19"/>
      <c r="I48" s="15">
        <v>4272289194.5700002</v>
      </c>
      <c r="J48" s="19">
        <f t="shared" si="4"/>
        <v>1756773037.7400002</v>
      </c>
      <c r="K48" s="15">
        <v>2515516156.8299999</v>
      </c>
      <c r="L48" s="19">
        <f t="shared" si="5"/>
        <v>410337990.96000004</v>
      </c>
      <c r="M48" s="15">
        <v>2105178165.8699999</v>
      </c>
      <c r="N48" s="19">
        <f t="shared" si="6"/>
        <v>-1206702724.6199999</v>
      </c>
      <c r="O48" s="15">
        <v>3311880890.4899998</v>
      </c>
      <c r="P48" s="19">
        <f t="shared" si="9"/>
        <v>881787429.10999966</v>
      </c>
      <c r="Q48" s="15">
        <v>2430093461.3800001</v>
      </c>
    </row>
    <row r="49" spans="1:17">
      <c r="A49" s="80"/>
      <c r="B49" s="16" t="s">
        <v>239</v>
      </c>
      <c r="C49" s="15"/>
      <c r="D49" s="56">
        <v>0</v>
      </c>
      <c r="E49" s="15">
        <v>0</v>
      </c>
      <c r="F49" s="15"/>
      <c r="G49" s="15"/>
      <c r="H49" s="19"/>
      <c r="I49" s="15">
        <v>34481635.329999998</v>
      </c>
      <c r="J49" s="19">
        <f t="shared" si="4"/>
        <v>7072187.9299999997</v>
      </c>
      <c r="K49" s="15">
        <v>27409447.399999999</v>
      </c>
      <c r="L49" s="19">
        <f t="shared" si="5"/>
        <v>12044249.489999998</v>
      </c>
      <c r="M49" s="15">
        <v>15365197.91</v>
      </c>
      <c r="N49" s="19">
        <f t="shared" si="6"/>
        <v>-12018690.98</v>
      </c>
      <c r="O49" s="15">
        <v>27383888.890000001</v>
      </c>
      <c r="P49" s="19">
        <f t="shared" si="9"/>
        <v>27383888.890000001</v>
      </c>
      <c r="Q49" s="15">
        <v>0</v>
      </c>
    </row>
    <row r="50" spans="1:17">
      <c r="A50" s="80"/>
      <c r="B50" s="16" t="s">
        <v>305</v>
      </c>
      <c r="C50" s="15"/>
      <c r="D50" s="15">
        <v>165107825.69999999</v>
      </c>
      <c r="E50" s="15">
        <v>55577521.600000001</v>
      </c>
      <c r="F50" s="15"/>
      <c r="G50" s="15"/>
      <c r="H50" s="19"/>
      <c r="I50" s="15"/>
      <c r="J50" s="19"/>
      <c r="K50" s="15"/>
      <c r="L50" s="19"/>
      <c r="M50" s="15"/>
      <c r="N50" s="19"/>
      <c r="O50" s="15"/>
      <c r="P50" s="19"/>
      <c r="Q50" s="15"/>
    </row>
    <row r="51" spans="1:17">
      <c r="A51" s="80"/>
      <c r="B51" s="16" t="s">
        <v>240</v>
      </c>
      <c r="C51" s="15"/>
      <c r="D51" s="15">
        <f>10012484.74+176692131.93</f>
        <v>186704616.67000002</v>
      </c>
      <c r="E51" s="15">
        <f>9610926.96+127453900</f>
        <v>137064826.96000001</v>
      </c>
      <c r="F51" s="15"/>
      <c r="G51" s="16"/>
      <c r="H51" s="40"/>
      <c r="I51" s="15">
        <v>1724638571.4400001</v>
      </c>
      <c r="J51" s="19">
        <f t="shared" si="4"/>
        <v>301499365.50999999</v>
      </c>
      <c r="K51" s="15">
        <v>1423139205.9300001</v>
      </c>
      <c r="L51" s="19">
        <f t="shared" si="5"/>
        <v>191252965.58000016</v>
      </c>
      <c r="M51" s="15">
        <v>1231886240.3499999</v>
      </c>
      <c r="N51" s="19">
        <f t="shared" si="6"/>
        <v>-372801917.7900002</v>
      </c>
      <c r="O51" s="15">
        <v>1604688158.1400001</v>
      </c>
      <c r="P51" s="19">
        <f t="shared" si="9"/>
        <v>214704066.12000012</v>
      </c>
      <c r="Q51" s="15">
        <v>1389984092.02</v>
      </c>
    </row>
    <row r="52" spans="1:17">
      <c r="A52" s="80"/>
      <c r="B52" s="16" t="s">
        <v>241</v>
      </c>
      <c r="C52" s="15"/>
      <c r="D52" s="15">
        <v>0</v>
      </c>
      <c r="E52" s="15">
        <v>0</v>
      </c>
      <c r="F52" s="15"/>
      <c r="G52" s="16"/>
      <c r="H52" s="40"/>
      <c r="I52" s="15">
        <v>15570000</v>
      </c>
      <c r="J52" s="19">
        <f t="shared" si="4"/>
        <v>0</v>
      </c>
      <c r="K52" s="15">
        <v>15570000</v>
      </c>
      <c r="L52" s="19">
        <f t="shared" si="5"/>
        <v>-2200000</v>
      </c>
      <c r="M52" s="15">
        <v>17770000</v>
      </c>
      <c r="N52" s="19">
        <f t="shared" si="6"/>
        <v>0</v>
      </c>
      <c r="O52" s="15">
        <v>17770000</v>
      </c>
      <c r="P52" s="19">
        <f t="shared" si="9"/>
        <v>0</v>
      </c>
      <c r="Q52" s="15">
        <v>17770000</v>
      </c>
    </row>
    <row r="53" spans="1:17">
      <c r="A53" s="30" t="s">
        <v>246</v>
      </c>
      <c r="B53" s="16" t="s">
        <v>244</v>
      </c>
      <c r="C53" s="15"/>
      <c r="D53" s="15">
        <v>0</v>
      </c>
      <c r="E53" s="15">
        <v>0</v>
      </c>
      <c r="F53" s="15"/>
      <c r="G53" s="16"/>
      <c r="H53" s="40"/>
      <c r="I53" s="15">
        <v>0</v>
      </c>
      <c r="J53" s="19">
        <f t="shared" si="4"/>
        <v>0</v>
      </c>
      <c r="K53" s="15">
        <v>0</v>
      </c>
      <c r="L53" s="19">
        <f t="shared" si="5"/>
        <v>-62552484</v>
      </c>
      <c r="M53" s="15">
        <v>62552484</v>
      </c>
      <c r="N53" s="19">
        <f>M53-O53</f>
        <v>62552484</v>
      </c>
      <c r="O53" s="15">
        <v>0</v>
      </c>
      <c r="P53" s="19">
        <f>O53-Q53</f>
        <v>0</v>
      </c>
      <c r="Q53" s="15">
        <v>0</v>
      </c>
    </row>
  </sheetData>
  <mergeCells count="11">
    <mergeCell ref="Q1:R1"/>
    <mergeCell ref="G1:H1"/>
    <mergeCell ref="A44:A52"/>
    <mergeCell ref="M1:N1"/>
    <mergeCell ref="A8:A16"/>
    <mergeCell ref="O1:P1"/>
    <mergeCell ref="K1:L1"/>
    <mergeCell ref="I1:J1"/>
    <mergeCell ref="A20:A28"/>
    <mergeCell ref="A29:A36"/>
    <mergeCell ref="A37:A4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1"/>
  <sheetViews>
    <sheetView zoomScaleNormal="100" workbookViewId="0">
      <pane ySplit="1" topLeftCell="A2" activePane="bottomLeft" state="frozen"/>
      <selection pane="bottomLeft" activeCell="B7" sqref="B7"/>
    </sheetView>
  </sheetViews>
  <sheetFormatPr defaultRowHeight="13.5"/>
  <cols>
    <col min="2" max="2" width="12.75" bestFit="1" customWidth="1"/>
    <col min="3" max="3" width="11.875" bestFit="1" customWidth="1"/>
    <col min="4" max="4" width="16.875" bestFit="1" customWidth="1"/>
    <col min="5" max="5" width="8.375" bestFit="1" customWidth="1"/>
    <col min="6" max="6" width="9.75" bestFit="1" customWidth="1"/>
    <col min="7" max="7" width="8.375" bestFit="1" customWidth="1"/>
    <col min="8" max="8" width="11" bestFit="1" customWidth="1"/>
    <col min="9" max="10" width="7.75" bestFit="1" customWidth="1"/>
    <col min="11" max="13" width="10.625" bestFit="1" customWidth="1"/>
  </cols>
  <sheetData>
    <row r="1" spans="1:13" s="12" customFormat="1">
      <c r="A1" s="13"/>
      <c r="B1" s="13" t="s">
        <v>289</v>
      </c>
      <c r="C1" s="13" t="s">
        <v>288</v>
      </c>
      <c r="D1" s="13" t="s">
        <v>309</v>
      </c>
      <c r="E1" s="13" t="s">
        <v>204</v>
      </c>
      <c r="F1" s="13" t="s">
        <v>291</v>
      </c>
      <c r="G1" s="13" t="s">
        <v>299</v>
      </c>
      <c r="H1" s="13" t="s">
        <v>292</v>
      </c>
      <c r="I1" s="13" t="s">
        <v>290</v>
      </c>
      <c r="J1" s="13" t="s">
        <v>297</v>
      </c>
      <c r="K1" s="13" t="s">
        <v>293</v>
      </c>
      <c r="L1" s="13" t="s">
        <v>294</v>
      </c>
      <c r="M1" s="13" t="s">
        <v>295</v>
      </c>
    </row>
    <row r="2" spans="1:13" s="58" customFormat="1">
      <c r="A2" s="48">
        <v>2000</v>
      </c>
      <c r="B2" s="48"/>
      <c r="C2" s="48"/>
      <c r="D2" s="48"/>
      <c r="E2" s="57">
        <v>1268856244.9000001</v>
      </c>
      <c r="F2" s="57">
        <v>442420732.97000003</v>
      </c>
      <c r="G2" s="57">
        <v>1114000813.26</v>
      </c>
      <c r="H2" s="57">
        <v>717913306.38999999</v>
      </c>
      <c r="I2" s="57">
        <v>249558877.77000001</v>
      </c>
      <c r="J2" s="57"/>
      <c r="K2" s="48"/>
      <c r="L2" s="48"/>
      <c r="M2" s="48"/>
    </row>
    <row r="3" spans="1:13" s="60" customFormat="1">
      <c r="A3" s="59">
        <v>2001</v>
      </c>
      <c r="B3" s="2">
        <v>8610</v>
      </c>
      <c r="C3" s="59">
        <v>5204.46</v>
      </c>
      <c r="D3" s="59">
        <v>26789.02</v>
      </c>
      <c r="E3" s="57">
        <v>3463388734.98</v>
      </c>
      <c r="F3" s="57">
        <v>2530915664.8000002</v>
      </c>
      <c r="G3" s="57">
        <v>1618046660.3099999</v>
      </c>
      <c r="H3" s="57">
        <v>1012623342.76</v>
      </c>
      <c r="I3" s="57">
        <v>328290724.13999999</v>
      </c>
      <c r="J3" s="57">
        <v>150000000</v>
      </c>
      <c r="K3" s="59">
        <v>9600</v>
      </c>
      <c r="L3" s="59">
        <v>5700</v>
      </c>
      <c r="M3" s="59" t="s">
        <v>296</v>
      </c>
    </row>
    <row r="4" spans="1:13" s="60" customFormat="1">
      <c r="A4" s="59">
        <v>2002</v>
      </c>
      <c r="B4" s="2">
        <v>10686</v>
      </c>
      <c r="C4" s="59">
        <v>5323</v>
      </c>
      <c r="D4" s="59" t="s">
        <v>310</v>
      </c>
      <c r="E4" s="57">
        <v>3930905066.7199998</v>
      </c>
      <c r="F4" s="57">
        <v>2852845506.1599998</v>
      </c>
      <c r="G4" s="57">
        <v>1834898294.9000001</v>
      </c>
      <c r="H4" s="57">
        <v>1174315234.1600001</v>
      </c>
      <c r="I4" s="57">
        <v>376798521.36000001</v>
      </c>
      <c r="J4" s="59"/>
      <c r="K4" s="59"/>
      <c r="L4" s="59"/>
      <c r="M4" s="59"/>
    </row>
    <row r="5" spans="1:13">
      <c r="A5" s="61">
        <v>2003</v>
      </c>
      <c r="B5" s="2">
        <v>11794.49</v>
      </c>
      <c r="C5" s="2"/>
      <c r="D5" s="2"/>
      <c r="E5" s="15">
        <v>4956365810.8500004</v>
      </c>
      <c r="F5" s="15">
        <v>3439142472.54</v>
      </c>
      <c r="G5" s="15">
        <v>2401017934.9299998</v>
      </c>
      <c r="H5" s="15">
        <v>975438404.24000001</v>
      </c>
      <c r="I5" s="15">
        <v>586747838.26999998</v>
      </c>
      <c r="J5" s="2"/>
      <c r="K5" s="2"/>
      <c r="L5" s="2"/>
      <c r="M5" s="2"/>
    </row>
    <row r="6" spans="1:13">
      <c r="A6" s="61">
        <v>2004</v>
      </c>
      <c r="B6" s="2">
        <v>15010.49</v>
      </c>
      <c r="C6" s="2"/>
      <c r="D6" s="2"/>
      <c r="E6" s="15"/>
      <c r="F6" s="15"/>
      <c r="G6" s="15"/>
      <c r="H6" s="15"/>
      <c r="I6" s="15"/>
      <c r="J6" s="2"/>
      <c r="K6" s="2"/>
      <c r="L6" s="2"/>
      <c r="M6" s="2"/>
    </row>
    <row r="7" spans="1:13">
      <c r="A7" s="61">
        <v>2005</v>
      </c>
      <c r="B7" s="2">
        <v>15953.55</v>
      </c>
      <c r="C7" s="2"/>
      <c r="D7" s="2"/>
      <c r="E7" s="15"/>
      <c r="F7" s="15"/>
      <c r="G7" s="15"/>
      <c r="H7" s="15"/>
      <c r="I7" s="15"/>
      <c r="J7" s="2"/>
      <c r="K7" s="2"/>
      <c r="L7" s="2"/>
      <c r="M7" s="2"/>
    </row>
    <row r="8" spans="1:13">
      <c r="A8" s="61">
        <v>2006</v>
      </c>
      <c r="B8" s="2">
        <v>17095.62</v>
      </c>
      <c r="C8" s="2"/>
      <c r="D8" s="2"/>
      <c r="E8" s="15"/>
      <c r="F8" s="15"/>
      <c r="G8" s="15"/>
      <c r="H8" s="15"/>
      <c r="I8" s="15"/>
      <c r="J8" s="2"/>
      <c r="K8" s="2"/>
      <c r="L8" s="2"/>
      <c r="M8" s="2"/>
    </row>
    <row r="9" spans="1:13">
      <c r="A9" s="61">
        <v>2007</v>
      </c>
      <c r="B9" s="2"/>
      <c r="C9" s="2"/>
      <c r="D9" s="2"/>
      <c r="E9" s="15"/>
      <c r="F9" s="15"/>
      <c r="G9" s="15"/>
      <c r="H9" s="15"/>
      <c r="I9" s="15"/>
      <c r="J9" s="2"/>
      <c r="K9" s="2"/>
      <c r="L9" s="2"/>
      <c r="M9" s="2"/>
    </row>
    <row r="10" spans="1:13">
      <c r="A10" s="61">
        <v>2008</v>
      </c>
      <c r="B10" s="2"/>
      <c r="C10" s="2"/>
      <c r="D10" s="2"/>
      <c r="E10" s="15"/>
      <c r="F10" s="15"/>
      <c r="G10" s="15"/>
      <c r="H10" s="15"/>
      <c r="I10" s="15"/>
      <c r="J10" s="2"/>
      <c r="K10" s="2"/>
      <c r="L10" s="2"/>
      <c r="M10" s="2"/>
    </row>
    <row r="11" spans="1:13">
      <c r="A11" s="61">
        <v>2009</v>
      </c>
      <c r="B11" s="2"/>
      <c r="C11" s="2"/>
      <c r="D11" s="2"/>
      <c r="E11" s="15"/>
      <c r="F11" s="15"/>
      <c r="G11" s="15"/>
      <c r="H11" s="15"/>
      <c r="I11" s="15"/>
      <c r="J11" s="2"/>
      <c r="K11" s="2"/>
      <c r="L11" s="2"/>
      <c r="M11" s="2"/>
    </row>
    <row r="12" spans="1:13">
      <c r="A12" s="61">
        <v>2010</v>
      </c>
      <c r="B12" s="2"/>
      <c r="C12" s="2"/>
      <c r="D12" s="2"/>
      <c r="E12" s="15"/>
      <c r="F12" s="15"/>
      <c r="G12" s="15"/>
      <c r="H12" s="15"/>
      <c r="I12" s="15"/>
      <c r="J12" s="2"/>
      <c r="K12" s="2"/>
      <c r="L12" s="2"/>
      <c r="M12" s="2"/>
    </row>
    <row r="13" spans="1:13">
      <c r="A13" s="61">
        <v>2011</v>
      </c>
      <c r="B13" s="2"/>
      <c r="C13" s="2"/>
      <c r="D13" s="2"/>
      <c r="E13" s="15"/>
      <c r="F13" s="15"/>
      <c r="G13" s="15"/>
      <c r="H13" s="15"/>
      <c r="I13" s="15"/>
      <c r="J13" s="2"/>
      <c r="K13" s="2"/>
      <c r="L13" s="2"/>
      <c r="M13" s="2"/>
    </row>
    <row r="14" spans="1:13">
      <c r="A14" s="61">
        <v>2012</v>
      </c>
      <c r="B14" s="2"/>
      <c r="C14" s="2"/>
      <c r="D14" s="2"/>
      <c r="E14" s="15"/>
      <c r="F14" s="15"/>
      <c r="G14" s="15"/>
      <c r="H14" s="15"/>
      <c r="I14" s="15"/>
      <c r="J14" s="2"/>
      <c r="K14" s="2"/>
      <c r="L14" s="2"/>
      <c r="M14" s="2"/>
    </row>
    <row r="15" spans="1:13">
      <c r="A15" s="61">
        <v>2013</v>
      </c>
      <c r="B15" s="2"/>
      <c r="C15" s="2"/>
      <c r="D15" s="2"/>
      <c r="E15" s="15"/>
      <c r="F15" s="15"/>
      <c r="G15" s="15"/>
      <c r="H15" s="15"/>
      <c r="I15" s="15"/>
      <c r="J15" s="2"/>
      <c r="K15" s="2"/>
      <c r="L15" s="2"/>
      <c r="M15" s="2"/>
    </row>
    <row r="16" spans="1:13">
      <c r="A16" s="61">
        <v>2014</v>
      </c>
      <c r="B16" s="2"/>
      <c r="C16" s="2"/>
      <c r="D16" s="2"/>
      <c r="E16" s="15"/>
      <c r="F16" s="15"/>
      <c r="G16" s="15"/>
      <c r="H16" s="15"/>
      <c r="I16" s="15"/>
      <c r="J16" s="2"/>
      <c r="K16" s="2"/>
      <c r="L16" s="2"/>
      <c r="M16" s="2"/>
    </row>
    <row r="17" spans="1:13">
      <c r="A17" s="61">
        <v>2015</v>
      </c>
      <c r="B17" s="2"/>
      <c r="C17" s="2"/>
      <c r="D17" s="2"/>
      <c r="E17" s="15"/>
      <c r="F17" s="15"/>
      <c r="G17" s="15"/>
      <c r="H17" s="15"/>
      <c r="I17" s="15"/>
      <c r="J17" s="2"/>
      <c r="K17" s="2"/>
      <c r="L17" s="2"/>
      <c r="M17" s="2"/>
    </row>
    <row r="18" spans="1:13">
      <c r="A18" s="61">
        <v>2016</v>
      </c>
      <c r="B18" s="2"/>
      <c r="C18" s="2"/>
      <c r="D18" s="2"/>
      <c r="E18" s="15"/>
      <c r="F18" s="15"/>
      <c r="G18" s="15"/>
      <c r="H18" s="15"/>
      <c r="I18" s="15"/>
      <c r="J18" s="2"/>
      <c r="K18" s="2"/>
      <c r="L18" s="2"/>
      <c r="M18" s="2"/>
    </row>
    <row r="19" spans="1:13">
      <c r="A19" s="61">
        <v>2017</v>
      </c>
      <c r="B19" s="2"/>
      <c r="C19" s="2"/>
      <c r="D19" s="2"/>
      <c r="E19" s="15"/>
      <c r="F19" s="15"/>
      <c r="G19" s="15"/>
      <c r="H19" s="15"/>
      <c r="I19" s="15"/>
      <c r="J19" s="2"/>
      <c r="K19" s="2"/>
      <c r="L19" s="2"/>
      <c r="M19" s="2"/>
    </row>
    <row r="20" spans="1:13">
      <c r="A20" s="2">
        <v>2018</v>
      </c>
      <c r="B20" s="2"/>
      <c r="C20" s="2"/>
      <c r="D20" s="2"/>
      <c r="E20" s="15"/>
      <c r="F20" s="15"/>
      <c r="G20" s="15"/>
      <c r="H20" s="15"/>
      <c r="I20" s="15"/>
      <c r="J20" s="2"/>
      <c r="K20" s="2"/>
      <c r="L20" s="2"/>
      <c r="M20" s="2"/>
    </row>
    <row r="21" spans="1:13">
      <c r="E21" s="55"/>
      <c r="F21" s="55"/>
      <c r="G21" s="55"/>
      <c r="H21" s="55"/>
      <c r="I21" s="55"/>
    </row>
    <row r="22" spans="1:13">
      <c r="B22" t="s">
        <v>304</v>
      </c>
      <c r="E22" s="15"/>
      <c r="F22" s="15"/>
      <c r="G22" s="15"/>
      <c r="H22" s="15"/>
      <c r="I22" s="15"/>
    </row>
    <row r="23" spans="1:13">
      <c r="E23" s="15"/>
      <c r="F23" s="15"/>
      <c r="G23" s="15"/>
      <c r="H23" s="15"/>
      <c r="I23" s="15"/>
    </row>
    <row r="24" spans="1:13">
      <c r="E24" s="15"/>
      <c r="F24" s="15"/>
      <c r="G24" s="15"/>
      <c r="H24" s="15"/>
      <c r="I24" s="15"/>
    </row>
    <row r="25" spans="1:13">
      <c r="E25" s="15"/>
      <c r="F25" s="15"/>
      <c r="G25" s="15"/>
      <c r="H25" s="15"/>
      <c r="I25" s="15"/>
    </row>
    <row r="26" spans="1:13">
      <c r="E26" s="15"/>
      <c r="F26" s="15"/>
      <c r="G26" s="15"/>
      <c r="H26" s="15"/>
      <c r="I26" s="15"/>
    </row>
    <row r="27" spans="1:13">
      <c r="G27" s="15"/>
      <c r="H27" s="15"/>
      <c r="I27" s="15"/>
    </row>
    <row r="28" spans="1:13">
      <c r="G28" s="15"/>
      <c r="H28" s="15"/>
      <c r="I28" s="15"/>
    </row>
    <row r="29" spans="1:13">
      <c r="G29" s="15"/>
      <c r="H29" s="15"/>
      <c r="I29" s="15"/>
    </row>
    <row r="30" spans="1:13">
      <c r="G30" s="15"/>
      <c r="H30" s="15"/>
      <c r="I30" s="15"/>
    </row>
    <row r="31" spans="1:13">
      <c r="G31" s="15"/>
      <c r="H31" s="15"/>
      <c r="I31" s="1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18"/>
  <sheetViews>
    <sheetView zoomScale="55" zoomScaleNormal="55" workbookViewId="0">
      <selection activeCell="F40" sqref="F40"/>
    </sheetView>
  </sheetViews>
  <sheetFormatPr defaultRowHeight="13.5"/>
  <cols>
    <col min="1" max="1" width="6" bestFit="1" customWidth="1"/>
    <col min="2" max="2" width="10.75" bestFit="1" customWidth="1"/>
    <col min="3" max="3" width="10.625" bestFit="1" customWidth="1"/>
    <col min="4" max="4" width="13.5" bestFit="1" customWidth="1"/>
    <col min="5" max="5" width="10.625" customWidth="1"/>
    <col min="6" max="6" width="14.625" bestFit="1" customWidth="1"/>
    <col min="7" max="7" width="13.25" bestFit="1" customWidth="1"/>
    <col min="8" max="8" width="13.5" bestFit="1" customWidth="1"/>
    <col min="9" max="9" width="13.5" customWidth="1"/>
    <col min="10" max="10" width="15.625" bestFit="1" customWidth="1"/>
    <col min="11" max="11" width="9.625" bestFit="1" customWidth="1"/>
    <col min="12" max="12" width="15.625" customWidth="1"/>
    <col min="13" max="15" width="8.5" customWidth="1"/>
    <col min="16" max="16" width="11" bestFit="1" customWidth="1"/>
    <col min="17" max="17" width="10.5" customWidth="1"/>
    <col min="18" max="18" width="16.875" bestFit="1" customWidth="1"/>
    <col min="19" max="19" width="10" bestFit="1" customWidth="1"/>
  </cols>
  <sheetData>
    <row r="1" spans="1:19" s="38" customFormat="1">
      <c r="A1" s="41" t="s">
        <v>268</v>
      </c>
      <c r="B1" s="41" t="s">
        <v>253</v>
      </c>
      <c r="C1" s="41" t="s">
        <v>276</v>
      </c>
      <c r="D1" s="41" t="s">
        <v>277</v>
      </c>
      <c r="E1" s="41" t="s">
        <v>281</v>
      </c>
      <c r="F1" s="41" t="s">
        <v>280</v>
      </c>
      <c r="G1" s="41" t="s">
        <v>278</v>
      </c>
      <c r="H1" s="41" t="s">
        <v>270</v>
      </c>
      <c r="I1" s="45"/>
      <c r="J1" s="41" t="s">
        <v>279</v>
      </c>
      <c r="K1" s="41" t="s">
        <v>283</v>
      </c>
      <c r="L1" s="45" t="s">
        <v>282</v>
      </c>
      <c r="M1" s="41" t="s">
        <v>271</v>
      </c>
      <c r="N1" s="41" t="s">
        <v>272</v>
      </c>
      <c r="O1" s="41" t="s">
        <v>275</v>
      </c>
      <c r="P1" s="41" t="s">
        <v>269</v>
      </c>
      <c r="Q1" s="41" t="s">
        <v>284</v>
      </c>
      <c r="R1" s="41" t="s">
        <v>274</v>
      </c>
      <c r="S1" s="41" t="s">
        <v>273</v>
      </c>
    </row>
    <row r="2" spans="1:19" s="12" customFormat="1">
      <c r="A2" s="16">
        <v>2001</v>
      </c>
      <c r="B2" s="15">
        <v>250000000</v>
      </c>
      <c r="C2" s="15">
        <v>2039189510.54</v>
      </c>
      <c r="D2" s="15">
        <v>163612517.12</v>
      </c>
      <c r="E2" s="15">
        <v>0</v>
      </c>
      <c r="F2" s="15">
        <v>0</v>
      </c>
      <c r="G2" s="15">
        <v>78113637.140000001</v>
      </c>
      <c r="H2" s="15">
        <v>2530915664.8000002</v>
      </c>
      <c r="I2" s="19"/>
      <c r="J2" s="15"/>
      <c r="K2" s="15"/>
      <c r="L2" s="19">
        <f>D2+E2+F2+G2</f>
        <v>241726154.25999999</v>
      </c>
      <c r="M2" s="16"/>
      <c r="N2" s="16"/>
      <c r="O2" s="43">
        <v>38.549999999999997</v>
      </c>
      <c r="P2" s="15">
        <f t="shared" ref="P2:P18" si="0">B2*O2</f>
        <v>9637500000</v>
      </c>
      <c r="Q2" s="15"/>
      <c r="R2" s="16"/>
      <c r="S2" s="16"/>
    </row>
    <row r="3" spans="1:19" s="12" customFormat="1">
      <c r="A3" s="16">
        <v>2002</v>
      </c>
      <c r="B3" s="15">
        <v>275000000</v>
      </c>
      <c r="C3" s="15">
        <v>2014320830.54</v>
      </c>
      <c r="D3" s="15">
        <v>275280085.31999999</v>
      </c>
      <c r="E3" s="15">
        <v>0</v>
      </c>
      <c r="F3" s="15">
        <v>0</v>
      </c>
      <c r="G3" s="15">
        <v>288244590.30000001</v>
      </c>
      <c r="H3" s="15">
        <v>2852845506.1599998</v>
      </c>
      <c r="I3" s="19">
        <f>6*B2/10</f>
        <v>150000000</v>
      </c>
      <c r="J3" s="15">
        <v>150000000</v>
      </c>
      <c r="K3" s="15">
        <f>H3-H2+J3</f>
        <v>471929841.35999966</v>
      </c>
      <c r="L3" s="19">
        <f>D3+E3+F3+G3+SUM(J3:$J$3)</f>
        <v>713524675.62</v>
      </c>
      <c r="M3" s="16"/>
      <c r="N3" s="16"/>
      <c r="O3" s="43">
        <v>25.46</v>
      </c>
      <c r="P3" s="15">
        <f t="shared" si="0"/>
        <v>7001500000</v>
      </c>
      <c r="Q3" s="46">
        <f>P3/K3</f>
        <v>14.835891665217</v>
      </c>
      <c r="R3" s="42">
        <f t="shared" ref="R3:R18" si="1">POWER(EXP(1),LOG(L3/L$2,EXP(1))/((A3-A$2))) - 1</f>
        <v>1.9517892997732251</v>
      </c>
      <c r="S3" s="42">
        <f t="shared" ref="S3:S18" si="2">POWER(EXP(1),LOG(O3/O$2,EXP(1))/((A3-A$2))) - 1</f>
        <v>-0.33955901426718538</v>
      </c>
    </row>
    <row r="4" spans="1:19" s="12" customFormat="1">
      <c r="A4" s="16">
        <v>2003</v>
      </c>
      <c r="B4" s="15">
        <v>275000000</v>
      </c>
      <c r="C4" s="15">
        <v>2014484980.54</v>
      </c>
      <c r="D4" s="15">
        <v>424392228.41000003</v>
      </c>
      <c r="E4" s="15">
        <v>0</v>
      </c>
      <c r="F4" s="15">
        <v>0</v>
      </c>
      <c r="G4" s="15">
        <f>634515263.59+90750000</f>
        <v>725265263.59000003</v>
      </c>
      <c r="H4" s="15">
        <v>3439142472.54</v>
      </c>
      <c r="I4" s="19">
        <f>2*B3/10</f>
        <v>55000000</v>
      </c>
      <c r="J4" s="15">
        <f>B4/10*2</f>
        <v>55000000</v>
      </c>
      <c r="K4" s="15">
        <f t="shared" ref="K4:K17" si="3">H4-H3+J4</f>
        <v>641296966.38000011</v>
      </c>
      <c r="L4" s="19">
        <f>D4+E4+F4+G4+SUM(J$3:$J4)</f>
        <v>1354657492</v>
      </c>
      <c r="M4" s="16"/>
      <c r="N4" s="16"/>
      <c r="O4" s="43">
        <v>25.4</v>
      </c>
      <c r="P4" s="15">
        <f t="shared" si="0"/>
        <v>6985000000</v>
      </c>
      <c r="Q4" s="46">
        <f t="shared" ref="Q4:Q18" si="4">P4/K4</f>
        <v>10.891989774143173</v>
      </c>
      <c r="R4" s="42">
        <f t="shared" si="1"/>
        <v>1.3672979949565498</v>
      </c>
      <c r="S4" s="42">
        <f t="shared" si="2"/>
        <v>-0.18828295231691017</v>
      </c>
    </row>
    <row r="5" spans="1:19" s="12" customFormat="1">
      <c r="A5" s="16">
        <v>2004</v>
      </c>
      <c r="B5" s="15">
        <v>393250000</v>
      </c>
      <c r="C5" s="15">
        <v>1923937320.54</v>
      </c>
      <c r="D5" s="15">
        <v>648560928.29999995</v>
      </c>
      <c r="E5" s="15">
        <v>0</v>
      </c>
      <c r="F5" s="15">
        <v>0</v>
      </c>
      <c r="G5" s="15">
        <f>1006775560.89+196625000</f>
        <v>1203400560.8899999</v>
      </c>
      <c r="H5" s="15">
        <v>4169148809.73</v>
      </c>
      <c r="I5" s="44">
        <f>3*B4/10</f>
        <v>82500000</v>
      </c>
      <c r="J5" s="15">
        <f>B5/10*3</f>
        <v>117975000</v>
      </c>
      <c r="K5" s="15">
        <f t="shared" si="3"/>
        <v>847981337.19000006</v>
      </c>
      <c r="L5" s="19">
        <f>D5+E5+F5+G5+SUM(J$3:$J5)</f>
        <v>2174936489.1899996</v>
      </c>
      <c r="M5" s="16"/>
      <c r="N5" s="16"/>
      <c r="O5" s="43">
        <v>36.64</v>
      </c>
      <c r="P5" s="15">
        <f t="shared" si="0"/>
        <v>14408680000</v>
      </c>
      <c r="Q5" s="46">
        <f t="shared" si="4"/>
        <v>16.991741879304552</v>
      </c>
      <c r="R5" s="42">
        <f t="shared" si="1"/>
        <v>1.0798929313795846</v>
      </c>
      <c r="S5" s="42">
        <f t="shared" si="2"/>
        <v>-1.6795869899946525E-2</v>
      </c>
    </row>
    <row r="6" spans="1:19" s="12" customFormat="1">
      <c r="A6" s="16">
        <v>2005</v>
      </c>
      <c r="B6" s="15">
        <v>471900000</v>
      </c>
      <c r="C6" s="15">
        <v>1846119450.6099999</v>
      </c>
      <c r="D6" s="15">
        <v>967252340.82000005</v>
      </c>
      <c r="E6" s="15">
        <v>0</v>
      </c>
      <c r="F6" s="15">
        <v>0</v>
      </c>
      <c r="G6" s="15">
        <f>1665055777.74+141570000</f>
        <v>1806625777.74</v>
      </c>
      <c r="H6" s="15">
        <v>5091897569.1700001</v>
      </c>
      <c r="I6" s="19">
        <f>5*B5/10</f>
        <v>196625000</v>
      </c>
      <c r="J6" s="15">
        <f>393250000/10*5</f>
        <v>196625000</v>
      </c>
      <c r="K6" s="15">
        <f t="shared" si="3"/>
        <v>1119373759.4400001</v>
      </c>
      <c r="L6" s="19">
        <f>D6+E6+F6+G6+SUM(J$3:$J6)</f>
        <v>3293478118.5599999</v>
      </c>
      <c r="M6" s="16"/>
      <c r="N6" s="16"/>
      <c r="O6" s="43">
        <v>45.62</v>
      </c>
      <c r="P6" s="15">
        <f t="shared" si="0"/>
        <v>21528078000</v>
      </c>
      <c r="Q6" s="46">
        <f t="shared" si="4"/>
        <v>19.232251800122651</v>
      </c>
      <c r="R6" s="42">
        <f t="shared" si="1"/>
        <v>0.92124515331504453</v>
      </c>
      <c r="S6" s="42">
        <f t="shared" si="2"/>
        <v>4.2996196387328878E-2</v>
      </c>
    </row>
    <row r="7" spans="1:19" s="12" customFormat="1">
      <c r="A7" s="16">
        <v>2006</v>
      </c>
      <c r="B7" s="15">
        <v>943800000</v>
      </c>
      <c r="C7" s="15">
        <v>1374449260.6099999</v>
      </c>
      <c r="D7" s="15">
        <v>1253305422.0599999</v>
      </c>
      <c r="E7" s="15">
        <v>0</v>
      </c>
      <c r="F7" s="15">
        <v>0</v>
      </c>
      <c r="G7" s="15">
        <f>1664790770.91+660660000</f>
        <v>2325450770.9099998</v>
      </c>
      <c r="H7" s="15">
        <v>5897005453.5799999</v>
      </c>
      <c r="I7" s="19">
        <f>3*B6/10</f>
        <v>141570000</v>
      </c>
      <c r="J7" s="15">
        <v>141570000</v>
      </c>
      <c r="K7" s="15">
        <f t="shared" si="3"/>
        <v>946677884.40999985</v>
      </c>
      <c r="L7" s="19">
        <f>D7+E7+F7+G7+SUM(J$3:$J7)</f>
        <v>4239926192.9699998</v>
      </c>
      <c r="M7" s="16"/>
      <c r="N7" s="16"/>
      <c r="O7" s="43">
        <v>87.83</v>
      </c>
      <c r="P7" s="15">
        <f t="shared" si="0"/>
        <v>82893954000</v>
      </c>
      <c r="Q7" s="46">
        <f t="shared" si="4"/>
        <v>87.562998317703574</v>
      </c>
      <c r="R7" s="42">
        <f t="shared" si="1"/>
        <v>0.7734009255318044</v>
      </c>
      <c r="S7" s="42">
        <f t="shared" si="2"/>
        <v>0.17902686267586043</v>
      </c>
    </row>
    <row r="8" spans="1:19" s="12" customFormat="1">
      <c r="A8" s="16">
        <v>2007</v>
      </c>
      <c r="B8" s="15">
        <v>943800000</v>
      </c>
      <c r="C8" s="15">
        <v>1374964415.72</v>
      </c>
      <c r="D8" s="15">
        <v>838320965.63</v>
      </c>
      <c r="E8" s="15">
        <v>0</v>
      </c>
      <c r="F8" s="15">
        <v>0</v>
      </c>
      <c r="G8" s="15">
        <v>5077020374.5799999</v>
      </c>
      <c r="H8" s="15">
        <v>8234105755.9300003</v>
      </c>
      <c r="I8" s="44">
        <f>7*B7/10</f>
        <v>660660000</v>
      </c>
      <c r="J8" s="15">
        <v>1218445800</v>
      </c>
      <c r="K8" s="15">
        <f t="shared" si="3"/>
        <v>3555546102.3500004</v>
      </c>
      <c r="L8" s="19">
        <f>D8+E8+F8+G8+SUM(J$3:$J8)</f>
        <v>7794957140.21</v>
      </c>
      <c r="M8" s="16"/>
      <c r="N8" s="16"/>
      <c r="O8" s="43">
        <v>230</v>
      </c>
      <c r="P8" s="15">
        <f t="shared" si="0"/>
        <v>217074000000</v>
      </c>
      <c r="Q8" s="46">
        <f t="shared" si="4"/>
        <v>61.052224820408668</v>
      </c>
      <c r="R8" s="42">
        <f t="shared" si="1"/>
        <v>0.78408283503711584</v>
      </c>
      <c r="S8" s="42">
        <f t="shared" si="2"/>
        <v>0.34674046357195065</v>
      </c>
    </row>
    <row r="9" spans="1:19" s="12" customFormat="1">
      <c r="A9" s="16">
        <v>2008</v>
      </c>
      <c r="B9" s="15">
        <v>943800000</v>
      </c>
      <c r="C9" s="15">
        <v>1374964415.72</v>
      </c>
      <c r="D9" s="15">
        <v>1001133829.72</v>
      </c>
      <c r="E9" s="15">
        <v>0</v>
      </c>
      <c r="F9" s="15">
        <v>0</v>
      </c>
      <c r="G9" s="15">
        <v>7924671271.0299997</v>
      </c>
      <c r="H9" s="15">
        <v>11244569516.469999</v>
      </c>
      <c r="I9" s="19">
        <f>8.36*B8/10</f>
        <v>789016799.99999988</v>
      </c>
      <c r="J9" s="15">
        <v>789016797.97000003</v>
      </c>
      <c r="K9" s="15">
        <f t="shared" si="3"/>
        <v>3799480558.5099993</v>
      </c>
      <c r="L9" s="19">
        <f>D9+E9+F9+G9+SUM(J$3:$J9)</f>
        <v>11594437698.720001</v>
      </c>
      <c r="M9" s="16"/>
      <c r="N9" s="16"/>
      <c r="O9" s="43">
        <v>108.7</v>
      </c>
      <c r="P9" s="15">
        <f t="shared" si="0"/>
        <v>102591060000</v>
      </c>
      <c r="Q9" s="46">
        <f t="shared" si="4"/>
        <v>27.001338319844439</v>
      </c>
      <c r="R9" s="42">
        <f t="shared" si="1"/>
        <v>0.73833026975102767</v>
      </c>
      <c r="S9" s="42">
        <f t="shared" si="2"/>
        <v>0.15961820050552622</v>
      </c>
    </row>
    <row r="10" spans="1:19" s="12" customFormat="1">
      <c r="A10" s="16">
        <v>2009</v>
      </c>
      <c r="B10" s="15">
        <v>943800000</v>
      </c>
      <c r="C10" s="15">
        <v>1374964415.72</v>
      </c>
      <c r="D10" s="15">
        <v>1585666147.4000001</v>
      </c>
      <c r="E10" s="15">
        <v>0</v>
      </c>
      <c r="F10" s="15">
        <v>0</v>
      </c>
      <c r="G10" s="15">
        <v>10561552279.690001</v>
      </c>
      <c r="H10" s="15">
        <v>14465982842.809999</v>
      </c>
      <c r="I10" s="19">
        <f>11.56*B9/10</f>
        <v>1091032800</v>
      </c>
      <c r="J10" s="15">
        <v>1091032798.3900001</v>
      </c>
      <c r="K10" s="15">
        <f t="shared" si="3"/>
        <v>4312446124.7300005</v>
      </c>
      <c r="L10" s="19">
        <f>D10+E10+F10+G10+SUM(J$3:$J10)</f>
        <v>15906883823.450001</v>
      </c>
      <c r="M10" s="16"/>
      <c r="N10" s="16"/>
      <c r="O10" s="43">
        <v>169.82</v>
      </c>
      <c r="P10" s="15">
        <f t="shared" si="0"/>
        <v>160276116000</v>
      </c>
      <c r="Q10" s="46">
        <f t="shared" si="4"/>
        <v>37.165940481177557</v>
      </c>
      <c r="R10" s="42">
        <f t="shared" si="1"/>
        <v>0.68765116412185767</v>
      </c>
      <c r="S10" s="42">
        <f t="shared" si="2"/>
        <v>0.20363707541866516</v>
      </c>
    </row>
    <row r="11" spans="1:19" s="12" customFormat="1">
      <c r="A11" s="16">
        <v>2010</v>
      </c>
      <c r="B11" s="15">
        <v>943800000</v>
      </c>
      <c r="C11" s="15">
        <v>1374964415.72</v>
      </c>
      <c r="D11" s="15">
        <v>2176754189.4699998</v>
      </c>
      <c r="E11" s="15">
        <v>0</v>
      </c>
      <c r="F11" s="15">
        <v>0</v>
      </c>
      <c r="G11" s="15">
        <v>13903255455.610001</v>
      </c>
      <c r="H11" s="15">
        <v>18398774060.799999</v>
      </c>
      <c r="I11" s="19">
        <f>11.85*B10/10</f>
        <v>1118403000</v>
      </c>
      <c r="J11" s="15">
        <v>1118403000.27</v>
      </c>
      <c r="K11" s="15">
        <f t="shared" si="3"/>
        <v>5051194218.2600002</v>
      </c>
      <c r="L11" s="19">
        <f>D11+E11+F11+G11+SUM(J$3:$J11)</f>
        <v>20958078041.709999</v>
      </c>
      <c r="M11" s="16"/>
      <c r="N11" s="16"/>
      <c r="O11" s="43">
        <v>183.92</v>
      </c>
      <c r="P11" s="15">
        <f t="shared" si="0"/>
        <v>173583696000</v>
      </c>
      <c r="Q11" s="46">
        <f t="shared" si="4"/>
        <v>34.364882540547981</v>
      </c>
      <c r="R11" s="42">
        <f t="shared" si="1"/>
        <v>0.64186113773971321</v>
      </c>
      <c r="S11" s="42">
        <f t="shared" si="2"/>
        <v>0.18959877536972747</v>
      </c>
    </row>
    <row r="12" spans="1:19" s="12" customFormat="1">
      <c r="A12" s="16">
        <v>2011</v>
      </c>
      <c r="B12" s="15">
        <v>1038180000</v>
      </c>
      <c r="C12" s="15">
        <v>1374964415.72</v>
      </c>
      <c r="D12" s="15">
        <v>2640916373.3499999</v>
      </c>
      <c r="E12" s="15">
        <v>0</v>
      </c>
      <c r="F12" s="15">
        <v>0</v>
      </c>
      <c r="G12" s="15">
        <v>19937119181.959999</v>
      </c>
      <c r="H12" s="15">
        <v>24991179971.029999</v>
      </c>
      <c r="I12" s="19">
        <f>23*B11/10</f>
        <v>2170740000</v>
      </c>
      <c r="J12" s="15">
        <v>2170740000</v>
      </c>
      <c r="K12" s="15">
        <f t="shared" si="3"/>
        <v>8763145910.2299995</v>
      </c>
      <c r="L12" s="19">
        <f>D12+E12+F12+G12+SUM(J$3:$J12)</f>
        <v>29626843951.939999</v>
      </c>
      <c r="M12" s="16"/>
      <c r="N12" s="16"/>
      <c r="O12" s="43">
        <v>193.3</v>
      </c>
      <c r="P12" s="15">
        <f t="shared" si="0"/>
        <v>200680194000</v>
      </c>
      <c r="Q12" s="46">
        <f t="shared" si="4"/>
        <v>22.900473877278269</v>
      </c>
      <c r="R12" s="42">
        <f t="shared" si="1"/>
        <v>0.61746977797755931</v>
      </c>
      <c r="S12" s="42">
        <f t="shared" si="2"/>
        <v>0.17495368361651575</v>
      </c>
    </row>
    <row r="13" spans="1:19">
      <c r="A13" s="16">
        <v>2012</v>
      </c>
      <c r="B13" s="15">
        <v>1038180000</v>
      </c>
      <c r="C13" s="15">
        <v>1374964415.72</v>
      </c>
      <c r="D13" s="15">
        <v>3036434460.46</v>
      </c>
      <c r="E13" s="15">
        <v>0</v>
      </c>
      <c r="F13" s="15">
        <v>0</v>
      </c>
      <c r="G13" s="15">
        <v>28700075247.5</v>
      </c>
      <c r="H13" s="15">
        <v>34149654123.68</v>
      </c>
      <c r="I13" s="19">
        <f>39.97*B12/10</f>
        <v>4149605460</v>
      </c>
      <c r="J13" s="15">
        <v>4149605460.23</v>
      </c>
      <c r="K13" s="15">
        <f t="shared" si="3"/>
        <v>13308079612.880001</v>
      </c>
      <c r="L13" s="19">
        <f>D13+E13+F13+G13+SUM(J$3:$J13)</f>
        <v>42934923564.82</v>
      </c>
      <c r="M13" s="15"/>
      <c r="N13" s="15"/>
      <c r="O13" s="43">
        <v>209.02</v>
      </c>
      <c r="P13" s="15">
        <f t="shared" si="0"/>
        <v>217000383600</v>
      </c>
      <c r="Q13" s="46">
        <f t="shared" si="4"/>
        <v>16.305912641969758</v>
      </c>
      <c r="R13" s="42">
        <f t="shared" si="1"/>
        <v>0.60139630778400366</v>
      </c>
      <c r="S13" s="42">
        <f t="shared" si="2"/>
        <v>0.166117016509578</v>
      </c>
    </row>
    <row r="14" spans="1:19">
      <c r="A14" s="16">
        <v>2013</v>
      </c>
      <c r="B14" s="15">
        <v>1038180000</v>
      </c>
      <c r="C14" s="15">
        <v>1374964415.72</v>
      </c>
      <c r="D14" s="15">
        <v>4220803927.1799998</v>
      </c>
      <c r="E14" s="15">
        <v>0</v>
      </c>
      <c r="F14" s="15">
        <v>13296286.27</v>
      </c>
      <c r="G14" s="15">
        <v>35974971858.639999</v>
      </c>
      <c r="H14" s="15">
        <v>42622216487.809998</v>
      </c>
      <c r="I14" s="19">
        <f>64.19*B13/10</f>
        <v>6664077420</v>
      </c>
      <c r="J14" s="15">
        <v>6664077420.2200003</v>
      </c>
      <c r="K14" s="15">
        <f t="shared" si="3"/>
        <v>15136639784.349998</v>
      </c>
      <c r="L14" s="19">
        <f>D14+E14+F14+G14+SUM(J$3:$J14)</f>
        <v>58071563349.169998</v>
      </c>
      <c r="M14" s="15"/>
      <c r="N14" s="15"/>
      <c r="O14" s="43">
        <v>128.38</v>
      </c>
      <c r="P14" s="15">
        <f t="shared" si="0"/>
        <v>133281548400</v>
      </c>
      <c r="Q14" s="46">
        <f t="shared" si="4"/>
        <v>8.805226939323866</v>
      </c>
      <c r="R14" s="42">
        <f t="shared" si="1"/>
        <v>0.57901645656480971</v>
      </c>
      <c r="S14" s="42">
        <f t="shared" si="2"/>
        <v>0.10545079345592501</v>
      </c>
    </row>
    <row r="15" spans="1:19">
      <c r="A15" s="16">
        <v>2014</v>
      </c>
      <c r="B15" s="15">
        <v>1141998000</v>
      </c>
      <c r="C15" s="15">
        <v>1374964415.72</v>
      </c>
      <c r="D15" s="15">
        <v>5249407234.6199999</v>
      </c>
      <c r="E15" s="15">
        <v>-619043.99</v>
      </c>
      <c r="F15" s="15">
        <v>98594502.370000005</v>
      </c>
      <c r="G15" s="15">
        <v>45566057337.370003</v>
      </c>
      <c r="H15" s="15">
        <v>53430402446.089996</v>
      </c>
      <c r="I15" s="19">
        <f>43.74*B14/10</f>
        <v>4540999320</v>
      </c>
      <c r="J15" s="15">
        <v>4540999320</v>
      </c>
      <c r="K15" s="15">
        <f t="shared" si="3"/>
        <v>15349185278.279999</v>
      </c>
      <c r="L15" s="19">
        <f>D15+E15+F15+G15+SUM(J$3:$J15)</f>
        <v>73316930627.450012</v>
      </c>
      <c r="M15" s="15"/>
      <c r="N15" s="15"/>
      <c r="O15" s="43">
        <v>189.62</v>
      </c>
      <c r="P15" s="15">
        <f t="shared" si="0"/>
        <v>216545660760</v>
      </c>
      <c r="Q15" s="46">
        <f t="shared" si="4"/>
        <v>14.107957968715438</v>
      </c>
      <c r="R15" s="42">
        <f t="shared" si="1"/>
        <v>0.55207925717658113</v>
      </c>
      <c r="S15" s="42">
        <f t="shared" si="2"/>
        <v>0.13036833084716148</v>
      </c>
    </row>
    <row r="16" spans="1:19">
      <c r="A16" s="16">
        <v>2015</v>
      </c>
      <c r="B16" s="15">
        <v>1256197800</v>
      </c>
      <c r="C16" s="15">
        <v>1374964415.72</v>
      </c>
      <c r="D16" s="15">
        <v>6210524497.54</v>
      </c>
      <c r="E16" s="15">
        <v>-13034075.470000001</v>
      </c>
      <c r="F16" s="15">
        <v>218361303.43000001</v>
      </c>
      <c r="G16" s="15">
        <v>54878964497.769997</v>
      </c>
      <c r="H16" s="15">
        <v>63925978438.989998</v>
      </c>
      <c r="I16" s="19">
        <f>43.74*B15/10</f>
        <v>4995099252</v>
      </c>
      <c r="J16" s="15">
        <v>4995099252</v>
      </c>
      <c r="K16" s="15">
        <f t="shared" si="3"/>
        <v>15490675244.900002</v>
      </c>
      <c r="L16" s="19">
        <f>D16+E16+F16+G16+SUM(J$3:$J16)</f>
        <v>88693406072.350006</v>
      </c>
      <c r="M16" s="15"/>
      <c r="N16" s="15"/>
      <c r="O16" s="43">
        <v>218.19</v>
      </c>
      <c r="P16" s="15">
        <f t="shared" si="0"/>
        <v>274089797982</v>
      </c>
      <c r="Q16" s="46">
        <f t="shared" si="4"/>
        <v>17.693857346356715</v>
      </c>
      <c r="R16" s="42">
        <f t="shared" si="1"/>
        <v>0.52469651093305858</v>
      </c>
      <c r="S16" s="42">
        <f t="shared" si="2"/>
        <v>0.13180647897993225</v>
      </c>
    </row>
    <row r="17" spans="1:19">
      <c r="A17" s="16">
        <v>2016</v>
      </c>
      <c r="B17" s="15">
        <v>1256197800</v>
      </c>
      <c r="C17" s="15">
        <v>1374964415.72</v>
      </c>
      <c r="D17" s="15">
        <v>7135649963.1199999</v>
      </c>
      <c r="E17" s="15">
        <v>-11240841.560000001</v>
      </c>
      <c r="F17" s="15">
        <v>420758409.36000001</v>
      </c>
      <c r="G17" s="15">
        <v>62717808036.610001</v>
      </c>
      <c r="H17" s="15">
        <v>72894137783.25</v>
      </c>
      <c r="I17" s="19">
        <f>61.71*B16/10</f>
        <v>7751996623.8000002</v>
      </c>
      <c r="J17" s="15">
        <v>7751996623.8000002</v>
      </c>
      <c r="K17" s="15">
        <f t="shared" si="3"/>
        <v>16720155968.060001</v>
      </c>
      <c r="L17" s="19">
        <f>D17+E17+F17+G17+SUM(J$3:$J17)</f>
        <v>105413562040.41</v>
      </c>
      <c r="M17" s="15"/>
      <c r="N17" s="15"/>
      <c r="O17" s="43">
        <v>334.15</v>
      </c>
      <c r="P17" s="15">
        <f t="shared" si="0"/>
        <v>419758494870</v>
      </c>
      <c r="Q17" s="46">
        <f t="shared" si="4"/>
        <v>25.104938953431517</v>
      </c>
      <c r="R17" s="42">
        <f t="shared" si="1"/>
        <v>0.49958650358813661</v>
      </c>
      <c r="S17" s="42">
        <f t="shared" si="2"/>
        <v>0.15485592153144334</v>
      </c>
    </row>
    <row r="18" spans="1:19">
      <c r="A18" s="16">
        <v>2017</v>
      </c>
      <c r="B18" s="15">
        <v>1256197800</v>
      </c>
      <c r="C18" s="15">
        <v>1374964415.72</v>
      </c>
      <c r="D18" s="15">
        <v>8215595509.6899996</v>
      </c>
      <c r="E18" s="15">
        <v>-7401576.4000000004</v>
      </c>
      <c r="F18" s="15">
        <v>600859229.62</v>
      </c>
      <c r="G18" s="15">
        <v>80011307450.330002</v>
      </c>
      <c r="H18" s="15">
        <v>91451522828.960007</v>
      </c>
      <c r="I18" s="19">
        <f>67.87*B17/10</f>
        <v>8525814468.6000004</v>
      </c>
      <c r="J18" s="15">
        <v>8525814468.6000004</v>
      </c>
      <c r="K18" s="15">
        <f>H18-H17+J18</f>
        <v>27083199514.310005</v>
      </c>
      <c r="L18" s="19">
        <f>D18+E18+F18+G18+SUM(J$3:$J18)</f>
        <v>132496761554.72</v>
      </c>
      <c r="M18" s="15"/>
      <c r="N18" s="15"/>
      <c r="O18" s="43">
        <v>697.49</v>
      </c>
      <c r="P18" s="15">
        <f t="shared" si="0"/>
        <v>876185403522</v>
      </c>
      <c r="Q18" s="46">
        <f t="shared" si="4"/>
        <v>32.351620902805379</v>
      </c>
      <c r="R18" s="42">
        <f t="shared" si="1"/>
        <v>0.48313301077215143</v>
      </c>
      <c r="S18" s="42">
        <f t="shared" si="2"/>
        <v>0.19838013190403636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</vt:lpstr>
      <vt:lpstr>杜邦分析</vt:lpstr>
      <vt:lpstr>图标分析</vt:lpstr>
      <vt:lpstr>资产负债表</vt:lpstr>
      <vt:lpstr>利润表</vt:lpstr>
      <vt:lpstr>现金流</vt:lpstr>
      <vt:lpstr>资产负债表分析</vt:lpstr>
      <vt:lpstr>销售数据</vt:lpstr>
      <vt:lpstr>茅台</vt:lpstr>
      <vt:lpstr>茅台（简化）</vt:lpstr>
      <vt:lpstr>分众资产</vt:lpstr>
      <vt:lpstr>分众设备</vt:lpstr>
      <vt:lpstr>简化模型</vt:lpstr>
      <vt:lpstr>Sheet1</vt:lpstr>
      <vt:lpstr>长盛轴承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2019-01-06T13:50:22Z</dcterms:modified>
</cp:coreProperties>
</file>