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AE7C61A-CB07-4864-ADB4-8CA24D9A394F}" xr6:coauthVersionLast="44" xr6:coauthVersionMax="44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VADER-Nano" sheetId="19" r:id="rId1"/>
    <sheet name="Nano-VADER" sheetId="20" r:id="rId2"/>
    <sheet name="Mateo-VADER" sheetId="24" r:id="rId3"/>
    <sheet name="VADER-Metabarones" sheetId="23" r:id="rId4"/>
    <sheet name="ColldeRates-LUKE" sheetId="21" r:id="rId5"/>
    <sheet name="SIMULADOR_v4" sheetId="10" r:id="rId6"/>
    <sheet name="SIMULADOR_v3" sheetId="4" r:id="rId7"/>
    <sheet name="SIMULADOR&gt;22-12-17_v2" sheetId="5" r:id="rId8"/>
    <sheet name="SIMULADOR&gt;22-12-17" sheetId="6" r:id="rId9"/>
    <sheet name="SIMULADOR" sheetId="7" r:id="rId10"/>
    <sheet name="SIMULADOR_sinJC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6" i="24" l="1"/>
  <c r="B22" i="24" s="1"/>
  <c r="BF48" i="24"/>
  <c r="BF47" i="24"/>
  <c r="BE45" i="24"/>
  <c r="BF46" i="24" s="1"/>
  <c r="BE44" i="24"/>
  <c r="BF45" i="24" s="1"/>
  <c r="BD44" i="24"/>
  <c r="BF43" i="24"/>
  <c r="BE43" i="24"/>
  <c r="BF44" i="24" s="1"/>
  <c r="BD43" i="24"/>
  <c r="BC43" i="24"/>
  <c r="BF42" i="24"/>
  <c r="BE42" i="24"/>
  <c r="BD42" i="24"/>
  <c r="BC42" i="24"/>
  <c r="BF41" i="24"/>
  <c r="BE41" i="24"/>
  <c r="BD41" i="24"/>
  <c r="BC41" i="24"/>
  <c r="BF40" i="24"/>
  <c r="BE40" i="24"/>
  <c r="BD40" i="24"/>
  <c r="BC40" i="24"/>
  <c r="BI39" i="24"/>
  <c r="BI44" i="24" s="1"/>
  <c r="BC39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BF34" i="24"/>
  <c r="BF33" i="24"/>
  <c r="C33" i="24"/>
  <c r="B33" i="24"/>
  <c r="BF32" i="24"/>
  <c r="C32" i="24"/>
  <c r="B32" i="24"/>
  <c r="BE31" i="24"/>
  <c r="BI30" i="24"/>
  <c r="BI37" i="24" s="1"/>
  <c r="BI43" i="24" s="1"/>
  <c r="BI48" i="24" s="1"/>
  <c r="BI53" i="24" s="1"/>
  <c r="BI56" i="24" s="1"/>
  <c r="BI58" i="24" s="1"/>
  <c r="BI59" i="24" s="1"/>
  <c r="BE30" i="24"/>
  <c r="BD30" i="24"/>
  <c r="E30" i="24"/>
  <c r="D30" i="24"/>
  <c r="BI29" i="24"/>
  <c r="BI36" i="24" s="1"/>
  <c r="BI42" i="24" s="1"/>
  <c r="BI47" i="24" s="1"/>
  <c r="BI52" i="24" s="1"/>
  <c r="BI55" i="24" s="1"/>
  <c r="BI57" i="24" s="1"/>
  <c r="BM13" i="24" s="1"/>
  <c r="BF29" i="24"/>
  <c r="BE29" i="24"/>
  <c r="BD29" i="24"/>
  <c r="BC29" i="24"/>
  <c r="C29" i="24"/>
  <c r="B29" i="24"/>
  <c r="BI28" i="24"/>
  <c r="BI35" i="24" s="1"/>
  <c r="BI41" i="24" s="1"/>
  <c r="BI46" i="24" s="1"/>
  <c r="BI51" i="24" s="1"/>
  <c r="BI54" i="24" s="1"/>
  <c r="BM12" i="24" s="1"/>
  <c r="BQ47" i="24" s="1"/>
  <c r="BF28" i="24"/>
  <c r="BE28" i="24"/>
  <c r="BD28" i="24"/>
  <c r="BC28" i="24"/>
  <c r="BI27" i="24"/>
  <c r="BI34" i="24" s="1"/>
  <c r="BI40" i="24" s="1"/>
  <c r="BI45" i="24" s="1"/>
  <c r="BI50" i="24" s="1"/>
  <c r="BM11" i="24" s="1"/>
  <c r="BQ38" i="24" s="1"/>
  <c r="BQ46" i="24" s="1"/>
  <c r="BF27" i="24"/>
  <c r="BE27" i="24"/>
  <c r="BD27" i="24"/>
  <c r="BC27" i="24"/>
  <c r="C27" i="24"/>
  <c r="B27" i="24"/>
  <c r="BI26" i="24"/>
  <c r="BI33" i="24" s="1"/>
  <c r="BF26" i="24"/>
  <c r="BE26" i="24"/>
  <c r="BD26" i="24"/>
  <c r="BC26" i="24"/>
  <c r="E26" i="24"/>
  <c r="D26" i="24"/>
  <c r="C26" i="24"/>
  <c r="B26" i="24"/>
  <c r="BI25" i="24"/>
  <c r="BI32" i="24" s="1"/>
  <c r="BI38" i="24" s="1"/>
  <c r="BM9" i="24" s="1"/>
  <c r="BC25" i="24"/>
  <c r="E25" i="24"/>
  <c r="D25" i="24"/>
  <c r="C25" i="24"/>
  <c r="B25" i="24"/>
  <c r="BI24" i="24"/>
  <c r="BI31" i="24" s="1"/>
  <c r="BM8" i="24" s="1"/>
  <c r="BQ18" i="24" s="1"/>
  <c r="BQ23" i="24"/>
  <c r="BQ29" i="24" s="1"/>
  <c r="BQ36" i="24" s="1"/>
  <c r="BQ44" i="24" s="1"/>
  <c r="BI23" i="24"/>
  <c r="BQ22" i="24"/>
  <c r="BQ28" i="24" s="1"/>
  <c r="BQ35" i="24" s="1"/>
  <c r="BQ43" i="24" s="1"/>
  <c r="B20" i="24"/>
  <c r="B21" i="24" s="1"/>
  <c r="AA15" i="24"/>
  <c r="W15" i="24"/>
  <c r="V15" i="24"/>
  <c r="Q15" i="24"/>
  <c r="P15" i="24"/>
  <c r="W14" i="24"/>
  <c r="V14" i="24"/>
  <c r="Q14" i="24"/>
  <c r="P14" i="24"/>
  <c r="BQ13" i="24"/>
  <c r="BQ17" i="24" s="1"/>
  <c r="BQ21" i="24" s="1"/>
  <c r="BQ27" i="24" s="1"/>
  <c r="BQ34" i="24" s="1"/>
  <c r="BQ42" i="24" s="1"/>
  <c r="W13" i="24"/>
  <c r="V13" i="24"/>
  <c r="Q13" i="24"/>
  <c r="P13" i="24"/>
  <c r="W12" i="24"/>
  <c r="V12" i="24"/>
  <c r="Q12" i="24"/>
  <c r="P12" i="24"/>
  <c r="Q11" i="24"/>
  <c r="P11" i="24"/>
  <c r="BM10" i="24"/>
  <c r="BQ30" i="24" s="1"/>
  <c r="BQ37" i="24" s="1"/>
  <c r="BQ45" i="24" s="1"/>
  <c r="W10" i="24"/>
  <c r="V10" i="24"/>
  <c r="W9" i="24"/>
  <c r="V9" i="24"/>
  <c r="Q9" i="24"/>
  <c r="P9" i="24"/>
  <c r="BQ8" i="24"/>
  <c r="BQ11" i="24" s="1"/>
  <c r="BQ15" i="24" s="1"/>
  <c r="BQ19" i="24" s="1"/>
  <c r="BQ25" i="24" s="1"/>
  <c r="BQ32" i="24" s="1"/>
  <c r="BQ40" i="24" s="1"/>
  <c r="W8" i="24"/>
  <c r="V8" i="24"/>
  <c r="Q8" i="24"/>
  <c r="P8" i="24"/>
  <c r="BQ7" i="24"/>
  <c r="BQ10" i="24" s="1"/>
  <c r="BQ14" i="24" s="1"/>
  <c r="BI49" i="24" s="1"/>
  <c r="BQ24" i="24" s="1"/>
  <c r="BQ31" i="24" s="1"/>
  <c r="BQ39" i="24" s="1"/>
  <c r="BM14" i="24" s="1"/>
  <c r="BM7" i="24"/>
  <c r="W7" i="24"/>
  <c r="V7" i="24"/>
  <c r="Q7" i="24"/>
  <c r="P7" i="24"/>
  <c r="BQ6" i="24"/>
  <c r="BM6" i="24"/>
  <c r="BQ9" i="24" s="1"/>
  <c r="BQ12" i="24" s="1"/>
  <c r="BQ16" i="24" s="1"/>
  <c r="BQ20" i="24" s="1"/>
  <c r="BQ26" i="24" s="1"/>
  <c r="BQ33" i="24" s="1"/>
  <c r="BQ41" i="24" s="1"/>
  <c r="W6" i="24"/>
  <c r="V6" i="24"/>
  <c r="Q6" i="24"/>
  <c r="P6" i="24"/>
  <c r="BQ5" i="24"/>
  <c r="W5" i="24"/>
  <c r="V5" i="24"/>
  <c r="Q5" i="24"/>
  <c r="P5" i="24"/>
  <c r="W4" i="24"/>
  <c r="V4" i="24"/>
  <c r="Q4" i="24"/>
  <c r="P4" i="24"/>
  <c r="D3" i="24"/>
  <c r="N1" i="24"/>
  <c r="N12" i="24" s="1"/>
  <c r="R15" i="24" l="1"/>
  <c r="R4" i="24"/>
  <c r="W11" i="24"/>
  <c r="N5" i="24"/>
  <c r="R5" i="24" s="1"/>
  <c r="R12" i="24"/>
  <c r="R7" i="24"/>
  <c r="C22" i="24"/>
  <c r="G13" i="24"/>
  <c r="R8" i="24"/>
  <c r="N6" i="24"/>
  <c r="R6" i="24" s="1"/>
  <c r="N7" i="24"/>
  <c r="N10" i="24"/>
  <c r="R10" i="24" s="1"/>
  <c r="V11" i="24"/>
  <c r="D27" i="24"/>
  <c r="B31" i="24" s="1"/>
  <c r="N15" i="24"/>
  <c r="N14" i="24"/>
  <c r="R14" i="24" s="1"/>
  <c r="E27" i="24"/>
  <c r="E23" i="24" s="1"/>
  <c r="BF31" i="24"/>
  <c r="BF30" i="24"/>
  <c r="N9" i="24"/>
  <c r="R9" i="24" s="1"/>
  <c r="N11" i="24"/>
  <c r="R11" i="24" s="1"/>
  <c r="N4" i="24"/>
  <c r="N8" i="24"/>
  <c r="N13" i="24"/>
  <c r="R13" i="24" s="1"/>
  <c r="AB15" i="24"/>
  <c r="C6" i="23"/>
  <c r="BF48" i="23"/>
  <c r="BF47" i="23"/>
  <c r="BF46" i="23"/>
  <c r="BE45" i="23"/>
  <c r="BE44" i="23"/>
  <c r="BF45" i="23" s="1"/>
  <c r="BD44" i="23"/>
  <c r="BF43" i="23"/>
  <c r="BE43" i="23"/>
  <c r="BF44" i="23" s="1"/>
  <c r="BD43" i="23"/>
  <c r="BC43" i="23"/>
  <c r="BE42" i="23"/>
  <c r="BD42" i="23"/>
  <c r="BC42" i="23"/>
  <c r="BF41" i="23"/>
  <c r="BE41" i="23"/>
  <c r="BF42" i="23" s="1"/>
  <c r="BD41" i="23"/>
  <c r="BC41" i="23"/>
  <c r="BF40" i="23"/>
  <c r="BE40" i="23"/>
  <c r="BD40" i="23"/>
  <c r="BC40" i="23"/>
  <c r="BC39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BI34" i="23"/>
  <c r="BI40" i="23" s="1"/>
  <c r="BI45" i="23" s="1"/>
  <c r="BI50" i="23" s="1"/>
  <c r="BF34" i="23"/>
  <c r="BF33" i="23"/>
  <c r="C33" i="23"/>
  <c r="C32" i="23"/>
  <c r="B32" i="23"/>
  <c r="BE31" i="23"/>
  <c r="BF32" i="23" s="1"/>
  <c r="BI30" i="23"/>
  <c r="BI37" i="23" s="1"/>
  <c r="BI43" i="23" s="1"/>
  <c r="BI48" i="23" s="1"/>
  <c r="BI53" i="23" s="1"/>
  <c r="BI56" i="23" s="1"/>
  <c r="BI58" i="23" s="1"/>
  <c r="BI59" i="23" s="1"/>
  <c r="BE30" i="23"/>
  <c r="BF31" i="23" s="1"/>
  <c r="BD30" i="23"/>
  <c r="E30" i="23"/>
  <c r="D30" i="23"/>
  <c r="BI29" i="23"/>
  <c r="BI36" i="23" s="1"/>
  <c r="BI42" i="23" s="1"/>
  <c r="BI47" i="23" s="1"/>
  <c r="BI52" i="23" s="1"/>
  <c r="BI55" i="23" s="1"/>
  <c r="BI57" i="23" s="1"/>
  <c r="BM13" i="23" s="1"/>
  <c r="BE29" i="23"/>
  <c r="BD29" i="23"/>
  <c r="BC29" i="23"/>
  <c r="C29" i="23"/>
  <c r="B29" i="23"/>
  <c r="BI28" i="23"/>
  <c r="BI35" i="23" s="1"/>
  <c r="BI41" i="23" s="1"/>
  <c r="BI46" i="23" s="1"/>
  <c r="BI51" i="23" s="1"/>
  <c r="BI54" i="23" s="1"/>
  <c r="BM12" i="23" s="1"/>
  <c r="BQ47" i="23" s="1"/>
  <c r="BE28" i="23"/>
  <c r="BF29" i="23" s="1"/>
  <c r="BD28" i="23"/>
  <c r="BC28" i="23"/>
  <c r="BI27" i="23"/>
  <c r="BF27" i="23"/>
  <c r="BE27" i="23"/>
  <c r="BF28" i="23" s="1"/>
  <c r="BD27" i="23"/>
  <c r="BC27" i="23"/>
  <c r="C27" i="23"/>
  <c r="B27" i="23"/>
  <c r="BI26" i="23"/>
  <c r="BI33" i="23" s="1"/>
  <c r="BI39" i="23" s="1"/>
  <c r="BI44" i="23" s="1"/>
  <c r="BF26" i="23"/>
  <c r="BE26" i="23"/>
  <c r="BD26" i="23"/>
  <c r="BC26" i="23"/>
  <c r="E26" i="23"/>
  <c r="E27" i="23" s="1"/>
  <c r="D26" i="23"/>
  <c r="D27" i="23" s="1"/>
  <c r="C26" i="23"/>
  <c r="B26" i="23"/>
  <c r="BI25" i="23"/>
  <c r="BI32" i="23" s="1"/>
  <c r="BI38" i="23" s="1"/>
  <c r="BC25" i="23"/>
  <c r="E25" i="23"/>
  <c r="E23" i="23" s="1"/>
  <c r="D25" i="23"/>
  <c r="C25" i="23"/>
  <c r="B25" i="23"/>
  <c r="BI24" i="23"/>
  <c r="BI31" i="23" s="1"/>
  <c r="BI23" i="23"/>
  <c r="B22" i="23"/>
  <c r="G13" i="23" s="1"/>
  <c r="B20" i="23"/>
  <c r="B21" i="23" s="1"/>
  <c r="AB15" i="23"/>
  <c r="AA15" i="23"/>
  <c r="W15" i="23"/>
  <c r="V15" i="23"/>
  <c r="Q15" i="23"/>
  <c r="P15" i="23"/>
  <c r="W14" i="23"/>
  <c r="V14" i="23"/>
  <c r="Q14" i="23"/>
  <c r="P14" i="23"/>
  <c r="W13" i="23"/>
  <c r="V13" i="23"/>
  <c r="Q13" i="23"/>
  <c r="P13" i="23"/>
  <c r="W12" i="23"/>
  <c r="V12" i="23"/>
  <c r="Q12" i="23"/>
  <c r="P12" i="23"/>
  <c r="BM11" i="23"/>
  <c r="BQ38" i="23" s="1"/>
  <c r="BQ46" i="23" s="1"/>
  <c r="Q11" i="23"/>
  <c r="P11" i="23"/>
  <c r="BM10" i="23"/>
  <c r="BQ30" i="23" s="1"/>
  <c r="BQ37" i="23" s="1"/>
  <c r="BQ45" i="23" s="1"/>
  <c r="W10" i="23"/>
  <c r="V10" i="23"/>
  <c r="BM9" i="23"/>
  <c r="BQ23" i="23" s="1"/>
  <c r="BQ29" i="23" s="1"/>
  <c r="BQ36" i="23" s="1"/>
  <c r="BQ44" i="23" s="1"/>
  <c r="W9" i="23"/>
  <c r="V9" i="23"/>
  <c r="Q9" i="23"/>
  <c r="P9" i="23"/>
  <c r="BM8" i="23"/>
  <c r="BQ18" i="23" s="1"/>
  <c r="BQ22" i="23" s="1"/>
  <c r="BQ28" i="23" s="1"/>
  <c r="BQ35" i="23" s="1"/>
  <c r="BQ43" i="23" s="1"/>
  <c r="W8" i="23"/>
  <c r="V8" i="23"/>
  <c r="Q8" i="23"/>
  <c r="P8" i="23"/>
  <c r="BQ7" i="23"/>
  <c r="BQ10" i="23" s="1"/>
  <c r="BQ14" i="23" s="1"/>
  <c r="BI49" i="23" s="1"/>
  <c r="BQ24" i="23" s="1"/>
  <c r="BQ31" i="23" s="1"/>
  <c r="BQ39" i="23" s="1"/>
  <c r="BM14" i="23" s="1"/>
  <c r="BM7" i="23"/>
  <c r="BQ13" i="23" s="1"/>
  <c r="BQ17" i="23" s="1"/>
  <c r="BQ21" i="23" s="1"/>
  <c r="BQ27" i="23" s="1"/>
  <c r="BQ34" i="23" s="1"/>
  <c r="BQ42" i="23" s="1"/>
  <c r="W7" i="23"/>
  <c r="V7" i="23"/>
  <c r="Q7" i="23"/>
  <c r="P7" i="23"/>
  <c r="BQ6" i="23"/>
  <c r="BQ8" i="23" s="1"/>
  <c r="BQ11" i="23" s="1"/>
  <c r="BQ15" i="23" s="1"/>
  <c r="BQ19" i="23" s="1"/>
  <c r="BQ25" i="23" s="1"/>
  <c r="BQ32" i="23" s="1"/>
  <c r="BQ40" i="23" s="1"/>
  <c r="BM6" i="23"/>
  <c r="BQ9" i="23" s="1"/>
  <c r="BQ12" i="23" s="1"/>
  <c r="BQ16" i="23" s="1"/>
  <c r="BQ20" i="23" s="1"/>
  <c r="BQ26" i="23" s="1"/>
  <c r="BQ33" i="23" s="1"/>
  <c r="BQ41" i="23" s="1"/>
  <c r="W6" i="23"/>
  <c r="V6" i="23"/>
  <c r="Q6" i="23"/>
  <c r="P6" i="23"/>
  <c r="N6" i="23"/>
  <c r="BQ5" i="23"/>
  <c r="W5" i="23"/>
  <c r="V5" i="23"/>
  <c r="Q5" i="23"/>
  <c r="P5" i="23"/>
  <c r="W4" i="23"/>
  <c r="V4" i="23"/>
  <c r="Q4" i="23"/>
  <c r="P4" i="23"/>
  <c r="D3" i="23"/>
  <c r="N1" i="23"/>
  <c r="N12" i="23" s="1"/>
  <c r="B23" i="24" l="1"/>
  <c r="T44" i="24" s="1"/>
  <c r="G14" i="24"/>
  <c r="W25" i="24"/>
  <c r="R2" i="24"/>
  <c r="C31" i="24"/>
  <c r="D23" i="24"/>
  <c r="N2" i="24"/>
  <c r="N5" i="23"/>
  <c r="R12" i="23"/>
  <c r="W11" i="23"/>
  <c r="R5" i="23"/>
  <c r="V11" i="23"/>
  <c r="R6" i="23"/>
  <c r="R4" i="23"/>
  <c r="C31" i="23"/>
  <c r="W39" i="23" s="1"/>
  <c r="B31" i="23"/>
  <c r="W25" i="23" s="1"/>
  <c r="N8" i="23"/>
  <c r="R13" i="23"/>
  <c r="R15" i="23"/>
  <c r="D23" i="23"/>
  <c r="N4" i="23"/>
  <c r="N10" i="23"/>
  <c r="R10" i="23" s="1"/>
  <c r="N15" i="23"/>
  <c r="N14" i="23"/>
  <c r="R14" i="23" s="1"/>
  <c r="N13" i="23"/>
  <c r="R8" i="23"/>
  <c r="N7" i="23"/>
  <c r="R7" i="23" s="1"/>
  <c r="N9" i="23"/>
  <c r="R9" i="23" s="1"/>
  <c r="N11" i="23"/>
  <c r="R11" i="23" s="1"/>
  <c r="C22" i="23"/>
  <c r="G14" i="23" s="1"/>
  <c r="BF30" i="23"/>
  <c r="S10" i="24" l="1"/>
  <c r="T10" i="24" s="1"/>
  <c r="X10" i="24" s="1"/>
  <c r="AA9" i="24" s="1"/>
  <c r="T48" i="24"/>
  <c r="T40" i="24"/>
  <c r="T46" i="24"/>
  <c r="T45" i="24"/>
  <c r="T49" i="24"/>
  <c r="T43" i="24"/>
  <c r="T47" i="24"/>
  <c r="T39" i="24"/>
  <c r="T42" i="24"/>
  <c r="T41" i="24"/>
  <c r="C23" i="24"/>
  <c r="T33" i="24" s="1"/>
  <c r="B24" i="24"/>
  <c r="B34" i="24"/>
  <c r="S8" i="24"/>
  <c r="S12" i="24"/>
  <c r="S15" i="24"/>
  <c r="S6" i="24"/>
  <c r="S5" i="24"/>
  <c r="S7" i="24"/>
  <c r="S4" i="24"/>
  <c r="W39" i="24"/>
  <c r="T30" i="24"/>
  <c r="S9" i="24"/>
  <c r="S13" i="24"/>
  <c r="S14" i="24"/>
  <c r="S11" i="24"/>
  <c r="B23" i="23"/>
  <c r="N2" i="23"/>
  <c r="R2" i="23"/>
  <c r="B6" i="21"/>
  <c r="BF48" i="21"/>
  <c r="BF47" i="21"/>
  <c r="BF45" i="21"/>
  <c r="BE45" i="21"/>
  <c r="BF46" i="21" s="1"/>
  <c r="BF44" i="21"/>
  <c r="BE44" i="21"/>
  <c r="BD44" i="21"/>
  <c r="BE43" i="21"/>
  <c r="BD43" i="21"/>
  <c r="BC43" i="21"/>
  <c r="BE42" i="21"/>
  <c r="BF43" i="21" s="1"/>
  <c r="BD42" i="21"/>
  <c r="BC42" i="21"/>
  <c r="BI41" i="21"/>
  <c r="BI46" i="21" s="1"/>
  <c r="BI51" i="21" s="1"/>
  <c r="BI54" i="21" s="1"/>
  <c r="BM12" i="21" s="1"/>
  <c r="BQ47" i="21" s="1"/>
  <c r="BF41" i="21"/>
  <c r="BE41" i="21"/>
  <c r="BF42" i="21" s="1"/>
  <c r="BD41" i="21"/>
  <c r="BC41" i="21"/>
  <c r="BF40" i="21"/>
  <c r="BE40" i="21"/>
  <c r="BD40" i="21"/>
  <c r="BC40" i="21"/>
  <c r="BC39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BI36" i="21"/>
  <c r="BI42" i="21" s="1"/>
  <c r="BI47" i="21" s="1"/>
  <c r="BI52" i="21" s="1"/>
  <c r="BI55" i="21" s="1"/>
  <c r="BI57" i="21" s="1"/>
  <c r="BM13" i="21" s="1"/>
  <c r="BI35" i="21"/>
  <c r="BF34" i="21"/>
  <c r="BI33" i="21"/>
  <c r="BI39" i="21" s="1"/>
  <c r="BI44" i="21" s="1"/>
  <c r="BF33" i="21"/>
  <c r="C33" i="21"/>
  <c r="B33" i="21"/>
  <c r="C32" i="21"/>
  <c r="B32" i="21"/>
  <c r="BF31" i="21"/>
  <c r="BE31" i="21"/>
  <c r="BF32" i="21" s="1"/>
  <c r="BI30" i="21"/>
  <c r="BI37" i="21" s="1"/>
  <c r="BI43" i="21" s="1"/>
  <c r="BI48" i="21" s="1"/>
  <c r="BI53" i="21" s="1"/>
  <c r="BI56" i="21" s="1"/>
  <c r="BI58" i="21" s="1"/>
  <c r="BI59" i="21" s="1"/>
  <c r="BE30" i="21"/>
  <c r="BD30" i="21"/>
  <c r="E30" i="21"/>
  <c r="D30" i="21"/>
  <c r="BI29" i="21"/>
  <c r="BE29" i="21"/>
  <c r="BF30" i="21" s="1"/>
  <c r="BD29" i="21"/>
  <c r="BC29" i="21"/>
  <c r="C29" i="21"/>
  <c r="B29" i="21"/>
  <c r="BI28" i="21"/>
  <c r="BE28" i="21"/>
  <c r="BD28" i="21"/>
  <c r="BC28" i="21"/>
  <c r="BI27" i="21"/>
  <c r="BI34" i="21" s="1"/>
  <c r="BI40" i="21" s="1"/>
  <c r="BI45" i="21" s="1"/>
  <c r="BI50" i="21" s="1"/>
  <c r="BF27" i="21"/>
  <c r="BE27" i="21"/>
  <c r="BF28" i="21" s="1"/>
  <c r="BD27" i="21"/>
  <c r="BC27" i="21"/>
  <c r="C27" i="21"/>
  <c r="B27" i="21"/>
  <c r="BI26" i="21"/>
  <c r="BF26" i="21"/>
  <c r="BE26" i="21"/>
  <c r="BD26" i="21"/>
  <c r="BC26" i="21"/>
  <c r="E26" i="21"/>
  <c r="E27" i="21" s="1"/>
  <c r="D26" i="21"/>
  <c r="D27" i="21" s="1"/>
  <c r="C26" i="21"/>
  <c r="B26" i="21"/>
  <c r="BI25" i="21"/>
  <c r="BI32" i="21" s="1"/>
  <c r="BI38" i="21" s="1"/>
  <c r="BC25" i="21"/>
  <c r="E25" i="21"/>
  <c r="D25" i="21"/>
  <c r="D23" i="21" s="1"/>
  <c r="C25" i="21"/>
  <c r="B25" i="21"/>
  <c r="BI24" i="21"/>
  <c r="BI31" i="21" s="1"/>
  <c r="BI23" i="21"/>
  <c r="B22" i="21"/>
  <c r="G13" i="21" s="1"/>
  <c r="B20" i="21"/>
  <c r="B21" i="21" s="1"/>
  <c r="AB15" i="21"/>
  <c r="AA15" i="21"/>
  <c r="W15" i="21"/>
  <c r="V15" i="21"/>
  <c r="Q15" i="21"/>
  <c r="P15" i="21"/>
  <c r="W14" i="21"/>
  <c r="V14" i="21"/>
  <c r="Q14" i="21"/>
  <c r="P14" i="21"/>
  <c r="W13" i="21"/>
  <c r="V13" i="21"/>
  <c r="Q13" i="21"/>
  <c r="P13" i="21"/>
  <c r="W12" i="21"/>
  <c r="V12" i="21"/>
  <c r="Q12" i="21"/>
  <c r="P12" i="21"/>
  <c r="BM11" i="21"/>
  <c r="BQ38" i="21" s="1"/>
  <c r="BQ46" i="21" s="1"/>
  <c r="Q11" i="21"/>
  <c r="P11" i="21"/>
  <c r="BM10" i="21"/>
  <c r="BQ30" i="21" s="1"/>
  <c r="BQ37" i="21" s="1"/>
  <c r="BQ45" i="21" s="1"/>
  <c r="W10" i="21"/>
  <c r="V10" i="21"/>
  <c r="BM9" i="21"/>
  <c r="BQ23" i="21" s="1"/>
  <c r="BQ29" i="21" s="1"/>
  <c r="BQ36" i="21" s="1"/>
  <c r="BQ44" i="21" s="1"/>
  <c r="W9" i="21"/>
  <c r="V9" i="21"/>
  <c r="Q9" i="21"/>
  <c r="P9" i="21"/>
  <c r="BQ8" i="21"/>
  <c r="BQ11" i="21" s="1"/>
  <c r="BQ15" i="21" s="1"/>
  <c r="BQ19" i="21" s="1"/>
  <c r="BQ25" i="21" s="1"/>
  <c r="BQ32" i="21" s="1"/>
  <c r="BQ40" i="21" s="1"/>
  <c r="BM8" i="21"/>
  <c r="BQ18" i="21" s="1"/>
  <c r="BQ22" i="21" s="1"/>
  <c r="BQ28" i="21" s="1"/>
  <c r="BQ35" i="21" s="1"/>
  <c r="BQ43" i="21" s="1"/>
  <c r="W8" i="21"/>
  <c r="V8" i="21"/>
  <c r="Q8" i="21"/>
  <c r="P8" i="21"/>
  <c r="BM7" i="21"/>
  <c r="BQ13" i="21" s="1"/>
  <c r="BQ17" i="21" s="1"/>
  <c r="BQ21" i="21" s="1"/>
  <c r="BQ27" i="21" s="1"/>
  <c r="BQ34" i="21" s="1"/>
  <c r="BQ42" i="21" s="1"/>
  <c r="W7" i="21"/>
  <c r="V7" i="21"/>
  <c r="Q7" i="21"/>
  <c r="P7" i="21"/>
  <c r="BQ6" i="21"/>
  <c r="BM6" i="21"/>
  <c r="BQ9" i="21" s="1"/>
  <c r="BQ12" i="21" s="1"/>
  <c r="BQ16" i="21" s="1"/>
  <c r="BQ20" i="21" s="1"/>
  <c r="BQ26" i="21" s="1"/>
  <c r="BQ33" i="21" s="1"/>
  <c r="BQ41" i="21" s="1"/>
  <c r="W6" i="21"/>
  <c r="V6" i="21"/>
  <c r="Q6" i="21"/>
  <c r="P6" i="21"/>
  <c r="BQ5" i="21"/>
  <c r="BQ7" i="21" s="1"/>
  <c r="BQ10" i="21" s="1"/>
  <c r="BQ14" i="21" s="1"/>
  <c r="BI49" i="21" s="1"/>
  <c r="BQ24" i="21" s="1"/>
  <c r="BQ31" i="21" s="1"/>
  <c r="BQ39" i="21" s="1"/>
  <c r="BM14" i="21" s="1"/>
  <c r="W5" i="21"/>
  <c r="V5" i="21"/>
  <c r="Q5" i="21"/>
  <c r="P5" i="21"/>
  <c r="W4" i="21"/>
  <c r="V4" i="21"/>
  <c r="Q4" i="21"/>
  <c r="P4" i="21"/>
  <c r="D3" i="21"/>
  <c r="N1" i="21"/>
  <c r="N5" i="21" s="1"/>
  <c r="U10" i="24" l="1"/>
  <c r="Y10" i="24" s="1"/>
  <c r="AG10" i="24" s="1"/>
  <c r="AH10" i="24" s="1"/>
  <c r="T27" i="24"/>
  <c r="T37" i="24"/>
  <c r="N29" i="24"/>
  <c r="P29" i="24" s="1"/>
  <c r="N26" i="24"/>
  <c r="P26" i="24" s="1"/>
  <c r="N28" i="24"/>
  <c r="P28" i="24" s="1"/>
  <c r="N27" i="24"/>
  <c r="P27" i="24" s="1"/>
  <c r="N25" i="24"/>
  <c r="N30" i="24"/>
  <c r="P30" i="24" s="1"/>
  <c r="R35" i="24" s="1"/>
  <c r="T32" i="24"/>
  <c r="C24" i="24"/>
  <c r="C34" i="24"/>
  <c r="T25" i="24"/>
  <c r="T31" i="24"/>
  <c r="T26" i="24"/>
  <c r="T29" i="24"/>
  <c r="T34" i="24"/>
  <c r="T28" i="24"/>
  <c r="T35" i="24"/>
  <c r="U7" i="24"/>
  <c r="Y7" i="24" s="1"/>
  <c r="AG7" i="24" s="1"/>
  <c r="T7" i="24"/>
  <c r="X7" i="24" s="1"/>
  <c r="AA6" i="24" s="1"/>
  <c r="T8" i="24"/>
  <c r="X8" i="24" s="1"/>
  <c r="AA7" i="24" s="1"/>
  <c r="U8" i="24"/>
  <c r="Y8" i="24" s="1"/>
  <c r="AG8" i="24" s="1"/>
  <c r="T5" i="24"/>
  <c r="X5" i="24" s="1"/>
  <c r="AA4" i="24" s="1"/>
  <c r="U5" i="24"/>
  <c r="Y5" i="24" s="1"/>
  <c r="AG5" i="24" s="1"/>
  <c r="S2" i="24"/>
  <c r="T4" i="24"/>
  <c r="U4" i="24"/>
  <c r="T11" i="24"/>
  <c r="X11" i="24" s="1"/>
  <c r="AA10" i="24" s="1"/>
  <c r="U11" i="24"/>
  <c r="Y11" i="24" s="1"/>
  <c r="AG11" i="24" s="1"/>
  <c r="U6" i="24"/>
  <c r="Y6" i="24" s="1"/>
  <c r="AG6" i="24" s="1"/>
  <c r="T6" i="24"/>
  <c r="X6" i="24" s="1"/>
  <c r="AA5" i="24" s="1"/>
  <c r="U15" i="24"/>
  <c r="Y15" i="24" s="1"/>
  <c r="AG15" i="24" s="1"/>
  <c r="T15" i="24"/>
  <c r="X15" i="24" s="1"/>
  <c r="AA14" i="24" s="1"/>
  <c r="U14" i="24"/>
  <c r="Y14" i="24" s="1"/>
  <c r="AG14" i="24" s="1"/>
  <c r="T14" i="24"/>
  <c r="X14" i="24" s="1"/>
  <c r="AA13" i="24" s="1"/>
  <c r="U12" i="24"/>
  <c r="Y12" i="24" s="1"/>
  <c r="AG12" i="24" s="1"/>
  <c r="T12" i="24"/>
  <c r="X12" i="24" s="1"/>
  <c r="AA11" i="24" s="1"/>
  <c r="AB9" i="24"/>
  <c r="U9" i="24"/>
  <c r="Y9" i="24" s="1"/>
  <c r="AG9" i="24" s="1"/>
  <c r="T9" i="24"/>
  <c r="X9" i="24" s="1"/>
  <c r="AA8" i="24" s="1"/>
  <c r="U13" i="24"/>
  <c r="Y13" i="24" s="1"/>
  <c r="AG13" i="24" s="1"/>
  <c r="T13" i="24"/>
  <c r="X13" i="24" s="1"/>
  <c r="AA12" i="24" s="1"/>
  <c r="S10" i="23"/>
  <c r="U10" i="23" s="1"/>
  <c r="Y10" i="23" s="1"/>
  <c r="AG10" i="23" s="1"/>
  <c r="S13" i="23"/>
  <c r="U13" i="23" s="1"/>
  <c r="Y13" i="23" s="1"/>
  <c r="AG13" i="23" s="1"/>
  <c r="S7" i="23"/>
  <c r="S4" i="23"/>
  <c r="S6" i="23"/>
  <c r="S5" i="23"/>
  <c r="S12" i="23"/>
  <c r="S8" i="23"/>
  <c r="S14" i="23"/>
  <c r="B34" i="23"/>
  <c r="B24" i="23"/>
  <c r="T43" i="23"/>
  <c r="T45" i="23"/>
  <c r="T48" i="23"/>
  <c r="T40" i="23"/>
  <c r="T46" i="23"/>
  <c r="T44" i="23"/>
  <c r="C23" i="23"/>
  <c r="T47" i="23"/>
  <c r="T42" i="23"/>
  <c r="T39" i="23"/>
  <c r="T49" i="23"/>
  <c r="T41" i="23"/>
  <c r="T13" i="23"/>
  <c r="X13" i="23" s="1"/>
  <c r="AA12" i="23" s="1"/>
  <c r="S15" i="23"/>
  <c r="S9" i="23"/>
  <c r="S11" i="23"/>
  <c r="E23" i="21"/>
  <c r="R5" i="21"/>
  <c r="R6" i="21"/>
  <c r="R12" i="21"/>
  <c r="C22" i="21"/>
  <c r="G14" i="21" s="1"/>
  <c r="N7" i="21"/>
  <c r="R7" i="21" s="1"/>
  <c r="W11" i="21"/>
  <c r="N6" i="21"/>
  <c r="N9" i="21"/>
  <c r="R9" i="21" s="1"/>
  <c r="N11" i="21"/>
  <c r="R11" i="21" s="1"/>
  <c r="V11" i="21"/>
  <c r="N15" i="21"/>
  <c r="R15" i="21" s="1"/>
  <c r="N14" i="21"/>
  <c r="R14" i="21" s="1"/>
  <c r="N13" i="21"/>
  <c r="R13" i="21" s="1"/>
  <c r="B31" i="21"/>
  <c r="W25" i="21" s="1"/>
  <c r="BF29" i="21"/>
  <c r="N4" i="21"/>
  <c r="R4" i="21" s="1"/>
  <c r="N8" i="21"/>
  <c r="R8" i="21" s="1"/>
  <c r="C31" i="21"/>
  <c r="W39" i="21" s="1"/>
  <c r="N10" i="21"/>
  <c r="R10" i="21" s="1"/>
  <c r="N12" i="21"/>
  <c r="R32" i="24" l="1"/>
  <c r="T23" i="24"/>
  <c r="N41" i="24"/>
  <c r="P41" i="24" s="1"/>
  <c r="N44" i="24"/>
  <c r="P44" i="24" s="1"/>
  <c r="N40" i="24"/>
  <c r="P40" i="24" s="1"/>
  <c r="N42" i="24"/>
  <c r="P42" i="24" s="1"/>
  <c r="N39" i="24"/>
  <c r="N43" i="24"/>
  <c r="P43" i="24" s="1"/>
  <c r="P25" i="24"/>
  <c r="R26" i="24" s="1"/>
  <c r="N23" i="24"/>
  <c r="R33" i="24"/>
  <c r="R31" i="24"/>
  <c r="R34" i="24"/>
  <c r="AB11" i="24"/>
  <c r="T2" i="24"/>
  <c r="X4" i="24"/>
  <c r="X2" i="24" s="1"/>
  <c r="AH12" i="24"/>
  <c r="U2" i="24"/>
  <c r="Y4" i="24"/>
  <c r="AB12" i="24"/>
  <c r="AB13" i="24"/>
  <c r="AB5" i="24"/>
  <c r="AH5" i="24"/>
  <c r="AB8" i="24"/>
  <c r="AH9" i="24"/>
  <c r="AH13" i="24"/>
  <c r="AH14" i="24"/>
  <c r="AH6" i="24"/>
  <c r="AB4" i="24"/>
  <c r="AB14" i="24"/>
  <c r="AH11" i="24"/>
  <c r="AH8" i="24"/>
  <c r="AB6" i="24"/>
  <c r="AH15" i="24"/>
  <c r="AB10" i="24"/>
  <c r="AB7" i="24"/>
  <c r="AH7" i="24"/>
  <c r="T10" i="23"/>
  <c r="X10" i="23" s="1"/>
  <c r="AA9" i="23" s="1"/>
  <c r="AB9" i="23" s="1"/>
  <c r="T11" i="23"/>
  <c r="X11" i="23" s="1"/>
  <c r="AA10" i="23" s="1"/>
  <c r="U11" i="23"/>
  <c r="Y11" i="23" s="1"/>
  <c r="AG11" i="23" s="1"/>
  <c r="AH13" i="23"/>
  <c r="AB12" i="23"/>
  <c r="U8" i="23"/>
  <c r="Y8" i="23" s="1"/>
  <c r="AG8" i="23" s="1"/>
  <c r="T8" i="23"/>
  <c r="X8" i="23" s="1"/>
  <c r="AA7" i="23" s="1"/>
  <c r="AH10" i="23"/>
  <c r="T37" i="23"/>
  <c r="T12" i="23"/>
  <c r="X12" i="23" s="1"/>
  <c r="AA11" i="23" s="1"/>
  <c r="U12" i="23"/>
  <c r="Y12" i="23" s="1"/>
  <c r="AG12" i="23" s="1"/>
  <c r="U5" i="23"/>
  <c r="Y5" i="23" s="1"/>
  <c r="AG5" i="23" s="1"/>
  <c r="T5" i="23"/>
  <c r="X5" i="23" s="1"/>
  <c r="AA4" i="23" s="1"/>
  <c r="N25" i="23"/>
  <c r="N30" i="23"/>
  <c r="P30" i="23" s="1"/>
  <c r="R35" i="23" s="1"/>
  <c r="N29" i="23"/>
  <c r="P29" i="23" s="1"/>
  <c r="R34" i="23" s="1"/>
  <c r="N26" i="23"/>
  <c r="N28" i="23"/>
  <c r="P28" i="23" s="1"/>
  <c r="N27" i="23"/>
  <c r="P27" i="23" s="1"/>
  <c r="U6" i="23"/>
  <c r="Y6" i="23" s="1"/>
  <c r="AG6" i="23" s="1"/>
  <c r="T6" i="23"/>
  <c r="X6" i="23" s="1"/>
  <c r="AA5" i="23" s="1"/>
  <c r="T9" i="23"/>
  <c r="X9" i="23" s="1"/>
  <c r="AA8" i="23" s="1"/>
  <c r="U9" i="23"/>
  <c r="Y9" i="23" s="1"/>
  <c r="AG9" i="23" s="1"/>
  <c r="U15" i="23"/>
  <c r="Y15" i="23" s="1"/>
  <c r="AG15" i="23" s="1"/>
  <c r="T15" i="23"/>
  <c r="X15" i="23" s="1"/>
  <c r="AA14" i="23" s="1"/>
  <c r="C34" i="23"/>
  <c r="C24" i="23"/>
  <c r="T28" i="23"/>
  <c r="T31" i="23"/>
  <c r="T26" i="23"/>
  <c r="T30" i="23"/>
  <c r="T35" i="23"/>
  <c r="T34" i="23"/>
  <c r="T29" i="23"/>
  <c r="T25" i="23"/>
  <c r="T27" i="23"/>
  <c r="T33" i="23"/>
  <c r="T32" i="23"/>
  <c r="S2" i="23"/>
  <c r="U4" i="23"/>
  <c r="T4" i="23"/>
  <c r="U14" i="23"/>
  <c r="Y14" i="23" s="1"/>
  <c r="AG14" i="23" s="1"/>
  <c r="T14" i="23"/>
  <c r="X14" i="23" s="1"/>
  <c r="AA13" i="23" s="1"/>
  <c r="T7" i="23"/>
  <c r="X7" i="23" s="1"/>
  <c r="AA6" i="23" s="1"/>
  <c r="U7" i="23"/>
  <c r="Y7" i="23" s="1"/>
  <c r="AG7" i="23" s="1"/>
  <c r="B23" i="21"/>
  <c r="R2" i="21"/>
  <c r="N2" i="21"/>
  <c r="AD10" i="24" l="1"/>
  <c r="R44" i="24"/>
  <c r="AD4" i="24"/>
  <c r="P39" i="24"/>
  <c r="N37" i="24"/>
  <c r="AD11" i="24"/>
  <c r="R30" i="24"/>
  <c r="R29" i="24"/>
  <c r="R27" i="24"/>
  <c r="R25" i="24"/>
  <c r="V26" i="24" s="1"/>
  <c r="P23" i="24"/>
  <c r="R28" i="24"/>
  <c r="R42" i="24"/>
  <c r="AD7" i="24"/>
  <c r="R47" i="24"/>
  <c r="R46" i="24"/>
  <c r="R45" i="24"/>
  <c r="R48" i="24"/>
  <c r="R49" i="24"/>
  <c r="AD5" i="24"/>
  <c r="AB18" i="24"/>
  <c r="AC15" i="24"/>
  <c r="AD15" i="24"/>
  <c r="AC9" i="24"/>
  <c r="AC8" i="24"/>
  <c r="AC12" i="24"/>
  <c r="AC4" i="24"/>
  <c r="AC5" i="24"/>
  <c r="AD12" i="24"/>
  <c r="AC11" i="24"/>
  <c r="AD8" i="24"/>
  <c r="AG4" i="24"/>
  <c r="Y2" i="24"/>
  <c r="AC7" i="24"/>
  <c r="AC6" i="24"/>
  <c r="AD13" i="24"/>
  <c r="AD6" i="24"/>
  <c r="AC14" i="24"/>
  <c r="AC13" i="24"/>
  <c r="AD9" i="24"/>
  <c r="AC10" i="24"/>
  <c r="AD14" i="24"/>
  <c r="R32" i="23"/>
  <c r="AH6" i="23"/>
  <c r="AH14" i="23"/>
  <c r="T23" i="23"/>
  <c r="N43" i="23"/>
  <c r="P43" i="23" s="1"/>
  <c r="N41" i="23"/>
  <c r="P41" i="23" s="1"/>
  <c r="N44" i="23"/>
  <c r="P44" i="23" s="1"/>
  <c r="N40" i="23"/>
  <c r="P40" i="23" s="1"/>
  <c r="N39" i="23"/>
  <c r="N42" i="23"/>
  <c r="P42" i="23" s="1"/>
  <c r="AH5" i="23"/>
  <c r="R33" i="23"/>
  <c r="AH15" i="23"/>
  <c r="AB11" i="23"/>
  <c r="AB10" i="23"/>
  <c r="T2" i="23"/>
  <c r="X4" i="23"/>
  <c r="X2" i="23" s="1"/>
  <c r="P26" i="23"/>
  <c r="R31" i="23" s="1"/>
  <c r="U2" i="23"/>
  <c r="Y4" i="23"/>
  <c r="AH9" i="23"/>
  <c r="AB14" i="23"/>
  <c r="AH12" i="23"/>
  <c r="AB8" i="23"/>
  <c r="P25" i="23"/>
  <c r="N23" i="23"/>
  <c r="AB7" i="23"/>
  <c r="AB13" i="23"/>
  <c r="AB4" i="23"/>
  <c r="AH7" i="23"/>
  <c r="AB6" i="23"/>
  <c r="AB5" i="23"/>
  <c r="AH8" i="23"/>
  <c r="AH11" i="23"/>
  <c r="S9" i="21"/>
  <c r="U9" i="21" s="1"/>
  <c r="Y9" i="21" s="1"/>
  <c r="AG9" i="21" s="1"/>
  <c r="S14" i="21"/>
  <c r="U14" i="21" s="1"/>
  <c r="Y14" i="21" s="1"/>
  <c r="AG14" i="21" s="1"/>
  <c r="B34" i="21"/>
  <c r="T48" i="21"/>
  <c r="T39" i="21"/>
  <c r="C23" i="21"/>
  <c r="B24" i="21"/>
  <c r="T40" i="21"/>
  <c r="T43" i="21"/>
  <c r="T42" i="21"/>
  <c r="T49" i="21"/>
  <c r="T47" i="21"/>
  <c r="T46" i="21"/>
  <c r="T45" i="21"/>
  <c r="T41" i="21"/>
  <c r="T44" i="21"/>
  <c r="S8" i="21"/>
  <c r="S10" i="21"/>
  <c r="S15" i="21"/>
  <c r="S4" i="21"/>
  <c r="S5" i="21"/>
  <c r="S6" i="21"/>
  <c r="S12" i="21"/>
  <c r="S7" i="21"/>
  <c r="S13" i="21"/>
  <c r="S11" i="21"/>
  <c r="V27" i="24" l="1"/>
  <c r="AC27" i="24"/>
  <c r="AD18" i="24"/>
  <c r="L27" i="24" s="1"/>
  <c r="V28" i="24"/>
  <c r="R41" i="24"/>
  <c r="R40" i="24"/>
  <c r="P37" i="24"/>
  <c r="R43" i="24"/>
  <c r="R39" i="24"/>
  <c r="V30" i="24"/>
  <c r="V25" i="24"/>
  <c r="V32" i="24"/>
  <c r="V34" i="24"/>
  <c r="R23" i="24"/>
  <c r="V29" i="24"/>
  <c r="V33" i="24"/>
  <c r="V31" i="24"/>
  <c r="AA26" i="24"/>
  <c r="AA25" i="24"/>
  <c r="AC18" i="24"/>
  <c r="L26" i="24" s="1"/>
  <c r="AJ4" i="24"/>
  <c r="AH4" i="24"/>
  <c r="AI4" i="24"/>
  <c r="L25" i="24"/>
  <c r="AC5" i="23"/>
  <c r="AD14" i="23"/>
  <c r="AD4" i="23"/>
  <c r="AD9" i="23"/>
  <c r="AD10" i="23"/>
  <c r="AC13" i="23"/>
  <c r="AC11" i="23"/>
  <c r="AD12" i="23"/>
  <c r="AC7" i="23"/>
  <c r="AD5" i="23"/>
  <c r="AD7" i="23"/>
  <c r="P39" i="23"/>
  <c r="R42" i="23" s="1"/>
  <c r="N37" i="23"/>
  <c r="AC6" i="23"/>
  <c r="AB18" i="23"/>
  <c r="AC15" i="23"/>
  <c r="AD15" i="23"/>
  <c r="AC9" i="23"/>
  <c r="AC12" i="23"/>
  <c r="R40" i="23"/>
  <c r="AD6" i="23"/>
  <c r="AC4" i="23"/>
  <c r="P23" i="23"/>
  <c r="R30" i="23"/>
  <c r="R29" i="23"/>
  <c r="R28" i="23"/>
  <c r="R27" i="23"/>
  <c r="R25" i="23"/>
  <c r="AG4" i="23"/>
  <c r="Y2" i="23"/>
  <c r="AC10" i="23"/>
  <c r="R47" i="23"/>
  <c r="R49" i="23"/>
  <c r="R48" i="23"/>
  <c r="R46" i="23"/>
  <c r="R45" i="23"/>
  <c r="AD13" i="23"/>
  <c r="AD8" i="23"/>
  <c r="AC8" i="23"/>
  <c r="AC14" i="23"/>
  <c r="R26" i="23"/>
  <c r="AD11" i="23"/>
  <c r="T9" i="21"/>
  <c r="X9" i="21" s="1"/>
  <c r="AA8" i="21" s="1"/>
  <c r="AB8" i="21" s="1"/>
  <c r="T14" i="21"/>
  <c r="X14" i="21" s="1"/>
  <c r="AA13" i="21" s="1"/>
  <c r="AB13" i="21" s="1"/>
  <c r="T37" i="21"/>
  <c r="N30" i="21"/>
  <c r="P30" i="21" s="1"/>
  <c r="R35" i="21" s="1"/>
  <c r="N29" i="21"/>
  <c r="P29" i="21" s="1"/>
  <c r="N28" i="21"/>
  <c r="P28" i="21" s="1"/>
  <c r="N27" i="21"/>
  <c r="P27" i="21" s="1"/>
  <c r="N26" i="21"/>
  <c r="P26" i="21" s="1"/>
  <c r="N25" i="21"/>
  <c r="T32" i="21"/>
  <c r="T27" i="21"/>
  <c r="C34" i="21"/>
  <c r="C24" i="21"/>
  <c r="T34" i="21"/>
  <c r="T26" i="21"/>
  <c r="T30" i="21"/>
  <c r="T28" i="21"/>
  <c r="T31" i="21"/>
  <c r="T35" i="21"/>
  <c r="T25" i="21"/>
  <c r="T29" i="21"/>
  <c r="T33" i="21"/>
  <c r="U11" i="21"/>
  <c r="Y11" i="21" s="1"/>
  <c r="AG11" i="21" s="1"/>
  <c r="T11" i="21"/>
  <c r="X11" i="21" s="1"/>
  <c r="AA10" i="21" s="1"/>
  <c r="T10" i="21"/>
  <c r="X10" i="21" s="1"/>
  <c r="AA9" i="21" s="1"/>
  <c r="U10" i="21"/>
  <c r="Y10" i="21" s="1"/>
  <c r="AG10" i="21" s="1"/>
  <c r="U8" i="21"/>
  <c r="Y8" i="21" s="1"/>
  <c r="AG8" i="21" s="1"/>
  <c r="T8" i="21"/>
  <c r="X8" i="21" s="1"/>
  <c r="AA7" i="21" s="1"/>
  <c r="U6" i="21"/>
  <c r="Y6" i="21" s="1"/>
  <c r="AG6" i="21" s="1"/>
  <c r="T6" i="21"/>
  <c r="X6" i="21" s="1"/>
  <c r="AA5" i="21" s="1"/>
  <c r="U5" i="21"/>
  <c r="Y5" i="21" s="1"/>
  <c r="AG5" i="21" s="1"/>
  <c r="T5" i="21"/>
  <c r="X5" i="21" s="1"/>
  <c r="AA4" i="21" s="1"/>
  <c r="U7" i="21"/>
  <c r="Y7" i="21" s="1"/>
  <c r="AG7" i="21" s="1"/>
  <c r="T7" i="21"/>
  <c r="X7" i="21" s="1"/>
  <c r="AA6" i="21" s="1"/>
  <c r="T12" i="21"/>
  <c r="X12" i="21" s="1"/>
  <c r="AA11" i="21" s="1"/>
  <c r="U12" i="21"/>
  <c r="Y12" i="21" s="1"/>
  <c r="AG12" i="21" s="1"/>
  <c r="U4" i="21"/>
  <c r="T4" i="21"/>
  <c r="S2" i="21"/>
  <c r="U13" i="21"/>
  <c r="Y13" i="21" s="1"/>
  <c r="AG13" i="21" s="1"/>
  <c r="T13" i="21"/>
  <c r="X13" i="21" s="1"/>
  <c r="AA12" i="21" s="1"/>
  <c r="U15" i="21"/>
  <c r="Y15" i="21" s="1"/>
  <c r="AG15" i="21" s="1"/>
  <c r="T15" i="21"/>
  <c r="X15" i="21" s="1"/>
  <c r="AA14" i="21" s="1"/>
  <c r="AH14" i="21"/>
  <c r="AH9" i="21"/>
  <c r="AC25" i="24" l="1"/>
  <c r="AC26" i="24"/>
  <c r="AE18" i="24"/>
  <c r="L28" i="24" s="1"/>
  <c r="L23" i="24" s="1"/>
  <c r="AI25" i="24"/>
  <c r="AI27" i="24"/>
  <c r="AI29" i="24"/>
  <c r="AI28" i="24"/>
  <c r="AI30" i="24"/>
  <c r="AI26" i="24"/>
  <c r="AK28" i="24"/>
  <c r="AK29" i="24"/>
  <c r="AK26" i="24"/>
  <c r="AK25" i="24"/>
  <c r="AK31" i="24"/>
  <c r="AK30" i="24"/>
  <c r="AK27" i="24"/>
  <c r="V43" i="24"/>
  <c r="V44" i="24"/>
  <c r="V46" i="24"/>
  <c r="V48" i="24"/>
  <c r="V45" i="24"/>
  <c r="V47" i="24"/>
  <c r="R37" i="24"/>
  <c r="V39" i="24"/>
  <c r="AO33" i="24"/>
  <c r="AO31" i="24"/>
  <c r="AO27" i="24"/>
  <c r="AO32" i="24"/>
  <c r="AO26" i="24"/>
  <c r="AO25" i="24"/>
  <c r="AO30" i="24"/>
  <c r="AO29" i="24"/>
  <c r="AO28" i="24"/>
  <c r="AG29" i="24"/>
  <c r="AG28" i="24"/>
  <c r="AG26" i="24"/>
  <c r="AG27" i="24"/>
  <c r="AG25" i="24"/>
  <c r="V23" i="24"/>
  <c r="V35" i="24" s="1"/>
  <c r="Y25" i="24"/>
  <c r="Y23" i="24" s="1"/>
  <c r="V40" i="24"/>
  <c r="AQ34" i="24"/>
  <c r="AQ33" i="24"/>
  <c r="AQ30" i="24"/>
  <c r="AQ25" i="24"/>
  <c r="AQ27" i="24"/>
  <c r="AQ29" i="24"/>
  <c r="AQ26" i="24"/>
  <c r="AQ31" i="24"/>
  <c r="AQ28" i="24"/>
  <c r="AQ32" i="24"/>
  <c r="V42" i="24"/>
  <c r="V41" i="24"/>
  <c r="AA23" i="24"/>
  <c r="AM28" i="24"/>
  <c r="AM31" i="24"/>
  <c r="AM30" i="24"/>
  <c r="AM27" i="24"/>
  <c r="AM29" i="24"/>
  <c r="AM25" i="24"/>
  <c r="AM32" i="24"/>
  <c r="AM26" i="24"/>
  <c r="AE26" i="24"/>
  <c r="AE27" i="24"/>
  <c r="AE28" i="24"/>
  <c r="AE25" i="24"/>
  <c r="AH18" i="24"/>
  <c r="AI10" i="24"/>
  <c r="AI5" i="24"/>
  <c r="AI6" i="24"/>
  <c r="AI7" i="24"/>
  <c r="AI13" i="24"/>
  <c r="AJ6" i="24"/>
  <c r="AJ15" i="24"/>
  <c r="AI11" i="24"/>
  <c r="AI15" i="24"/>
  <c r="AJ14" i="24"/>
  <c r="AJ11" i="24"/>
  <c r="AI9" i="24"/>
  <c r="AJ8" i="24"/>
  <c r="AI8" i="24"/>
  <c r="AJ12" i="24"/>
  <c r="AJ7" i="24"/>
  <c r="AI12" i="24"/>
  <c r="AJ9" i="24"/>
  <c r="AI14" i="24"/>
  <c r="AJ5" i="24"/>
  <c r="AJ13" i="24"/>
  <c r="AJ10" i="24"/>
  <c r="V26" i="23"/>
  <c r="AA25" i="23" s="1"/>
  <c r="V28" i="23"/>
  <c r="AE25" i="23" s="1"/>
  <c r="R43" i="23"/>
  <c r="R44" i="23"/>
  <c r="R41" i="23"/>
  <c r="AD18" i="23"/>
  <c r="L27" i="23" s="1"/>
  <c r="AJ4" i="23"/>
  <c r="AI4" i="23"/>
  <c r="AH4" i="23"/>
  <c r="R23" i="23"/>
  <c r="V25" i="23"/>
  <c r="V34" i="23"/>
  <c r="V33" i="23"/>
  <c r="V29" i="23"/>
  <c r="V30" i="23"/>
  <c r="V32" i="23"/>
  <c r="V31" i="23"/>
  <c r="L25" i="23"/>
  <c r="V27" i="23"/>
  <c r="AC18" i="23"/>
  <c r="L26" i="23" s="1"/>
  <c r="R39" i="23"/>
  <c r="V40" i="23" s="1"/>
  <c r="P37" i="23"/>
  <c r="R34" i="21"/>
  <c r="N40" i="21"/>
  <c r="P40" i="21" s="1"/>
  <c r="N39" i="21"/>
  <c r="N42" i="21"/>
  <c r="P42" i="21" s="1"/>
  <c r="N41" i="21"/>
  <c r="P41" i="21" s="1"/>
  <c r="N43" i="21"/>
  <c r="P43" i="21" s="1"/>
  <c r="N44" i="21"/>
  <c r="P44" i="21" s="1"/>
  <c r="T23" i="21"/>
  <c r="P25" i="21"/>
  <c r="N23" i="21"/>
  <c r="R31" i="21"/>
  <c r="R32" i="21"/>
  <c r="R33" i="21"/>
  <c r="AB9" i="21"/>
  <c r="AH12" i="21"/>
  <c r="AH8" i="21"/>
  <c r="AB11" i="21"/>
  <c r="AH5" i="21"/>
  <c r="AB12" i="21"/>
  <c r="AB4" i="21"/>
  <c r="AB6" i="21"/>
  <c r="AH13" i="21"/>
  <c r="AH7" i="21"/>
  <c r="AH10" i="21"/>
  <c r="AB14" i="21"/>
  <c r="AB5" i="21"/>
  <c r="AB10" i="21"/>
  <c r="AH15" i="21"/>
  <c r="T2" i="21"/>
  <c r="X4" i="21"/>
  <c r="X2" i="21" s="1"/>
  <c r="AH6" i="21"/>
  <c r="AH11" i="21"/>
  <c r="U2" i="21"/>
  <c r="Y4" i="21"/>
  <c r="AB7" i="21"/>
  <c r="AC23" i="24" l="1"/>
  <c r="AE23" i="24"/>
  <c r="AM40" i="24"/>
  <c r="AM39" i="24"/>
  <c r="AM42" i="24"/>
  <c r="AM44" i="24"/>
  <c r="AM43" i="24"/>
  <c r="AM41" i="24"/>
  <c r="AM46" i="24"/>
  <c r="AM45" i="24"/>
  <c r="AA40" i="24"/>
  <c r="AA39" i="24"/>
  <c r="AG39" i="24"/>
  <c r="AG42" i="24"/>
  <c r="AG40" i="24"/>
  <c r="AG41" i="24"/>
  <c r="AG43" i="24"/>
  <c r="V37" i="24"/>
  <c r="V49" i="24" s="1"/>
  <c r="Y39" i="24"/>
  <c r="V22" i="24"/>
  <c r="AS29" i="24"/>
  <c r="J29" i="24" s="1"/>
  <c r="AS31" i="24"/>
  <c r="J31" i="24" s="1"/>
  <c r="AS30" i="24"/>
  <c r="J30" i="24" s="1"/>
  <c r="AS28" i="24"/>
  <c r="J28" i="24" s="1"/>
  <c r="AS35" i="24"/>
  <c r="J35" i="24" s="1"/>
  <c r="AS25" i="24"/>
  <c r="AS26" i="24"/>
  <c r="J26" i="24" s="1"/>
  <c r="AS34" i="24"/>
  <c r="J34" i="24" s="1"/>
  <c r="AS27" i="24"/>
  <c r="J27" i="24" s="1"/>
  <c r="AS33" i="24"/>
  <c r="J33" i="24" s="1"/>
  <c r="AS32" i="24"/>
  <c r="J32" i="24" s="1"/>
  <c r="AJ18" i="24"/>
  <c r="L41" i="24" s="1"/>
  <c r="AG23" i="24"/>
  <c r="AO23" i="24"/>
  <c r="AO41" i="24"/>
  <c r="AO42" i="24"/>
  <c r="AO40" i="24"/>
  <c r="AO44" i="24"/>
  <c r="AO39" i="24"/>
  <c r="AO45" i="24"/>
  <c r="AO46" i="24"/>
  <c r="AO47" i="24"/>
  <c r="AO43" i="24"/>
  <c r="AI40" i="24"/>
  <c r="AI41" i="24"/>
  <c r="AI39" i="24"/>
  <c r="AI43" i="24"/>
  <c r="AI44" i="24"/>
  <c r="AI42" i="24"/>
  <c r="AC41" i="24"/>
  <c r="AC39" i="24"/>
  <c r="AC40" i="24"/>
  <c r="AQ23" i="24"/>
  <c r="AK39" i="24"/>
  <c r="AK44" i="24"/>
  <c r="AK40" i="24"/>
  <c r="AK43" i="24"/>
  <c r="AK41" i="24"/>
  <c r="AK45" i="24"/>
  <c r="AK42" i="24"/>
  <c r="AK23" i="24"/>
  <c r="AI18" i="24"/>
  <c r="L40" i="24" s="1"/>
  <c r="AM23" i="24"/>
  <c r="AE42" i="24"/>
  <c r="AE41" i="24"/>
  <c r="AE40" i="24"/>
  <c r="AE39" i="24"/>
  <c r="AQ40" i="24"/>
  <c r="AQ43" i="24"/>
  <c r="AQ44" i="24"/>
  <c r="AQ39" i="24"/>
  <c r="AQ47" i="24"/>
  <c r="AQ46" i="24"/>
  <c r="AQ42" i="24"/>
  <c r="AQ45" i="24"/>
  <c r="AQ48" i="24"/>
  <c r="AQ41" i="24"/>
  <c r="AI23" i="24"/>
  <c r="L39" i="24"/>
  <c r="AA26" i="23"/>
  <c r="AA23" i="23" s="1"/>
  <c r="AE26" i="23"/>
  <c r="AE28" i="23"/>
  <c r="AE27" i="23"/>
  <c r="AE18" i="23"/>
  <c r="L28" i="23" s="1"/>
  <c r="L23" i="23" s="1"/>
  <c r="V42" i="23"/>
  <c r="AE42" i="23" s="1"/>
  <c r="AA40" i="23"/>
  <c r="AA39" i="23"/>
  <c r="AK26" i="23"/>
  <c r="AK30" i="23"/>
  <c r="AK29" i="23"/>
  <c r="AK28" i="23"/>
  <c r="AK31" i="23"/>
  <c r="AK27" i="23"/>
  <c r="AK25" i="23"/>
  <c r="AM26" i="23"/>
  <c r="AM25" i="23"/>
  <c r="AM30" i="23"/>
  <c r="AM32" i="23"/>
  <c r="AM28" i="23"/>
  <c r="AM31" i="23"/>
  <c r="AM29" i="23"/>
  <c r="AM27" i="23"/>
  <c r="AI25" i="23"/>
  <c r="AI26" i="23"/>
  <c r="AI29" i="23"/>
  <c r="AI28" i="23"/>
  <c r="AI30" i="23"/>
  <c r="AI27" i="23"/>
  <c r="AH18" i="23"/>
  <c r="AI13" i="23"/>
  <c r="AI10" i="23"/>
  <c r="AI5" i="23"/>
  <c r="AJ7" i="23"/>
  <c r="AJ11" i="23"/>
  <c r="AJ6" i="23"/>
  <c r="AJ13" i="23"/>
  <c r="AI7" i="23"/>
  <c r="AJ15" i="23"/>
  <c r="AI6" i="23"/>
  <c r="AI12" i="23"/>
  <c r="AI8" i="23"/>
  <c r="AI15" i="23"/>
  <c r="AJ9" i="23"/>
  <c r="AJ12" i="23"/>
  <c r="AI14" i="23"/>
  <c r="AI9" i="23"/>
  <c r="AI11" i="23"/>
  <c r="AJ14" i="23"/>
  <c r="AJ10" i="23"/>
  <c r="AJ5" i="23"/>
  <c r="AJ8" i="23"/>
  <c r="Y25" i="23"/>
  <c r="V23" i="23"/>
  <c r="V35" i="23" s="1"/>
  <c r="V22" i="23" s="1"/>
  <c r="AC27" i="23"/>
  <c r="AC25" i="23"/>
  <c r="AC26" i="23"/>
  <c r="AG26" i="23"/>
  <c r="AG25" i="23"/>
  <c r="AG28" i="23"/>
  <c r="AG29" i="23"/>
  <c r="AG27" i="23"/>
  <c r="AO28" i="23"/>
  <c r="AO27" i="23"/>
  <c r="AO33" i="23"/>
  <c r="AO32" i="23"/>
  <c r="AO25" i="23"/>
  <c r="AO31" i="23"/>
  <c r="AO30" i="23"/>
  <c r="AO26" i="23"/>
  <c r="AO29" i="23"/>
  <c r="R37" i="23"/>
  <c r="V39" i="23"/>
  <c r="V47" i="23"/>
  <c r="V46" i="23"/>
  <c r="V45" i="23"/>
  <c r="V48" i="23"/>
  <c r="V43" i="23"/>
  <c r="V44" i="23"/>
  <c r="AQ28" i="23"/>
  <c r="AQ26" i="23"/>
  <c r="AQ27" i="23"/>
  <c r="AQ33" i="23"/>
  <c r="AQ32" i="23"/>
  <c r="AQ30" i="23"/>
  <c r="AQ25" i="23"/>
  <c r="AQ31" i="23"/>
  <c r="AQ34" i="23"/>
  <c r="AQ29" i="23"/>
  <c r="V41" i="23"/>
  <c r="AD12" i="21"/>
  <c r="AD4" i="21"/>
  <c r="AC7" i="21"/>
  <c r="AC5" i="21"/>
  <c r="AD11" i="21"/>
  <c r="AD13" i="21"/>
  <c r="R30" i="21"/>
  <c r="R25" i="21"/>
  <c r="R29" i="21"/>
  <c r="R28" i="21"/>
  <c r="R26" i="21"/>
  <c r="R27" i="21"/>
  <c r="P23" i="21"/>
  <c r="R47" i="21"/>
  <c r="R48" i="21"/>
  <c r="R49" i="21"/>
  <c r="R46" i="21"/>
  <c r="R45" i="21"/>
  <c r="N37" i="21"/>
  <c r="P39" i="21"/>
  <c r="R41" i="21" s="1"/>
  <c r="AD5" i="21"/>
  <c r="AD6" i="21"/>
  <c r="AD14" i="21"/>
  <c r="AC6" i="21"/>
  <c r="AD7" i="21"/>
  <c r="AD10" i="21"/>
  <c r="AC14" i="21"/>
  <c r="AC15" i="21"/>
  <c r="AB18" i="21"/>
  <c r="AD15" i="21"/>
  <c r="AC13" i="21"/>
  <c r="AC8" i="21"/>
  <c r="AC12" i="21"/>
  <c r="AD9" i="21"/>
  <c r="AC11" i="21"/>
  <c r="AC9" i="21"/>
  <c r="Y2" i="21"/>
  <c r="AG4" i="21"/>
  <c r="AC10" i="21"/>
  <c r="AC4" i="21"/>
  <c r="AD8" i="21"/>
  <c r="H35" i="24" l="1"/>
  <c r="H33" i="24"/>
  <c r="AQ37" i="24"/>
  <c r="AO37" i="24"/>
  <c r="H32" i="24"/>
  <c r="H30" i="24"/>
  <c r="AK37" i="24"/>
  <c r="AI37" i="24"/>
  <c r="H31" i="24"/>
  <c r="H29" i="24"/>
  <c r="H34" i="24"/>
  <c r="AG37" i="24"/>
  <c r="AS49" i="24"/>
  <c r="J49" i="24" s="1"/>
  <c r="AS40" i="24"/>
  <c r="J40" i="24" s="1"/>
  <c r="AS39" i="24"/>
  <c r="AS41" i="24"/>
  <c r="J41" i="24" s="1"/>
  <c r="AS44" i="24"/>
  <c r="J44" i="24" s="1"/>
  <c r="AS48" i="24"/>
  <c r="J48" i="24" s="1"/>
  <c r="AS43" i="24"/>
  <c r="J43" i="24" s="1"/>
  <c r="AS47" i="24"/>
  <c r="J47" i="24" s="1"/>
  <c r="AS45" i="24"/>
  <c r="J45" i="24" s="1"/>
  <c r="AS46" i="24"/>
  <c r="J46" i="24" s="1"/>
  <c r="AS42" i="24"/>
  <c r="J42" i="24" s="1"/>
  <c r="AK18" i="24"/>
  <c r="L42" i="24" s="1"/>
  <c r="L37" i="24" s="1"/>
  <c r="AE37" i="24"/>
  <c r="AC37" i="24"/>
  <c r="V36" i="24"/>
  <c r="AA37" i="24"/>
  <c r="AM37" i="24"/>
  <c r="J25" i="24"/>
  <c r="H28" i="24" s="1"/>
  <c r="AS23" i="24"/>
  <c r="AS22" i="24" s="1"/>
  <c r="Y37" i="24"/>
  <c r="AE23" i="23"/>
  <c r="AE39" i="23"/>
  <c r="AE40" i="23"/>
  <c r="AE41" i="23"/>
  <c r="AJ18" i="23"/>
  <c r="L41" i="23" s="1"/>
  <c r="AI18" i="23"/>
  <c r="L40" i="23" s="1"/>
  <c r="AK45" i="23"/>
  <c r="AK39" i="23"/>
  <c r="AK43" i="23"/>
  <c r="AK44" i="23"/>
  <c r="AK42" i="23"/>
  <c r="AK41" i="23"/>
  <c r="AK40" i="23"/>
  <c r="AM45" i="23"/>
  <c r="AM46" i="23"/>
  <c r="AM43" i="23"/>
  <c r="AM44" i="23"/>
  <c r="AM42" i="23"/>
  <c r="AM41" i="23"/>
  <c r="AM40" i="23"/>
  <c r="AM39" i="23"/>
  <c r="AO45" i="23"/>
  <c r="AO44" i="23"/>
  <c r="AO39" i="23"/>
  <c r="AO47" i="23"/>
  <c r="AO43" i="23"/>
  <c r="AO41" i="23"/>
  <c r="AO40" i="23"/>
  <c r="AO42" i="23"/>
  <c r="AO46" i="23"/>
  <c r="AC23" i="23"/>
  <c r="V37" i="23"/>
  <c r="V49" i="23" s="1"/>
  <c r="Y39" i="23"/>
  <c r="AM23" i="23"/>
  <c r="AQ23" i="23"/>
  <c r="AC39" i="23"/>
  <c r="AC40" i="23"/>
  <c r="AC41" i="23"/>
  <c r="AI39" i="23"/>
  <c r="AI43" i="23"/>
  <c r="AI42" i="23"/>
  <c r="AI44" i="23"/>
  <c r="AI41" i="23"/>
  <c r="AI40" i="23"/>
  <c r="AG39" i="23"/>
  <c r="AG42" i="23"/>
  <c r="AG43" i="23"/>
  <c r="AG41" i="23"/>
  <c r="AG40" i="23"/>
  <c r="AO23" i="23"/>
  <c r="AS35" i="23"/>
  <c r="J35" i="23" s="1"/>
  <c r="AS34" i="23"/>
  <c r="J34" i="23" s="1"/>
  <c r="AS32" i="23"/>
  <c r="J32" i="23" s="1"/>
  <c r="AS33" i="23"/>
  <c r="J33" i="23" s="1"/>
  <c r="AS25" i="23"/>
  <c r="J25" i="23" s="1"/>
  <c r="AS31" i="23"/>
  <c r="J31" i="23" s="1"/>
  <c r="AS29" i="23"/>
  <c r="J29" i="23" s="1"/>
  <c r="AS28" i="23"/>
  <c r="J28" i="23" s="1"/>
  <c r="AS30" i="23"/>
  <c r="J30" i="23" s="1"/>
  <c r="AS26" i="23"/>
  <c r="J26" i="23" s="1"/>
  <c r="AS27" i="23"/>
  <c r="J27" i="23" s="1"/>
  <c r="L39" i="23"/>
  <c r="AI23" i="23"/>
  <c r="AQ45" i="23"/>
  <c r="AQ39" i="23"/>
  <c r="AQ44" i="23"/>
  <c r="AQ48" i="23"/>
  <c r="AQ47" i="23"/>
  <c r="AQ43" i="23"/>
  <c r="AQ42" i="23"/>
  <c r="AQ41" i="23"/>
  <c r="AQ46" i="23"/>
  <c r="AQ40" i="23"/>
  <c r="AG23" i="23"/>
  <c r="Y23" i="23"/>
  <c r="AK23" i="23"/>
  <c r="AA37" i="23"/>
  <c r="R40" i="21"/>
  <c r="R42" i="21"/>
  <c r="R43" i="21"/>
  <c r="V26" i="21"/>
  <c r="AD18" i="21"/>
  <c r="L27" i="21" s="1"/>
  <c r="V27" i="21"/>
  <c r="V28" i="21"/>
  <c r="R39" i="21"/>
  <c r="P37" i="21"/>
  <c r="V33" i="21"/>
  <c r="V30" i="21"/>
  <c r="V29" i="21"/>
  <c r="V31" i="21"/>
  <c r="R23" i="21"/>
  <c r="V32" i="21"/>
  <c r="V25" i="21"/>
  <c r="V34" i="21"/>
  <c r="R44" i="21"/>
  <c r="AI4" i="21"/>
  <c r="AH4" i="21"/>
  <c r="AJ4" i="21"/>
  <c r="L25" i="21"/>
  <c r="AC18" i="21"/>
  <c r="L26" i="21" s="1"/>
  <c r="H47" i="24" l="1"/>
  <c r="BK51" i="24" s="1"/>
  <c r="H46" i="24"/>
  <c r="BK34" i="24" s="1"/>
  <c r="H48" i="24"/>
  <c r="BK57" i="24" s="1"/>
  <c r="H45" i="24"/>
  <c r="BO10" i="24" s="1"/>
  <c r="H49" i="24"/>
  <c r="BK58" i="24" s="1"/>
  <c r="H26" i="24"/>
  <c r="H43" i="24"/>
  <c r="BS35" i="24" s="1"/>
  <c r="H44" i="24"/>
  <c r="BK32" i="24" s="1"/>
  <c r="H27" i="24"/>
  <c r="AS37" i="24"/>
  <c r="AS36" i="24" s="1"/>
  <c r="J39" i="24"/>
  <c r="H42" i="24" s="1"/>
  <c r="J23" i="24"/>
  <c r="H25" i="24"/>
  <c r="AK18" i="23"/>
  <c r="L42" i="23" s="1"/>
  <c r="L37" i="23" s="1"/>
  <c r="AE37" i="23"/>
  <c r="H29" i="23"/>
  <c r="H26" i="23"/>
  <c r="H31" i="23"/>
  <c r="H27" i="23"/>
  <c r="H34" i="23"/>
  <c r="J23" i="23"/>
  <c r="H25" i="23"/>
  <c r="AS23" i="23"/>
  <c r="AS22" i="23" s="1"/>
  <c r="AM37" i="23"/>
  <c r="Y37" i="23"/>
  <c r="AI37" i="23"/>
  <c r="AQ37" i="23"/>
  <c r="H33" i="23"/>
  <c r="H35" i="23"/>
  <c r="AO37" i="23"/>
  <c r="AG37" i="23"/>
  <c r="H30" i="23"/>
  <c r="AC37" i="23"/>
  <c r="AK37" i="23"/>
  <c r="AS39" i="23"/>
  <c r="J39" i="23" s="1"/>
  <c r="H39" i="23" s="1"/>
  <c r="AS48" i="23"/>
  <c r="J48" i="23" s="1"/>
  <c r="AS44" i="23"/>
  <c r="J44" i="23" s="1"/>
  <c r="AS45" i="23"/>
  <c r="J45" i="23" s="1"/>
  <c r="AS49" i="23"/>
  <c r="J49" i="23" s="1"/>
  <c r="AS42" i="23"/>
  <c r="J42" i="23" s="1"/>
  <c r="AS43" i="23"/>
  <c r="J43" i="23" s="1"/>
  <c r="AS41" i="23"/>
  <c r="J41" i="23" s="1"/>
  <c r="AS40" i="23"/>
  <c r="J40" i="23" s="1"/>
  <c r="AS46" i="23"/>
  <c r="J46" i="23" s="1"/>
  <c r="AS47" i="23"/>
  <c r="J47" i="23" s="1"/>
  <c r="V36" i="23"/>
  <c r="H28" i="23"/>
  <c r="H32" i="23"/>
  <c r="V40" i="21"/>
  <c r="AA40" i="21" s="1"/>
  <c r="AA26" i="21"/>
  <c r="AA25" i="21"/>
  <c r="Y25" i="21"/>
  <c r="Y23" i="21" s="1"/>
  <c r="V23" i="21"/>
  <c r="V35" i="21" s="1"/>
  <c r="V41" i="21"/>
  <c r="R37" i="21"/>
  <c r="V39" i="21"/>
  <c r="V48" i="21"/>
  <c r="V43" i="21"/>
  <c r="V45" i="21"/>
  <c r="V46" i="21"/>
  <c r="V47" i="21"/>
  <c r="V44" i="21"/>
  <c r="AM27" i="21"/>
  <c r="AM32" i="21"/>
  <c r="AM26" i="21"/>
  <c r="AM25" i="21"/>
  <c r="AM31" i="21"/>
  <c r="AM29" i="21"/>
  <c r="AM28" i="21"/>
  <c r="AM30" i="21"/>
  <c r="AE25" i="21"/>
  <c r="AE27" i="21"/>
  <c r="AE28" i="21"/>
  <c r="AE26" i="21"/>
  <c r="AO31" i="21"/>
  <c r="AO30" i="21"/>
  <c r="AO25" i="21"/>
  <c r="AO29" i="21"/>
  <c r="AO27" i="21"/>
  <c r="AO28" i="21"/>
  <c r="AO26" i="21"/>
  <c r="AO33" i="21"/>
  <c r="AO32" i="21"/>
  <c r="AQ29" i="21"/>
  <c r="AQ34" i="21"/>
  <c r="AQ28" i="21"/>
  <c r="AQ26" i="21"/>
  <c r="AQ30" i="21"/>
  <c r="AQ32" i="21"/>
  <c r="AQ27" i="21"/>
  <c r="AQ25" i="21"/>
  <c r="AQ31" i="21"/>
  <c r="AQ33" i="21"/>
  <c r="AK29" i="21"/>
  <c r="AK25" i="21"/>
  <c r="AK26" i="21"/>
  <c r="AK28" i="21"/>
  <c r="AK27" i="21"/>
  <c r="AK30" i="21"/>
  <c r="AK31" i="21"/>
  <c r="AC26" i="21"/>
  <c r="AC25" i="21"/>
  <c r="AC27" i="21"/>
  <c r="AG27" i="21"/>
  <c r="AG25" i="21"/>
  <c r="AG26" i="21"/>
  <c r="AG28" i="21"/>
  <c r="AG29" i="21"/>
  <c r="V42" i="21"/>
  <c r="AI30" i="21"/>
  <c r="AI25" i="21"/>
  <c r="AI29" i="21"/>
  <c r="AI28" i="21"/>
  <c r="AI26" i="21"/>
  <c r="AI27" i="21"/>
  <c r="AE18" i="21"/>
  <c r="L28" i="21" s="1"/>
  <c r="AH18" i="21"/>
  <c r="AI9" i="21"/>
  <c r="AI14" i="21"/>
  <c r="AJ8" i="21"/>
  <c r="AI5" i="21"/>
  <c r="AI10" i="21"/>
  <c r="AI7" i="21"/>
  <c r="AI6" i="21"/>
  <c r="AI8" i="21"/>
  <c r="AJ6" i="21"/>
  <c r="AJ7" i="21"/>
  <c r="AJ15" i="21"/>
  <c r="AJ14" i="21"/>
  <c r="AI12" i="21"/>
  <c r="AI15" i="21"/>
  <c r="AI13" i="21"/>
  <c r="AI11" i="21"/>
  <c r="AJ13" i="21"/>
  <c r="AJ9" i="21"/>
  <c r="AJ5" i="21"/>
  <c r="AJ12" i="21"/>
  <c r="AJ10" i="21"/>
  <c r="AJ11" i="21"/>
  <c r="BK47" i="24" l="1"/>
  <c r="BK52" i="24"/>
  <c r="BK41" i="24"/>
  <c r="BO13" i="24"/>
  <c r="BK19" i="24"/>
  <c r="BO12" i="24"/>
  <c r="BK35" i="24"/>
  <c r="BO11" i="24"/>
  <c r="BS38" i="24"/>
  <c r="BK40" i="24"/>
  <c r="BK46" i="24"/>
  <c r="BK45" i="24"/>
  <c r="BK54" i="24"/>
  <c r="BS46" i="24"/>
  <c r="BK50" i="24"/>
  <c r="BS47" i="24"/>
  <c r="BK26" i="24"/>
  <c r="BK56" i="24"/>
  <c r="BK59" i="24"/>
  <c r="BS37" i="24"/>
  <c r="BK9" i="24"/>
  <c r="BK39" i="24"/>
  <c r="BK42" i="24"/>
  <c r="BK33" i="24"/>
  <c r="BK18" i="24"/>
  <c r="BK27" i="24"/>
  <c r="BK21" i="24"/>
  <c r="BK44" i="24"/>
  <c r="BK6" i="24"/>
  <c r="BK30" i="24"/>
  <c r="BS13" i="24"/>
  <c r="BS21" i="24"/>
  <c r="BK23" i="24"/>
  <c r="BK13" i="24"/>
  <c r="BK10" i="24"/>
  <c r="BK28" i="24"/>
  <c r="BS45" i="24"/>
  <c r="BK31" i="24"/>
  <c r="BK48" i="24"/>
  <c r="H41" i="24"/>
  <c r="BK14" i="24" s="1"/>
  <c r="BK55" i="24"/>
  <c r="BK7" i="24"/>
  <c r="BK53" i="24"/>
  <c r="BK24" i="24"/>
  <c r="BK20" i="24"/>
  <c r="BS30" i="24"/>
  <c r="BS28" i="24"/>
  <c r="BK37" i="24"/>
  <c r="BK36" i="24"/>
  <c r="BS43" i="24"/>
  <c r="BK43" i="24"/>
  <c r="BK15" i="24"/>
  <c r="BO7" i="24"/>
  <c r="BS22" i="24"/>
  <c r="BK22" i="24"/>
  <c r="H23" i="24"/>
  <c r="BK8" i="24"/>
  <c r="BK12" i="24"/>
  <c r="BK17" i="24"/>
  <c r="BS44" i="24"/>
  <c r="BK38" i="24"/>
  <c r="BS36" i="24"/>
  <c r="BO9" i="24"/>
  <c r="BS23" i="24"/>
  <c r="BS27" i="24"/>
  <c r="BS34" i="24"/>
  <c r="BS18" i="24"/>
  <c r="BO8" i="24"/>
  <c r="BO14" i="24"/>
  <c r="BS29" i="24"/>
  <c r="BS17" i="24"/>
  <c r="J37" i="24"/>
  <c r="H39" i="24"/>
  <c r="BS42" i="24"/>
  <c r="BK11" i="24"/>
  <c r="BK16" i="24"/>
  <c r="BK25" i="24"/>
  <c r="BK29" i="24"/>
  <c r="H40" i="24"/>
  <c r="H41" i="23"/>
  <c r="BK5" i="23" s="1"/>
  <c r="H40" i="23"/>
  <c r="BO5" i="23" s="1"/>
  <c r="H45" i="23"/>
  <c r="BK18" i="23" s="1"/>
  <c r="H44" i="23"/>
  <c r="BK32" i="23" s="1"/>
  <c r="H46" i="23"/>
  <c r="BK45" i="23" s="1"/>
  <c r="H48" i="23"/>
  <c r="BK47" i="23" s="1"/>
  <c r="H42" i="23"/>
  <c r="BS17" i="23" s="1"/>
  <c r="BS4" i="23"/>
  <c r="BS10" i="23"/>
  <c r="BS14" i="23"/>
  <c r="H43" i="23"/>
  <c r="BS43" i="23" s="1"/>
  <c r="BO4" i="23"/>
  <c r="H23" i="23"/>
  <c r="H49" i="23"/>
  <c r="BK58" i="23" s="1"/>
  <c r="BS24" i="23"/>
  <c r="AS37" i="23"/>
  <c r="AS36" i="23" s="1"/>
  <c r="BS31" i="23"/>
  <c r="H47" i="23"/>
  <c r="BK35" i="23" s="1"/>
  <c r="BS7" i="23"/>
  <c r="BS39" i="23"/>
  <c r="BK49" i="23"/>
  <c r="J37" i="23"/>
  <c r="BS5" i="23"/>
  <c r="AA39" i="21"/>
  <c r="AA37" i="21" s="1"/>
  <c r="AA23" i="21"/>
  <c r="AG23" i="21"/>
  <c r="AQ23" i="21"/>
  <c r="AI18" i="21"/>
  <c r="L40" i="21" s="1"/>
  <c r="AM23" i="21"/>
  <c r="AG42" i="21"/>
  <c r="AG43" i="21"/>
  <c r="AG41" i="21"/>
  <c r="AG40" i="21"/>
  <c r="AG39" i="21"/>
  <c r="AI23" i="21"/>
  <c r="AK23" i="21"/>
  <c r="AQ45" i="21"/>
  <c r="AQ48" i="21"/>
  <c r="AQ40" i="21"/>
  <c r="AQ39" i="21"/>
  <c r="AQ46" i="21"/>
  <c r="AQ42" i="21"/>
  <c r="AQ43" i="21"/>
  <c r="AQ44" i="21"/>
  <c r="AQ41" i="21"/>
  <c r="AQ47" i="21"/>
  <c r="AC23" i="21"/>
  <c r="V37" i="21"/>
  <c r="V49" i="21" s="1"/>
  <c r="Y39" i="21"/>
  <c r="Y37" i="21" s="1"/>
  <c r="L23" i="21"/>
  <c r="AE40" i="21"/>
  <c r="AE41" i="21"/>
  <c r="AE39" i="21"/>
  <c r="AE42" i="21"/>
  <c r="AE23" i="21"/>
  <c r="AK44" i="21"/>
  <c r="AK40" i="21"/>
  <c r="AK42" i="21"/>
  <c r="AK41" i="21"/>
  <c r="AK39" i="21"/>
  <c r="AK45" i="21"/>
  <c r="AK43" i="21"/>
  <c r="AI44" i="21"/>
  <c r="AI39" i="21"/>
  <c r="AI43" i="21"/>
  <c r="AI42" i="21"/>
  <c r="AI41" i="21"/>
  <c r="AI40" i="21"/>
  <c r="AC40" i="21"/>
  <c r="AC39" i="21"/>
  <c r="AC41" i="21"/>
  <c r="AO23" i="21"/>
  <c r="AO47" i="21"/>
  <c r="AO40" i="21"/>
  <c r="AO41" i="21"/>
  <c r="AO46" i="21"/>
  <c r="AO42" i="21"/>
  <c r="AO45" i="21"/>
  <c r="AO39" i="21"/>
  <c r="AO43" i="21"/>
  <c r="AO44" i="21"/>
  <c r="V22" i="21"/>
  <c r="AS28" i="21"/>
  <c r="J28" i="21" s="1"/>
  <c r="AS26" i="21"/>
  <c r="J26" i="21" s="1"/>
  <c r="AS30" i="21"/>
  <c r="J30" i="21" s="1"/>
  <c r="AS34" i="21"/>
  <c r="J34" i="21" s="1"/>
  <c r="AS31" i="21"/>
  <c r="J31" i="21" s="1"/>
  <c r="AS35" i="21"/>
  <c r="J35" i="21" s="1"/>
  <c r="AS27" i="21"/>
  <c r="J27" i="21" s="1"/>
  <c r="AS25" i="21"/>
  <c r="AS29" i="21"/>
  <c r="J29" i="21" s="1"/>
  <c r="AS33" i="21"/>
  <c r="J33" i="21" s="1"/>
  <c r="AS32" i="21"/>
  <c r="J32" i="21" s="1"/>
  <c r="AJ18" i="21"/>
  <c r="L41" i="21" s="1"/>
  <c r="AM40" i="21"/>
  <c r="AM44" i="21"/>
  <c r="AM42" i="21"/>
  <c r="AM41" i="21"/>
  <c r="AM45" i="21"/>
  <c r="AM46" i="21"/>
  <c r="AM43" i="21"/>
  <c r="AM39" i="21"/>
  <c r="L39" i="21"/>
  <c r="BS20" i="24" l="1"/>
  <c r="BS16" i="24"/>
  <c r="BS9" i="24"/>
  <c r="BK5" i="24"/>
  <c r="BS33" i="24"/>
  <c r="BS26" i="24"/>
  <c r="BO6" i="24"/>
  <c r="BS41" i="24"/>
  <c r="BS12" i="24"/>
  <c r="BS32" i="24"/>
  <c r="BS25" i="24"/>
  <c r="BS40" i="24"/>
  <c r="BK4" i="24"/>
  <c r="BS15" i="24"/>
  <c r="BS19" i="24"/>
  <c r="BO5" i="24"/>
  <c r="BS8" i="24"/>
  <c r="BS6" i="24"/>
  <c r="BS11" i="24"/>
  <c r="BO4" i="24"/>
  <c r="BS14" i="24"/>
  <c r="BS7" i="24"/>
  <c r="BS39" i="24"/>
  <c r="BS10" i="24"/>
  <c r="BS4" i="24"/>
  <c r="H37" i="24"/>
  <c r="BK49" i="24"/>
  <c r="BS31" i="24"/>
  <c r="BS24" i="24"/>
  <c r="BS5" i="24"/>
  <c r="BS23" i="23"/>
  <c r="BK8" i="23"/>
  <c r="BS36" i="23"/>
  <c r="BK25" i="23"/>
  <c r="BK38" i="23"/>
  <c r="BO9" i="23"/>
  <c r="BK17" i="23"/>
  <c r="BS44" i="23"/>
  <c r="BS29" i="23"/>
  <c r="BK10" i="23"/>
  <c r="BS46" i="23"/>
  <c r="BO13" i="23"/>
  <c r="BK29" i="23"/>
  <c r="BK28" i="23"/>
  <c r="BK51" i="23"/>
  <c r="BK36" i="23"/>
  <c r="BO11" i="23"/>
  <c r="BK23" i="23"/>
  <c r="BK54" i="23"/>
  <c r="BS40" i="23"/>
  <c r="BS38" i="23"/>
  <c r="BS11" i="23"/>
  <c r="BS25" i="23"/>
  <c r="BK57" i="23"/>
  <c r="BK52" i="23"/>
  <c r="BK55" i="23"/>
  <c r="BK50" i="23"/>
  <c r="BK34" i="23"/>
  <c r="BO6" i="23"/>
  <c r="BK26" i="23"/>
  <c r="BS19" i="23"/>
  <c r="BK31" i="23"/>
  <c r="BK4" i="23"/>
  <c r="BK44" i="23"/>
  <c r="BS37" i="23"/>
  <c r="BK39" i="23"/>
  <c r="BK33" i="23"/>
  <c r="BS45" i="23"/>
  <c r="BS20" i="23"/>
  <c r="BK11" i="23"/>
  <c r="BK46" i="23"/>
  <c r="BK14" i="23"/>
  <c r="BS41" i="23"/>
  <c r="BS30" i="23"/>
  <c r="BS16" i="23"/>
  <c r="BS33" i="23"/>
  <c r="BS6" i="23"/>
  <c r="BS32" i="23"/>
  <c r="BS28" i="23"/>
  <c r="BS15" i="23"/>
  <c r="BO10" i="23"/>
  <c r="BS8" i="23"/>
  <c r="BK6" i="23"/>
  <c r="BS18" i="23"/>
  <c r="BS12" i="23"/>
  <c r="BK27" i="23"/>
  <c r="BS47" i="23"/>
  <c r="BS9" i="23"/>
  <c r="BS26" i="23"/>
  <c r="BK7" i="23"/>
  <c r="BK9" i="23"/>
  <c r="BS34" i="23"/>
  <c r="BK12" i="23"/>
  <c r="BO12" i="23"/>
  <c r="H37" i="23"/>
  <c r="BK37" i="23"/>
  <c r="BK53" i="23"/>
  <c r="BK59" i="23"/>
  <c r="BK13" i="23"/>
  <c r="BS22" i="23"/>
  <c r="BO14" i="23"/>
  <c r="BS27" i="23"/>
  <c r="BK48" i="23"/>
  <c r="BS13" i="23"/>
  <c r="BK15" i="23"/>
  <c r="BK42" i="23"/>
  <c r="BK21" i="23"/>
  <c r="BK22" i="23"/>
  <c r="BK43" i="23"/>
  <c r="BK30" i="23"/>
  <c r="BK16" i="23"/>
  <c r="BO8" i="23"/>
  <c r="BK24" i="23"/>
  <c r="BS21" i="23"/>
  <c r="BS42" i="23"/>
  <c r="BO7" i="23"/>
  <c r="BK41" i="23"/>
  <c r="BK20" i="23"/>
  <c r="BS35" i="23"/>
  <c r="BK56" i="23"/>
  <c r="BK19" i="23"/>
  <c r="BK40" i="23"/>
  <c r="AK18" i="21"/>
  <c r="L42" i="21" s="1"/>
  <c r="L37" i="21" s="1"/>
  <c r="H31" i="21"/>
  <c r="H34" i="21"/>
  <c r="AC37" i="21"/>
  <c r="AK37" i="21"/>
  <c r="H33" i="21"/>
  <c r="AG37" i="21"/>
  <c r="H30" i="21"/>
  <c r="H29" i="21"/>
  <c r="AQ37" i="21"/>
  <c r="AS39" i="21"/>
  <c r="J39" i="21" s="1"/>
  <c r="H39" i="21" s="1"/>
  <c r="AS43" i="21"/>
  <c r="J43" i="21" s="1"/>
  <c r="AS44" i="21"/>
  <c r="J44" i="21" s="1"/>
  <c r="AS40" i="21"/>
  <c r="J40" i="21" s="1"/>
  <c r="AS48" i="21"/>
  <c r="J48" i="21" s="1"/>
  <c r="AS45" i="21"/>
  <c r="J45" i="21" s="1"/>
  <c r="AS42" i="21"/>
  <c r="J42" i="21" s="1"/>
  <c r="AS49" i="21"/>
  <c r="J49" i="21" s="1"/>
  <c r="AS46" i="21"/>
  <c r="J46" i="21" s="1"/>
  <c r="AS41" i="21"/>
  <c r="J41" i="21" s="1"/>
  <c r="AS47" i="21"/>
  <c r="J47" i="21" s="1"/>
  <c r="AS23" i="21"/>
  <c r="AS22" i="21" s="1"/>
  <c r="AE37" i="21"/>
  <c r="H35" i="21"/>
  <c r="AO37" i="21"/>
  <c r="V36" i="21"/>
  <c r="J25" i="21"/>
  <c r="AI37" i="21"/>
  <c r="AM37" i="21"/>
  <c r="H32" i="21"/>
  <c r="B38" i="24" l="1"/>
  <c r="B37" i="24"/>
  <c r="B36" i="24"/>
  <c r="B37" i="23"/>
  <c r="B36" i="23"/>
  <c r="B38" i="23"/>
  <c r="H49" i="21"/>
  <c r="BK43" i="21" s="1"/>
  <c r="BK49" i="21"/>
  <c r="H47" i="21"/>
  <c r="BK51" i="21" s="1"/>
  <c r="H42" i="21"/>
  <c r="BS17" i="21" s="1"/>
  <c r="H43" i="21"/>
  <c r="BS22" i="21" s="1"/>
  <c r="H44" i="21"/>
  <c r="BS23" i="21" s="1"/>
  <c r="H48" i="21"/>
  <c r="BO13" i="21" s="1"/>
  <c r="H45" i="21"/>
  <c r="BO10" i="21" s="1"/>
  <c r="H46" i="21"/>
  <c r="BK50" i="21" s="1"/>
  <c r="J23" i="21"/>
  <c r="H25" i="21"/>
  <c r="J37" i="21"/>
  <c r="H28" i="21"/>
  <c r="H40" i="21"/>
  <c r="BS19" i="21" s="1"/>
  <c r="H26" i="21"/>
  <c r="H41" i="21"/>
  <c r="BS33" i="21" s="1"/>
  <c r="AS37" i="21"/>
  <c r="AS36" i="21" s="1"/>
  <c r="H27" i="21"/>
  <c r="BS10" i="21"/>
  <c r="BS31" i="21"/>
  <c r="BS14" i="21"/>
  <c r="BS24" i="21"/>
  <c r="BS39" i="21"/>
  <c r="BS21" i="21" l="1"/>
  <c r="BS30" i="21"/>
  <c r="BS13" i="21"/>
  <c r="BK38" i="21"/>
  <c r="BK58" i="21"/>
  <c r="BK59" i="21"/>
  <c r="BO14" i="21"/>
  <c r="BS18" i="21"/>
  <c r="BK56" i="21"/>
  <c r="BK53" i="21"/>
  <c r="BS41" i="21"/>
  <c r="BS20" i="21"/>
  <c r="BS26" i="21"/>
  <c r="BS12" i="21"/>
  <c r="BK48" i="21"/>
  <c r="BS6" i="21"/>
  <c r="BK45" i="21"/>
  <c r="BS35" i="21"/>
  <c r="BK22" i="21"/>
  <c r="BK46" i="21"/>
  <c r="BK7" i="21"/>
  <c r="BS42" i="21"/>
  <c r="BK16" i="21"/>
  <c r="BS34" i="21"/>
  <c r="BS27" i="21"/>
  <c r="BK54" i="21"/>
  <c r="BK41" i="21"/>
  <c r="BS11" i="21"/>
  <c r="BK14" i="21"/>
  <c r="BS47" i="21"/>
  <c r="BS15" i="21"/>
  <c r="BO12" i="21"/>
  <c r="BK39" i="21"/>
  <c r="BS45" i="21"/>
  <c r="BK44" i="21"/>
  <c r="BK42" i="21"/>
  <c r="BK40" i="21"/>
  <c r="BS38" i="21"/>
  <c r="BS28" i="21"/>
  <c r="BK57" i="21"/>
  <c r="H37" i="21"/>
  <c r="BK18" i="21"/>
  <c r="BK26" i="21"/>
  <c r="BK52" i="21"/>
  <c r="BO11" i="21"/>
  <c r="BO8" i="21"/>
  <c r="BK47" i="21"/>
  <c r="BS16" i="21"/>
  <c r="BS46" i="21"/>
  <c r="BS37" i="21"/>
  <c r="BS43" i="21"/>
  <c r="BS32" i="21"/>
  <c r="BK15" i="21"/>
  <c r="BS25" i="21"/>
  <c r="BK5" i="21"/>
  <c r="BK30" i="21"/>
  <c r="BS8" i="21"/>
  <c r="BK55" i="21"/>
  <c r="BS44" i="21"/>
  <c r="BS36" i="21"/>
  <c r="BO9" i="21"/>
  <c r="BS29" i="21"/>
  <c r="BS40" i="21"/>
  <c r="BK36" i="21"/>
  <c r="BK32" i="21"/>
  <c r="BK24" i="21"/>
  <c r="BK28" i="21"/>
  <c r="BK37" i="21"/>
  <c r="BS9" i="21"/>
  <c r="H23" i="21"/>
  <c r="BK11" i="21"/>
  <c r="BO4" i="21"/>
  <c r="BK4" i="21"/>
  <c r="BK8" i="21"/>
  <c r="BK10" i="21"/>
  <c r="BK12" i="21"/>
  <c r="BS5" i="21"/>
  <c r="BK6" i="21"/>
  <c r="BK35" i="21"/>
  <c r="BS7" i="21"/>
  <c r="BK9" i="21"/>
  <c r="BK25" i="21"/>
  <c r="BK29" i="21"/>
  <c r="BK33" i="21"/>
  <c r="BK31" i="21"/>
  <c r="BO6" i="21"/>
  <c r="BK17" i="21"/>
  <c r="BS4" i="21"/>
  <c r="BK21" i="21"/>
  <c r="BK19" i="21"/>
  <c r="BK20" i="21"/>
  <c r="BO5" i="21"/>
  <c r="BK34" i="21"/>
  <c r="BO7" i="21"/>
  <c r="BK27" i="21"/>
  <c r="BK23" i="21"/>
  <c r="BK13" i="21"/>
  <c r="B37" i="21" l="1"/>
  <c r="B36" i="21"/>
  <c r="B38" i="21"/>
  <c r="BI52" i="20" l="1"/>
  <c r="BI55" i="20" s="1"/>
  <c r="BI57" i="20" s="1"/>
  <c r="BM13" i="20" s="1"/>
  <c r="BF48" i="20"/>
  <c r="BF47" i="20"/>
  <c r="BF46" i="20"/>
  <c r="BF45" i="20"/>
  <c r="BE45" i="20"/>
  <c r="BF44" i="20"/>
  <c r="BE44" i="20"/>
  <c r="BD44" i="20"/>
  <c r="BF43" i="20"/>
  <c r="BE43" i="20"/>
  <c r="BD43" i="20"/>
  <c r="BC43" i="20"/>
  <c r="BF42" i="20"/>
  <c r="BE42" i="20"/>
  <c r="BD42" i="20"/>
  <c r="BC42" i="20"/>
  <c r="BF41" i="20"/>
  <c r="BE41" i="20"/>
  <c r="BD41" i="20"/>
  <c r="BC41" i="20"/>
  <c r="BI40" i="20"/>
  <c r="BI45" i="20" s="1"/>
  <c r="BI50" i="20" s="1"/>
  <c r="BM11" i="20" s="1"/>
  <c r="BQ38" i="20" s="1"/>
  <c r="BQ46" i="20" s="1"/>
  <c r="BF40" i="20"/>
  <c r="BE40" i="20"/>
  <c r="BD40" i="20"/>
  <c r="BC40" i="20"/>
  <c r="BC39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BI35" i="20"/>
  <c r="BI41" i="20" s="1"/>
  <c r="BI46" i="20" s="1"/>
  <c r="BI51" i="20" s="1"/>
  <c r="BI54" i="20" s="1"/>
  <c r="BI34" i="20"/>
  <c r="BF34" i="20"/>
  <c r="BF33" i="20"/>
  <c r="C33" i="20"/>
  <c r="B33" i="20"/>
  <c r="BF32" i="20"/>
  <c r="C32" i="20"/>
  <c r="B32" i="20"/>
  <c r="BF31" i="20"/>
  <c r="BE31" i="20"/>
  <c r="BI30" i="20"/>
  <c r="BI37" i="20" s="1"/>
  <c r="BI43" i="20" s="1"/>
  <c r="BI48" i="20" s="1"/>
  <c r="BI53" i="20" s="1"/>
  <c r="BI56" i="20" s="1"/>
  <c r="BI58" i="20" s="1"/>
  <c r="BI59" i="20" s="1"/>
  <c r="BF30" i="20"/>
  <c r="BE30" i="20"/>
  <c r="BD30" i="20"/>
  <c r="E30" i="20"/>
  <c r="D30" i="20"/>
  <c r="BI29" i="20"/>
  <c r="BI36" i="20" s="1"/>
  <c r="BI42" i="20" s="1"/>
  <c r="BI47" i="20" s="1"/>
  <c r="BF29" i="20"/>
  <c r="BE29" i="20"/>
  <c r="BD29" i="20"/>
  <c r="BC29" i="20"/>
  <c r="C29" i="20"/>
  <c r="B29" i="20"/>
  <c r="BI28" i="20"/>
  <c r="BF28" i="20"/>
  <c r="BE28" i="20"/>
  <c r="BD28" i="20"/>
  <c r="BC28" i="20"/>
  <c r="BI27" i="20"/>
  <c r="BF27" i="20"/>
  <c r="BE27" i="20"/>
  <c r="BD27" i="20"/>
  <c r="BC27" i="20"/>
  <c r="C27" i="20"/>
  <c r="B27" i="20"/>
  <c r="BI26" i="20"/>
  <c r="BI33" i="20" s="1"/>
  <c r="BI39" i="20" s="1"/>
  <c r="BI44" i="20" s="1"/>
  <c r="BF26" i="20"/>
  <c r="BE26" i="20"/>
  <c r="BD26" i="20"/>
  <c r="BC26" i="20"/>
  <c r="E26" i="20"/>
  <c r="E27" i="20" s="1"/>
  <c r="D26" i="20"/>
  <c r="D27" i="20" s="1"/>
  <c r="C26" i="20"/>
  <c r="B26" i="20"/>
  <c r="BI25" i="20"/>
  <c r="BI32" i="20" s="1"/>
  <c r="BI38" i="20" s="1"/>
  <c r="BM9" i="20" s="1"/>
  <c r="BQ23" i="20" s="1"/>
  <c r="BQ29" i="20" s="1"/>
  <c r="BQ36" i="20" s="1"/>
  <c r="BQ44" i="20" s="1"/>
  <c r="BC25" i="20"/>
  <c r="E25" i="20"/>
  <c r="D25" i="20"/>
  <c r="C25" i="20"/>
  <c r="B25" i="20"/>
  <c r="BI24" i="20"/>
  <c r="BI31" i="20" s="1"/>
  <c r="BM8" i="20" s="1"/>
  <c r="BI23" i="20"/>
  <c r="B20" i="20"/>
  <c r="B21" i="20" s="1"/>
  <c r="BQ18" i="20"/>
  <c r="BQ22" i="20" s="1"/>
  <c r="BQ28" i="20" s="1"/>
  <c r="BQ35" i="20" s="1"/>
  <c r="BQ43" i="20" s="1"/>
  <c r="AA15" i="20"/>
  <c r="W15" i="20"/>
  <c r="V15" i="20"/>
  <c r="Q15" i="20"/>
  <c r="P15" i="20"/>
  <c r="W14" i="20"/>
  <c r="V14" i="20"/>
  <c r="Q14" i="20"/>
  <c r="P14" i="20"/>
  <c r="BQ13" i="20"/>
  <c r="BQ17" i="20" s="1"/>
  <c r="BQ21" i="20" s="1"/>
  <c r="BQ27" i="20" s="1"/>
  <c r="BQ34" i="20" s="1"/>
  <c r="BQ42" i="20" s="1"/>
  <c r="W13" i="20"/>
  <c r="V13" i="20"/>
  <c r="Q13" i="20"/>
  <c r="P13" i="20"/>
  <c r="BM12" i="20"/>
  <c r="BQ47" i="20" s="1"/>
  <c r="W12" i="20"/>
  <c r="V12" i="20"/>
  <c r="Q12" i="20"/>
  <c r="P12" i="20"/>
  <c r="Q11" i="20"/>
  <c r="P11" i="20"/>
  <c r="BM10" i="20"/>
  <c r="BQ30" i="20" s="1"/>
  <c r="BQ37" i="20" s="1"/>
  <c r="BQ45" i="20" s="1"/>
  <c r="W10" i="20"/>
  <c r="V10" i="20"/>
  <c r="W9" i="20"/>
  <c r="V9" i="20"/>
  <c r="Q9" i="20"/>
  <c r="P9" i="20"/>
  <c r="BQ8" i="20"/>
  <c r="BQ11" i="20" s="1"/>
  <c r="BQ15" i="20" s="1"/>
  <c r="BQ19" i="20" s="1"/>
  <c r="BQ25" i="20" s="1"/>
  <c r="BQ32" i="20" s="1"/>
  <c r="BQ40" i="20" s="1"/>
  <c r="W8" i="20"/>
  <c r="V8" i="20"/>
  <c r="Q8" i="20"/>
  <c r="P8" i="20"/>
  <c r="BQ7" i="20"/>
  <c r="BQ10" i="20" s="1"/>
  <c r="BQ14" i="20" s="1"/>
  <c r="BI49" i="20" s="1"/>
  <c r="BQ24" i="20" s="1"/>
  <c r="BQ31" i="20" s="1"/>
  <c r="BQ39" i="20" s="1"/>
  <c r="BM14" i="20" s="1"/>
  <c r="BM7" i="20"/>
  <c r="W7" i="20"/>
  <c r="V7" i="20"/>
  <c r="Q7" i="20"/>
  <c r="P7" i="20"/>
  <c r="BQ6" i="20"/>
  <c r="BM6" i="20"/>
  <c r="BQ9" i="20" s="1"/>
  <c r="BQ12" i="20" s="1"/>
  <c r="BQ16" i="20" s="1"/>
  <c r="BQ20" i="20" s="1"/>
  <c r="BQ26" i="20" s="1"/>
  <c r="BQ33" i="20" s="1"/>
  <c r="BQ41" i="20" s="1"/>
  <c r="W6" i="20"/>
  <c r="V6" i="20"/>
  <c r="Q6" i="20"/>
  <c r="P6" i="20"/>
  <c r="B22" i="20"/>
  <c r="C22" i="20" s="1"/>
  <c r="BQ5" i="20"/>
  <c r="W5" i="20"/>
  <c r="V5" i="20"/>
  <c r="Q5" i="20"/>
  <c r="P5" i="20"/>
  <c r="W4" i="20"/>
  <c r="V4" i="20"/>
  <c r="Q4" i="20"/>
  <c r="P4" i="20"/>
  <c r="D3" i="20"/>
  <c r="N1" i="20"/>
  <c r="N5" i="20" s="1"/>
  <c r="C6" i="19"/>
  <c r="BF48" i="19"/>
  <c r="BF47" i="19"/>
  <c r="BF46" i="19"/>
  <c r="BF45" i="19"/>
  <c r="BE45" i="19"/>
  <c r="BF44" i="19"/>
  <c r="BE44" i="19"/>
  <c r="BD44" i="19"/>
  <c r="BF43" i="19"/>
  <c r="BE43" i="19"/>
  <c r="BD43" i="19"/>
  <c r="BC43" i="19"/>
  <c r="BF42" i="19"/>
  <c r="BE42" i="19"/>
  <c r="BD42" i="19"/>
  <c r="BC42" i="19"/>
  <c r="BF41" i="19"/>
  <c r="BE41" i="19"/>
  <c r="BD41" i="19"/>
  <c r="BC41" i="19"/>
  <c r="BF40" i="19"/>
  <c r="BE40" i="19"/>
  <c r="BD40" i="19"/>
  <c r="BC40" i="19"/>
  <c r="BC39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BF34" i="19"/>
  <c r="BI33" i="19"/>
  <c r="BI39" i="19" s="1"/>
  <c r="BI44" i="19" s="1"/>
  <c r="BM10" i="19" s="1"/>
  <c r="BQ30" i="19" s="1"/>
  <c r="BQ37" i="19" s="1"/>
  <c r="BQ45" i="19" s="1"/>
  <c r="BF33" i="19"/>
  <c r="C33" i="19"/>
  <c r="B33" i="19"/>
  <c r="BI32" i="19"/>
  <c r="BI38" i="19" s="1"/>
  <c r="BM9" i="19" s="1"/>
  <c r="BQ23" i="19" s="1"/>
  <c r="BQ29" i="19" s="1"/>
  <c r="BQ36" i="19" s="1"/>
  <c r="BQ44" i="19" s="1"/>
  <c r="BF32" i="19"/>
  <c r="C32" i="19"/>
  <c r="B32" i="19"/>
  <c r="BF31" i="19"/>
  <c r="BE31" i="19"/>
  <c r="BI30" i="19"/>
  <c r="BI37" i="19" s="1"/>
  <c r="BI43" i="19" s="1"/>
  <c r="BI48" i="19" s="1"/>
  <c r="BI53" i="19" s="1"/>
  <c r="BI56" i="19" s="1"/>
  <c r="BI58" i="19" s="1"/>
  <c r="BI59" i="19" s="1"/>
  <c r="BF30" i="19"/>
  <c r="BE30" i="19"/>
  <c r="BD30" i="19"/>
  <c r="E30" i="19"/>
  <c r="D30" i="19"/>
  <c r="BI29" i="19"/>
  <c r="BI36" i="19" s="1"/>
  <c r="BI42" i="19" s="1"/>
  <c r="BI47" i="19" s="1"/>
  <c r="BI52" i="19" s="1"/>
  <c r="BI55" i="19" s="1"/>
  <c r="BI57" i="19" s="1"/>
  <c r="BM13" i="19" s="1"/>
  <c r="BF29" i="19"/>
  <c r="BE29" i="19"/>
  <c r="BD29" i="19"/>
  <c r="BC29" i="19"/>
  <c r="C29" i="19"/>
  <c r="B29" i="19"/>
  <c r="BI28" i="19"/>
  <c r="BI35" i="19" s="1"/>
  <c r="BI41" i="19" s="1"/>
  <c r="BI46" i="19" s="1"/>
  <c r="BI51" i="19" s="1"/>
  <c r="BI54" i="19" s="1"/>
  <c r="BM12" i="19" s="1"/>
  <c r="BQ47" i="19" s="1"/>
  <c r="BF28" i="19"/>
  <c r="BE28" i="19"/>
  <c r="BD28" i="19"/>
  <c r="BC28" i="19"/>
  <c r="BI27" i="19"/>
  <c r="BI34" i="19" s="1"/>
  <c r="BI40" i="19" s="1"/>
  <c r="BI45" i="19" s="1"/>
  <c r="BI50" i="19" s="1"/>
  <c r="BM11" i="19" s="1"/>
  <c r="BQ38" i="19" s="1"/>
  <c r="BQ46" i="19" s="1"/>
  <c r="BF27" i="19"/>
  <c r="BE27" i="19"/>
  <c r="BD27" i="19"/>
  <c r="BC27" i="19"/>
  <c r="D27" i="19"/>
  <c r="C27" i="19"/>
  <c r="B27" i="19"/>
  <c r="BI26" i="19"/>
  <c r="BF26" i="19"/>
  <c r="BE26" i="19"/>
  <c r="BD26" i="19"/>
  <c r="BC26" i="19"/>
  <c r="E26" i="19"/>
  <c r="E27" i="19" s="1"/>
  <c r="D26" i="19"/>
  <c r="C26" i="19"/>
  <c r="B26" i="19"/>
  <c r="BI25" i="19"/>
  <c r="BC25" i="19"/>
  <c r="E25" i="19"/>
  <c r="D25" i="19"/>
  <c r="C25" i="19"/>
  <c r="B25" i="19"/>
  <c r="BI24" i="19"/>
  <c r="BI31" i="19" s="1"/>
  <c r="BM8" i="19" s="1"/>
  <c r="BQ18" i="19" s="1"/>
  <c r="BQ22" i="19" s="1"/>
  <c r="BQ28" i="19" s="1"/>
  <c r="BQ35" i="19" s="1"/>
  <c r="BQ43" i="19" s="1"/>
  <c r="BI23" i="19"/>
  <c r="D23" i="19"/>
  <c r="B22" i="19"/>
  <c r="G13" i="19" s="1"/>
  <c r="B21" i="19"/>
  <c r="B20" i="19"/>
  <c r="AA15" i="19"/>
  <c r="AB15" i="19" s="1"/>
  <c r="W15" i="19"/>
  <c r="V15" i="19"/>
  <c r="Q15" i="19"/>
  <c r="P15" i="19"/>
  <c r="W14" i="19"/>
  <c r="V14" i="19"/>
  <c r="Q14" i="19"/>
  <c r="P14" i="19"/>
  <c r="BQ13" i="19"/>
  <c r="BQ17" i="19" s="1"/>
  <c r="BQ21" i="19" s="1"/>
  <c r="BQ27" i="19" s="1"/>
  <c r="BQ34" i="19" s="1"/>
  <c r="BQ42" i="19" s="1"/>
  <c r="W13" i="19"/>
  <c r="V13" i="19"/>
  <c r="Q13" i="19"/>
  <c r="P13" i="19"/>
  <c r="W12" i="19"/>
  <c r="V12" i="19"/>
  <c r="Q12" i="19"/>
  <c r="R12" i="19" s="1"/>
  <c r="P12" i="19"/>
  <c r="N12" i="19"/>
  <c r="Q11" i="19"/>
  <c r="P11" i="19"/>
  <c r="W10" i="19"/>
  <c r="V10" i="19"/>
  <c r="W9" i="19"/>
  <c r="V9" i="19"/>
  <c r="Q9" i="19"/>
  <c r="P9" i="19"/>
  <c r="BQ8" i="19"/>
  <c r="BQ11" i="19" s="1"/>
  <c r="BQ15" i="19" s="1"/>
  <c r="BQ19" i="19" s="1"/>
  <c r="BQ25" i="19" s="1"/>
  <c r="BQ32" i="19" s="1"/>
  <c r="BQ40" i="19" s="1"/>
  <c r="W8" i="19"/>
  <c r="V8" i="19"/>
  <c r="Q8" i="19"/>
  <c r="P8" i="19"/>
  <c r="N8" i="19"/>
  <c r="BQ7" i="19"/>
  <c r="BQ10" i="19" s="1"/>
  <c r="BQ14" i="19" s="1"/>
  <c r="BI49" i="19" s="1"/>
  <c r="BQ24" i="19" s="1"/>
  <c r="BQ31" i="19" s="1"/>
  <c r="BQ39" i="19" s="1"/>
  <c r="BM14" i="19" s="1"/>
  <c r="BM7" i="19"/>
  <c r="W7" i="19"/>
  <c r="V7" i="19"/>
  <c r="Q7" i="19"/>
  <c r="P7" i="19"/>
  <c r="N7" i="19"/>
  <c r="BQ6" i="19"/>
  <c r="BM6" i="19"/>
  <c r="BQ9" i="19" s="1"/>
  <c r="BQ12" i="19" s="1"/>
  <c r="BQ16" i="19" s="1"/>
  <c r="BQ20" i="19" s="1"/>
  <c r="BQ26" i="19" s="1"/>
  <c r="BQ33" i="19" s="1"/>
  <c r="BQ41" i="19" s="1"/>
  <c r="W6" i="19"/>
  <c r="V6" i="19"/>
  <c r="Q6" i="19"/>
  <c r="P6" i="19"/>
  <c r="N6" i="19"/>
  <c r="BQ5" i="19"/>
  <c r="W5" i="19"/>
  <c r="V5" i="19"/>
  <c r="Q5" i="19"/>
  <c r="R5" i="19" s="1"/>
  <c r="P5" i="19"/>
  <c r="N5" i="19"/>
  <c r="W4" i="19"/>
  <c r="V4" i="19"/>
  <c r="Q4" i="19"/>
  <c r="P4" i="19"/>
  <c r="N4" i="19"/>
  <c r="D3" i="19"/>
  <c r="N1" i="19"/>
  <c r="N6" i="20" l="1"/>
  <c r="R6" i="20"/>
  <c r="V11" i="20"/>
  <c r="R5" i="20"/>
  <c r="B31" i="20"/>
  <c r="W25" i="20" s="1"/>
  <c r="C31" i="20"/>
  <c r="W39" i="20" s="1"/>
  <c r="G14" i="20"/>
  <c r="B23" i="20"/>
  <c r="N15" i="20"/>
  <c r="R15" i="20" s="1"/>
  <c r="N14" i="20"/>
  <c r="R14" i="20" s="1"/>
  <c r="N13" i="20"/>
  <c r="R13" i="20" s="1"/>
  <c r="W11" i="20"/>
  <c r="D23" i="20"/>
  <c r="N9" i="20"/>
  <c r="R9" i="20" s="1"/>
  <c r="N11" i="20"/>
  <c r="R11" i="20" s="1"/>
  <c r="G13" i="20"/>
  <c r="E23" i="20"/>
  <c r="N7" i="20"/>
  <c r="R7" i="20" s="1"/>
  <c r="N4" i="20"/>
  <c r="N8" i="20"/>
  <c r="R8" i="20" s="1"/>
  <c r="AB15" i="20"/>
  <c r="N10" i="20"/>
  <c r="R10" i="20" s="1"/>
  <c r="N12" i="20"/>
  <c r="R12" i="20" s="1"/>
  <c r="R7" i="19"/>
  <c r="R15" i="19"/>
  <c r="R6" i="19"/>
  <c r="R4" i="19"/>
  <c r="B31" i="19"/>
  <c r="W25" i="19" s="1"/>
  <c r="C22" i="19"/>
  <c r="G14" i="19" s="1"/>
  <c r="R14" i="19"/>
  <c r="N15" i="19"/>
  <c r="N14" i="19"/>
  <c r="N13" i="19"/>
  <c r="R13" i="19" s="1"/>
  <c r="W11" i="19"/>
  <c r="R8" i="19"/>
  <c r="V11" i="19"/>
  <c r="C31" i="19"/>
  <c r="W39" i="19" s="1"/>
  <c r="E23" i="19"/>
  <c r="N9" i="19"/>
  <c r="N2" i="19" s="1"/>
  <c r="N10" i="19"/>
  <c r="R10" i="19" s="1"/>
  <c r="N11" i="19"/>
  <c r="R11" i="19" s="1"/>
  <c r="U15" i="10"/>
  <c r="T15" i="10"/>
  <c r="Q15" i="10"/>
  <c r="P15" i="10"/>
  <c r="T41" i="20" l="1"/>
  <c r="C23" i="20"/>
  <c r="T26" i="20" s="1"/>
  <c r="T45" i="20"/>
  <c r="T46" i="20"/>
  <c r="T48" i="20"/>
  <c r="T43" i="20"/>
  <c r="T42" i="20"/>
  <c r="T39" i="20"/>
  <c r="T40" i="20"/>
  <c r="T49" i="20"/>
  <c r="N2" i="20"/>
  <c r="B34" i="20"/>
  <c r="B24" i="20"/>
  <c r="T44" i="20"/>
  <c r="T47" i="20"/>
  <c r="R4" i="20"/>
  <c r="B23" i="19"/>
  <c r="T40" i="19" s="1"/>
  <c r="R9" i="19"/>
  <c r="W11" i="10"/>
  <c r="V11" i="10"/>
  <c r="T32" i="20" l="1"/>
  <c r="T29" i="20"/>
  <c r="T30" i="20"/>
  <c r="T33" i="20"/>
  <c r="T34" i="20"/>
  <c r="T27" i="20"/>
  <c r="C34" i="20"/>
  <c r="T25" i="20"/>
  <c r="C24" i="20"/>
  <c r="N44" i="20" s="1"/>
  <c r="P44" i="20" s="1"/>
  <c r="T35" i="20"/>
  <c r="T31" i="20"/>
  <c r="T28" i="20"/>
  <c r="R2" i="20"/>
  <c r="S13" i="20" s="1"/>
  <c r="N30" i="20"/>
  <c r="P30" i="20" s="1"/>
  <c r="R35" i="20" s="1"/>
  <c r="N29" i="20"/>
  <c r="P29" i="20" s="1"/>
  <c r="N26" i="20"/>
  <c r="N28" i="20"/>
  <c r="P28" i="20" s="1"/>
  <c r="N27" i="20"/>
  <c r="P27" i="20" s="1"/>
  <c r="N25" i="20"/>
  <c r="T37" i="20"/>
  <c r="T49" i="19"/>
  <c r="T48" i="19"/>
  <c r="T47" i="19"/>
  <c r="C23" i="19"/>
  <c r="T27" i="19" s="1"/>
  <c r="T44" i="19"/>
  <c r="T39" i="19"/>
  <c r="B24" i="19"/>
  <c r="N27" i="19" s="1"/>
  <c r="P27" i="19" s="1"/>
  <c r="T46" i="19"/>
  <c r="T41" i="19"/>
  <c r="T42" i="19"/>
  <c r="T43" i="19"/>
  <c r="B34" i="19"/>
  <c r="T45" i="19"/>
  <c r="R2" i="19"/>
  <c r="S9" i="19" s="1"/>
  <c r="N28" i="19"/>
  <c r="P28" i="19" s="1"/>
  <c r="C34" i="19"/>
  <c r="T33" i="19"/>
  <c r="T32" i="19"/>
  <c r="T29" i="19"/>
  <c r="N1" i="10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F42" i="10" s="1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N42" i="20" l="1"/>
  <c r="P42" i="20" s="1"/>
  <c r="N39" i="20"/>
  <c r="P39" i="20" s="1"/>
  <c r="R41" i="20" s="1"/>
  <c r="N40" i="20"/>
  <c r="P40" i="20" s="1"/>
  <c r="N41" i="20"/>
  <c r="P41" i="20" s="1"/>
  <c r="N43" i="20"/>
  <c r="P43" i="20" s="1"/>
  <c r="T23" i="20"/>
  <c r="S4" i="20"/>
  <c r="U4" i="20" s="1"/>
  <c r="S14" i="20"/>
  <c r="U14" i="20" s="1"/>
  <c r="Y14" i="20" s="1"/>
  <c r="AG14" i="20" s="1"/>
  <c r="S12" i="20"/>
  <c r="U12" i="20" s="1"/>
  <c r="Y12" i="20" s="1"/>
  <c r="AG12" i="20" s="1"/>
  <c r="S11" i="20"/>
  <c r="S9" i="20"/>
  <c r="U9" i="20" s="1"/>
  <c r="Y9" i="20" s="1"/>
  <c r="AG9" i="20" s="1"/>
  <c r="S8" i="20"/>
  <c r="U8" i="20" s="1"/>
  <c r="Y8" i="20" s="1"/>
  <c r="AG8" i="20" s="1"/>
  <c r="S6" i="20"/>
  <c r="T6" i="20" s="1"/>
  <c r="X6" i="20" s="1"/>
  <c r="AA5" i="20" s="1"/>
  <c r="S5" i="20"/>
  <c r="T5" i="20" s="1"/>
  <c r="X5" i="20" s="1"/>
  <c r="AA4" i="20" s="1"/>
  <c r="S10" i="20"/>
  <c r="U10" i="20" s="1"/>
  <c r="Y10" i="20" s="1"/>
  <c r="AG10" i="20" s="1"/>
  <c r="R32" i="20"/>
  <c r="R34" i="20"/>
  <c r="R33" i="20"/>
  <c r="P26" i="20"/>
  <c r="R31" i="20" s="1"/>
  <c r="R49" i="20"/>
  <c r="S7" i="20"/>
  <c r="P25" i="20"/>
  <c r="N23" i="20"/>
  <c r="U13" i="20"/>
  <c r="Y13" i="20" s="1"/>
  <c r="AG13" i="20" s="1"/>
  <c r="T13" i="20"/>
  <c r="X13" i="20" s="1"/>
  <c r="AA12" i="20" s="1"/>
  <c r="S15" i="20"/>
  <c r="T25" i="19"/>
  <c r="T30" i="19"/>
  <c r="T34" i="19"/>
  <c r="T31" i="19"/>
  <c r="T37" i="19"/>
  <c r="N25" i="19"/>
  <c r="T28" i="19"/>
  <c r="T26" i="19"/>
  <c r="N29" i="19"/>
  <c r="P29" i="19" s="1"/>
  <c r="R33" i="19" s="1"/>
  <c r="C24" i="19"/>
  <c r="N41" i="19" s="1"/>
  <c r="P41" i="19" s="1"/>
  <c r="N30" i="19"/>
  <c r="P30" i="19" s="1"/>
  <c r="R35" i="19" s="1"/>
  <c r="N26" i="19"/>
  <c r="T35" i="19"/>
  <c r="P25" i="19"/>
  <c r="S15" i="19"/>
  <c r="S5" i="19"/>
  <c r="S10" i="19"/>
  <c r="S12" i="19"/>
  <c r="S14" i="19"/>
  <c r="S8" i="19"/>
  <c r="S4" i="19"/>
  <c r="S6" i="19"/>
  <c r="S7" i="19"/>
  <c r="S11" i="19"/>
  <c r="S13" i="19"/>
  <c r="N43" i="19"/>
  <c r="P43" i="19" s="1"/>
  <c r="T9" i="19"/>
  <c r="X9" i="19" s="1"/>
  <c r="AA8" i="19" s="1"/>
  <c r="U9" i="19"/>
  <c r="Y9" i="19" s="1"/>
  <c r="AG9" i="19" s="1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F42" i="8"/>
  <c r="BE42" i="8"/>
  <c r="BF43" i="8" s="1"/>
  <c r="BD42" i="8"/>
  <c r="BC42" i="8"/>
  <c r="BF41" i="8"/>
  <c r="BE41" i="8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F30" i="8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D29" i="8"/>
  <c r="BC29" i="8"/>
  <c r="C29" i="8"/>
  <c r="B29" i="8"/>
  <c r="BH28" i="8"/>
  <c r="BH35" i="8" s="1"/>
  <c r="BH41" i="8" s="1"/>
  <c r="BH46" i="8" s="1"/>
  <c r="BH51" i="8" s="1"/>
  <c r="BH54" i="8" s="1"/>
  <c r="BE28" i="8"/>
  <c r="BF28" i="8" s="1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B31" i="8" s="1"/>
  <c r="W24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AA19" i="8" s="1"/>
  <c r="Y19" i="8"/>
  <c r="P19" i="8"/>
  <c r="O19" i="8"/>
  <c r="Q19" i="8" s="1"/>
  <c r="AA18" i="8"/>
  <c r="Q18" i="8"/>
  <c r="Z17" i="8"/>
  <c r="AA17" i="8" s="1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AA13" i="8"/>
  <c r="Z13" i="8"/>
  <c r="Q13" i="8"/>
  <c r="P13" i="8"/>
  <c r="BL12" i="8"/>
  <c r="BP47" i="8" s="1"/>
  <c r="AA12" i="8"/>
  <c r="Q12" i="8"/>
  <c r="AA11" i="8"/>
  <c r="Z11" i="8"/>
  <c r="Y11" i="8"/>
  <c r="P11" i="8"/>
  <c r="O11" i="8"/>
  <c r="BP10" i="8"/>
  <c r="BP14" i="8" s="1"/>
  <c r="BH49" i="8" s="1"/>
  <c r="BP24" i="8" s="1"/>
  <c r="BP31" i="8" s="1"/>
  <c r="BP39" i="8" s="1"/>
  <c r="BL14" i="8" s="1"/>
  <c r="AA10" i="8"/>
  <c r="Z10" i="8"/>
  <c r="Y10" i="8"/>
  <c r="P10" i="8"/>
  <c r="Q10" i="8" s="1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Q8" i="8" s="1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Q6" i="8" s="1"/>
  <c r="O6" i="8"/>
  <c r="BP5" i="8"/>
  <c r="BP7" i="8" s="1"/>
  <c r="AA5" i="8"/>
  <c r="Z5" i="8"/>
  <c r="Y5" i="8"/>
  <c r="P5" i="8"/>
  <c r="O5" i="8"/>
  <c r="D3" i="8"/>
  <c r="K3" i="8" s="1"/>
  <c r="S2" i="8"/>
  <c r="K2" i="8"/>
  <c r="G2" i="8"/>
  <c r="AF1" i="8"/>
  <c r="S1" i="8"/>
  <c r="G1" i="8"/>
  <c r="BF48" i="7"/>
  <c r="BF47" i="7"/>
  <c r="BE45" i="7"/>
  <c r="BF46" i="7" s="1"/>
  <c r="BE44" i="7"/>
  <c r="BD44" i="7"/>
  <c r="BE43" i="7"/>
  <c r="BD43" i="7"/>
  <c r="BC43" i="7"/>
  <c r="BF42" i="7"/>
  <c r="BE42" i="7"/>
  <c r="BF43" i="7" s="1"/>
  <c r="BD42" i="7"/>
  <c r="BC42" i="7"/>
  <c r="BF41" i="7"/>
  <c r="BE41" i="7"/>
  <c r="BD41" i="7"/>
  <c r="BC41" i="7"/>
  <c r="BH40" i="7"/>
  <c r="BH45" i="7" s="1"/>
  <c r="BH50" i="7" s="1"/>
  <c r="BF40" i="7"/>
  <c r="BE40" i="7"/>
  <c r="BD40" i="7"/>
  <c r="BC40" i="7"/>
  <c r="BC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H36" i="7"/>
  <c r="BH42" i="7" s="1"/>
  <c r="BH47" i="7" s="1"/>
  <c r="BH52" i="7" s="1"/>
  <c r="BH55" i="7" s="1"/>
  <c r="BH57" i="7" s="1"/>
  <c r="BL13" i="7" s="1"/>
  <c r="BH35" i="7"/>
  <c r="BH41" i="7" s="1"/>
  <c r="BH46" i="7" s="1"/>
  <c r="BH51" i="7" s="1"/>
  <c r="BH54" i="7" s="1"/>
  <c r="BL12" i="7" s="1"/>
  <c r="BP47" i="7" s="1"/>
  <c r="BP34" i="7"/>
  <c r="BP42" i="7" s="1"/>
  <c r="BH34" i="7"/>
  <c r="BF34" i="7"/>
  <c r="BH33" i="7"/>
  <c r="BH39" i="7" s="1"/>
  <c r="BH44" i="7" s="1"/>
  <c r="BF33" i="7"/>
  <c r="C33" i="7"/>
  <c r="B33" i="7"/>
  <c r="C32" i="7"/>
  <c r="B32" i="7"/>
  <c r="BF31" i="7"/>
  <c r="BE31" i="7"/>
  <c r="BF32" i="7" s="1"/>
  <c r="BH30" i="7"/>
  <c r="BH37" i="7" s="1"/>
  <c r="BH43" i="7" s="1"/>
  <c r="BH48" i="7" s="1"/>
  <c r="BH53" i="7" s="1"/>
  <c r="BH56" i="7" s="1"/>
  <c r="BH58" i="7" s="1"/>
  <c r="BH59" i="7" s="1"/>
  <c r="BF30" i="7"/>
  <c r="BE30" i="7"/>
  <c r="BD30" i="7"/>
  <c r="E30" i="7"/>
  <c r="D30" i="7"/>
  <c r="BH29" i="7"/>
  <c r="BE29" i="7"/>
  <c r="BD29" i="7"/>
  <c r="BC29" i="7"/>
  <c r="C29" i="7"/>
  <c r="B29" i="7"/>
  <c r="BH28" i="7"/>
  <c r="BE28" i="7"/>
  <c r="BD28" i="7"/>
  <c r="BC28" i="7"/>
  <c r="BH27" i="7"/>
  <c r="BF27" i="7"/>
  <c r="BE27" i="7"/>
  <c r="BD27" i="7"/>
  <c r="BC27" i="7"/>
  <c r="C27" i="7"/>
  <c r="B27" i="7"/>
  <c r="BP26" i="7"/>
  <c r="BP33" i="7" s="1"/>
  <c r="BP41" i="7" s="1"/>
  <c r="BH26" i="7"/>
  <c r="BF26" i="7"/>
  <c r="BE26" i="7"/>
  <c r="BD26" i="7"/>
  <c r="BC26" i="7"/>
  <c r="E26" i="7"/>
  <c r="E27" i="7" s="1"/>
  <c r="D26" i="7"/>
  <c r="D27" i="7" s="1"/>
  <c r="C26" i="7"/>
  <c r="B26" i="7"/>
  <c r="BH25" i="7"/>
  <c r="BH32" i="7" s="1"/>
  <c r="BH38" i="7" s="1"/>
  <c r="BC25" i="7"/>
  <c r="E25" i="7"/>
  <c r="D25" i="7"/>
  <c r="C25" i="7"/>
  <c r="C31" i="7" s="1"/>
  <c r="W39" i="7" s="1"/>
  <c r="B25" i="7"/>
  <c r="B31" i="7" s="1"/>
  <c r="W25" i="7" s="1"/>
  <c r="BH24" i="7"/>
  <c r="BH31" i="7" s="1"/>
  <c r="BH23" i="7"/>
  <c r="E23" i="7"/>
  <c r="D23" i="7"/>
  <c r="C22" i="7"/>
  <c r="B22" i="7"/>
  <c r="B20" i="7"/>
  <c r="B21" i="7" s="1"/>
  <c r="AA19" i="7"/>
  <c r="Z19" i="7"/>
  <c r="Y19" i="7"/>
  <c r="Q19" i="7"/>
  <c r="P19" i="7"/>
  <c r="O19" i="7"/>
  <c r="BP18" i="7"/>
  <c r="BP22" i="7" s="1"/>
  <c r="BP28" i="7" s="1"/>
  <c r="BP35" i="7" s="1"/>
  <c r="BP43" i="7" s="1"/>
  <c r="AA18" i="7"/>
  <c r="Q18" i="7"/>
  <c r="AA17" i="7"/>
  <c r="Z17" i="7"/>
  <c r="Y17" i="7"/>
  <c r="P17" i="7"/>
  <c r="Q17" i="7" s="1"/>
  <c r="O17" i="7"/>
  <c r="AA16" i="7"/>
  <c r="Y16" i="7"/>
  <c r="O16" i="7"/>
  <c r="Q16" i="7" s="1"/>
  <c r="C16" i="7"/>
  <c r="B16" i="7"/>
  <c r="AA15" i="7"/>
  <c r="Q15" i="7"/>
  <c r="Y14" i="7"/>
  <c r="AA14" i="7" s="1"/>
  <c r="O14" i="7"/>
  <c r="Q14" i="7" s="1"/>
  <c r="AA13" i="7"/>
  <c r="Z13" i="7"/>
  <c r="Q13" i="7"/>
  <c r="P13" i="7"/>
  <c r="AA12" i="7"/>
  <c r="Q12" i="7"/>
  <c r="BL11" i="7"/>
  <c r="BP38" i="7" s="1"/>
  <c r="BP46" i="7" s="1"/>
  <c r="Z11" i="7"/>
  <c r="Y11" i="7"/>
  <c r="AA11" i="7" s="1"/>
  <c r="P11" i="7"/>
  <c r="Q11" i="7" s="1"/>
  <c r="O11" i="7"/>
  <c r="BL10" i="7"/>
  <c r="BP30" i="7" s="1"/>
  <c r="BP37" i="7" s="1"/>
  <c r="BP45" i="7" s="1"/>
  <c r="Z10" i="7"/>
  <c r="Y10" i="7"/>
  <c r="Q10" i="7"/>
  <c r="P10" i="7"/>
  <c r="O10" i="7"/>
  <c r="BP9" i="7"/>
  <c r="BP12" i="7" s="1"/>
  <c r="BP16" i="7" s="1"/>
  <c r="BP20" i="7" s="1"/>
  <c r="BL9" i="7"/>
  <c r="BP23" i="7" s="1"/>
  <c r="BP29" i="7" s="1"/>
  <c r="BP36" i="7" s="1"/>
  <c r="BP44" i="7" s="1"/>
  <c r="AA9" i="7"/>
  <c r="Y9" i="7"/>
  <c r="O9" i="7"/>
  <c r="Q9" i="7" s="1"/>
  <c r="BP8" i="7"/>
  <c r="BP11" i="7" s="1"/>
  <c r="BP15" i="7" s="1"/>
  <c r="BP19" i="7" s="1"/>
  <c r="BP25" i="7" s="1"/>
  <c r="BP32" i="7" s="1"/>
  <c r="BP40" i="7" s="1"/>
  <c r="BL8" i="7"/>
  <c r="AA8" i="7"/>
  <c r="Z8" i="7"/>
  <c r="Y8" i="7"/>
  <c r="Q8" i="7"/>
  <c r="P8" i="7"/>
  <c r="O8" i="7"/>
  <c r="BP7" i="7"/>
  <c r="BP10" i="7" s="1"/>
  <c r="BP14" i="7" s="1"/>
  <c r="BH49" i="7" s="1"/>
  <c r="BP24" i="7" s="1"/>
  <c r="BP31" i="7" s="1"/>
  <c r="BP39" i="7" s="1"/>
  <c r="BL14" i="7" s="1"/>
  <c r="BL7" i="7"/>
  <c r="BP13" i="7" s="1"/>
  <c r="BP17" i="7" s="1"/>
  <c r="BP21" i="7" s="1"/>
  <c r="BP27" i="7" s="1"/>
  <c r="AA7" i="7"/>
  <c r="Q7" i="7"/>
  <c r="BP6" i="7"/>
  <c r="BL6" i="7"/>
  <c r="Z6" i="7"/>
  <c r="AA6" i="7" s="1"/>
  <c r="Y6" i="7"/>
  <c r="P6" i="7"/>
  <c r="O6" i="7"/>
  <c r="Q6" i="7" s="1"/>
  <c r="BP5" i="7"/>
  <c r="Z5" i="7"/>
  <c r="Y5" i="7"/>
  <c r="AA5" i="7" s="1"/>
  <c r="Q5" i="7"/>
  <c r="P5" i="7"/>
  <c r="O5" i="7"/>
  <c r="D3" i="7"/>
  <c r="K3" i="7" s="1"/>
  <c r="S2" i="7"/>
  <c r="K2" i="7"/>
  <c r="G2" i="7"/>
  <c r="AF1" i="7"/>
  <c r="V1" i="7"/>
  <c r="S1" i="7"/>
  <c r="G1" i="7"/>
  <c r="BF48" i="6"/>
  <c r="BF47" i="6"/>
  <c r="BF46" i="6"/>
  <c r="BE45" i="6"/>
  <c r="BE44" i="6"/>
  <c r="BF45" i="6" s="1"/>
  <c r="BD44" i="6"/>
  <c r="BE43" i="6"/>
  <c r="BF44" i="6" s="1"/>
  <c r="BD43" i="6"/>
  <c r="BC43" i="6"/>
  <c r="BF42" i="6"/>
  <c r="BE42" i="6"/>
  <c r="BF43" i="6" s="1"/>
  <c r="BD42" i="6"/>
  <c r="BC42" i="6"/>
  <c r="BF41" i="6"/>
  <c r="BE41" i="6"/>
  <c r="BD41" i="6"/>
  <c r="BC41" i="6"/>
  <c r="BF40" i="6"/>
  <c r="BE40" i="6"/>
  <c r="BD40" i="6"/>
  <c r="BC40" i="6"/>
  <c r="BC39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F34" i="6"/>
  <c r="BF33" i="6"/>
  <c r="C33" i="6"/>
  <c r="B33" i="6"/>
  <c r="C32" i="6"/>
  <c r="B32" i="6"/>
  <c r="BE31" i="6"/>
  <c r="BF32" i="6" s="1"/>
  <c r="BH30" i="6"/>
  <c r="BH37" i="6" s="1"/>
  <c r="BH43" i="6" s="1"/>
  <c r="BH48" i="6" s="1"/>
  <c r="BH53" i="6" s="1"/>
  <c r="BH56" i="6" s="1"/>
  <c r="BH58" i="6" s="1"/>
  <c r="BH59" i="6" s="1"/>
  <c r="BE30" i="6"/>
  <c r="BF31" i="6" s="1"/>
  <c r="BD30" i="6"/>
  <c r="E30" i="6"/>
  <c r="D30" i="6"/>
  <c r="BH29" i="6"/>
  <c r="BH36" i="6" s="1"/>
  <c r="BH42" i="6" s="1"/>
  <c r="BH47" i="6" s="1"/>
  <c r="BH52" i="6" s="1"/>
  <c r="BH55" i="6" s="1"/>
  <c r="BH57" i="6" s="1"/>
  <c r="BL13" i="6" s="1"/>
  <c r="BE29" i="6"/>
  <c r="BF30" i="6" s="1"/>
  <c r="BD29" i="6"/>
  <c r="BC29" i="6"/>
  <c r="C29" i="6"/>
  <c r="B29" i="6"/>
  <c r="BH28" i="6"/>
  <c r="BH35" i="6" s="1"/>
  <c r="BH41" i="6" s="1"/>
  <c r="BH46" i="6" s="1"/>
  <c r="BH51" i="6" s="1"/>
  <c r="BH54" i="6" s="1"/>
  <c r="BL12" i="6" s="1"/>
  <c r="BP47" i="6" s="1"/>
  <c r="BE28" i="6"/>
  <c r="BF29" i="6" s="1"/>
  <c r="BD28" i="6"/>
  <c r="BC28" i="6"/>
  <c r="BP27" i="6"/>
  <c r="BP34" i="6" s="1"/>
  <c r="BP42" i="6" s="1"/>
  <c r="BH27" i="6"/>
  <c r="BH34" i="6" s="1"/>
  <c r="BH40" i="6" s="1"/>
  <c r="BH45" i="6" s="1"/>
  <c r="BH50" i="6" s="1"/>
  <c r="BL11" i="6" s="1"/>
  <c r="BP38" i="6" s="1"/>
  <c r="BP46" i="6" s="1"/>
  <c r="BF27" i="6"/>
  <c r="BE27" i="6"/>
  <c r="BF28" i="6" s="1"/>
  <c r="BD27" i="6"/>
  <c r="BC27" i="6"/>
  <c r="E27" i="6"/>
  <c r="C27" i="6"/>
  <c r="B27" i="6"/>
  <c r="BH26" i="6"/>
  <c r="BH33" i="6" s="1"/>
  <c r="BH39" i="6" s="1"/>
  <c r="BH44" i="6" s="1"/>
  <c r="BF26" i="6"/>
  <c r="BE26" i="6"/>
  <c r="BD26" i="6"/>
  <c r="BC26" i="6"/>
  <c r="E26" i="6"/>
  <c r="E23" i="6" s="1"/>
  <c r="D26" i="6"/>
  <c r="D27" i="6" s="1"/>
  <c r="C26" i="6"/>
  <c r="C31" i="6" s="1"/>
  <c r="W39" i="6" s="1"/>
  <c r="B26" i="6"/>
  <c r="BH25" i="6"/>
  <c r="BH32" i="6" s="1"/>
  <c r="BH38" i="6" s="1"/>
  <c r="BC25" i="6"/>
  <c r="E25" i="6"/>
  <c r="D25" i="6"/>
  <c r="C25" i="6"/>
  <c r="B25" i="6"/>
  <c r="BH24" i="6"/>
  <c r="BH31" i="6" s="1"/>
  <c r="BL8" i="6" s="1"/>
  <c r="BH23" i="6"/>
  <c r="B22" i="6"/>
  <c r="C22" i="6" s="1"/>
  <c r="B20" i="6"/>
  <c r="B21" i="6" s="1"/>
  <c r="Z19" i="6"/>
  <c r="Y19" i="6"/>
  <c r="P19" i="6"/>
  <c r="Q19" i="6" s="1"/>
  <c r="O19" i="6"/>
  <c r="BP18" i="6"/>
  <c r="BP22" i="6" s="1"/>
  <c r="BP28" i="6" s="1"/>
  <c r="BP35" i="6" s="1"/>
  <c r="BP43" i="6" s="1"/>
  <c r="Y18" i="6"/>
  <c r="AA18" i="6" s="1"/>
  <c r="O18" i="6"/>
  <c r="Q18" i="6" s="1"/>
  <c r="Z17" i="6"/>
  <c r="AA17" i="6" s="1"/>
  <c r="Y17" i="6"/>
  <c r="P17" i="6"/>
  <c r="Q17" i="6" s="1"/>
  <c r="O17" i="6"/>
  <c r="AA16" i="6"/>
  <c r="Q16" i="6"/>
  <c r="C16" i="6"/>
  <c r="B16" i="6"/>
  <c r="AA15" i="6"/>
  <c r="Q15" i="6"/>
  <c r="Z14" i="6"/>
  <c r="AA14" i="6" s="1"/>
  <c r="Y14" i="6"/>
  <c r="P14" i="6"/>
  <c r="O14" i="6"/>
  <c r="AA13" i="6"/>
  <c r="Z13" i="6"/>
  <c r="Y13" i="6"/>
  <c r="P13" i="6"/>
  <c r="Q13" i="6" s="1"/>
  <c r="O13" i="6"/>
  <c r="AA12" i="6"/>
  <c r="Q12" i="6"/>
  <c r="BP11" i="6"/>
  <c r="BP15" i="6" s="1"/>
  <c r="BP19" i="6" s="1"/>
  <c r="BP25" i="6" s="1"/>
  <c r="BP32" i="6" s="1"/>
  <c r="BP40" i="6" s="1"/>
  <c r="AA11" i="6"/>
  <c r="Z11" i="6"/>
  <c r="Y11" i="6"/>
  <c r="Q11" i="6"/>
  <c r="P11" i="6"/>
  <c r="O11" i="6"/>
  <c r="BL10" i="6"/>
  <c r="BP30" i="6" s="1"/>
  <c r="BP37" i="6" s="1"/>
  <c r="BP45" i="6" s="1"/>
  <c r="Z10" i="6"/>
  <c r="AA10" i="6" s="1"/>
  <c r="Y10" i="6"/>
  <c r="P10" i="6"/>
  <c r="O10" i="6"/>
  <c r="BL9" i="6"/>
  <c r="BP23" i="6" s="1"/>
  <c r="BP29" i="6" s="1"/>
  <c r="BP36" i="6" s="1"/>
  <c r="BP44" i="6" s="1"/>
  <c r="AA9" i="6"/>
  <c r="Z9" i="6"/>
  <c r="Y9" i="6"/>
  <c r="P9" i="6"/>
  <c r="Q9" i="6" s="1"/>
  <c r="O9" i="6"/>
  <c r="Z8" i="6"/>
  <c r="Y8" i="6"/>
  <c r="AA8" i="6" s="1"/>
  <c r="Q8" i="6"/>
  <c r="P8" i="6"/>
  <c r="O8" i="6"/>
  <c r="BL7" i="6"/>
  <c r="BP13" i="6" s="1"/>
  <c r="BP17" i="6" s="1"/>
  <c r="BP21" i="6" s="1"/>
  <c r="Z7" i="6"/>
  <c r="AA7" i="6" s="1"/>
  <c r="P7" i="6"/>
  <c r="Q7" i="6" s="1"/>
  <c r="BP6" i="6"/>
  <c r="BP8" i="6" s="1"/>
  <c r="BL6" i="6"/>
  <c r="BP9" i="6" s="1"/>
  <c r="BP12" i="6" s="1"/>
  <c r="BP16" i="6" s="1"/>
  <c r="BP20" i="6" s="1"/>
  <c r="BP26" i="6" s="1"/>
  <c r="BP33" i="6" s="1"/>
  <c r="BP41" i="6" s="1"/>
  <c r="AA6" i="6"/>
  <c r="Z6" i="6"/>
  <c r="Y6" i="6"/>
  <c r="P6" i="6"/>
  <c r="O6" i="6"/>
  <c r="BP5" i="6"/>
  <c r="BP7" i="6" s="1"/>
  <c r="BP10" i="6" s="1"/>
  <c r="BP14" i="6" s="1"/>
  <c r="BH49" i="6" s="1"/>
  <c r="BP24" i="6" s="1"/>
  <c r="BP31" i="6" s="1"/>
  <c r="BP39" i="6" s="1"/>
  <c r="BL14" i="6" s="1"/>
  <c r="Z5" i="6"/>
  <c r="AA5" i="6" s="1"/>
  <c r="Y5" i="6"/>
  <c r="Q5" i="6"/>
  <c r="P5" i="6"/>
  <c r="O5" i="6"/>
  <c r="K3" i="6"/>
  <c r="D3" i="6"/>
  <c r="K1" i="6" s="1"/>
  <c r="AE2" i="6"/>
  <c r="U2" i="6"/>
  <c r="S2" i="6"/>
  <c r="K2" i="6"/>
  <c r="G2" i="6"/>
  <c r="V1" i="6"/>
  <c r="S1" i="6"/>
  <c r="BF48" i="5"/>
  <c r="BF47" i="5"/>
  <c r="BF46" i="5"/>
  <c r="BF45" i="5"/>
  <c r="BE45" i="5"/>
  <c r="BF44" i="5"/>
  <c r="BE44" i="5"/>
  <c r="BD44" i="5"/>
  <c r="BE43" i="5"/>
  <c r="BD43" i="5"/>
  <c r="BC43" i="5"/>
  <c r="BE42" i="5"/>
  <c r="BF43" i="5" s="1"/>
  <c r="BD42" i="5"/>
  <c r="BC42" i="5"/>
  <c r="BF41" i="5"/>
  <c r="BE41" i="5"/>
  <c r="BF42" i="5" s="1"/>
  <c r="BD41" i="5"/>
  <c r="BC41" i="5"/>
  <c r="BF40" i="5"/>
  <c r="BE40" i="5"/>
  <c r="BD40" i="5"/>
  <c r="BC40" i="5"/>
  <c r="BC39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BH34" i="5"/>
  <c r="BH40" i="5" s="1"/>
  <c r="BH45" i="5" s="1"/>
  <c r="BH50" i="5" s="1"/>
  <c r="BF34" i="5"/>
  <c r="BF33" i="5"/>
  <c r="C33" i="5"/>
  <c r="B33" i="5"/>
  <c r="C32" i="5"/>
  <c r="B32" i="5"/>
  <c r="BE31" i="5"/>
  <c r="BF32" i="5" s="1"/>
  <c r="BH30" i="5"/>
  <c r="BH37" i="5" s="1"/>
  <c r="BH43" i="5" s="1"/>
  <c r="BH48" i="5" s="1"/>
  <c r="BH53" i="5" s="1"/>
  <c r="BH56" i="5" s="1"/>
  <c r="BH58" i="5" s="1"/>
  <c r="BH59" i="5" s="1"/>
  <c r="BF30" i="5"/>
  <c r="BE30" i="5"/>
  <c r="BF31" i="5" s="1"/>
  <c r="BD30" i="5"/>
  <c r="E30" i="5"/>
  <c r="D30" i="5"/>
  <c r="BH29" i="5"/>
  <c r="BH36" i="5" s="1"/>
  <c r="BH42" i="5" s="1"/>
  <c r="BH47" i="5" s="1"/>
  <c r="BH52" i="5" s="1"/>
  <c r="BH55" i="5" s="1"/>
  <c r="BH57" i="5" s="1"/>
  <c r="BL13" i="5" s="1"/>
  <c r="BE29" i="5"/>
  <c r="BD29" i="5"/>
  <c r="BC29" i="5"/>
  <c r="C29" i="5"/>
  <c r="B29" i="5"/>
  <c r="BH28" i="5"/>
  <c r="BH35" i="5" s="1"/>
  <c r="BH41" i="5" s="1"/>
  <c r="BH46" i="5" s="1"/>
  <c r="BH51" i="5" s="1"/>
  <c r="BH54" i="5" s="1"/>
  <c r="BL12" i="5" s="1"/>
  <c r="BP47" i="5" s="1"/>
  <c r="BE28" i="5"/>
  <c r="BF29" i="5" s="1"/>
  <c r="BD28" i="5"/>
  <c r="BC28" i="5"/>
  <c r="BH27" i="5"/>
  <c r="BF27" i="5"/>
  <c r="BE27" i="5"/>
  <c r="BF28" i="5" s="1"/>
  <c r="BD27" i="5"/>
  <c r="BC27" i="5"/>
  <c r="C27" i="5"/>
  <c r="B27" i="5"/>
  <c r="BH26" i="5"/>
  <c r="BH33" i="5" s="1"/>
  <c r="BH39" i="5" s="1"/>
  <c r="BH44" i="5" s="1"/>
  <c r="BL10" i="5" s="1"/>
  <c r="BP30" i="5" s="1"/>
  <c r="BP37" i="5" s="1"/>
  <c r="BP45" i="5" s="1"/>
  <c r="BF26" i="5"/>
  <c r="BE26" i="5"/>
  <c r="BD26" i="5"/>
  <c r="BC26" i="5"/>
  <c r="E26" i="5"/>
  <c r="E27" i="5" s="1"/>
  <c r="D26" i="5"/>
  <c r="D27" i="5" s="1"/>
  <c r="D23" i="5" s="1"/>
  <c r="C26" i="5"/>
  <c r="B26" i="5"/>
  <c r="BH25" i="5"/>
  <c r="BH32" i="5" s="1"/>
  <c r="BH38" i="5" s="1"/>
  <c r="BC25" i="5"/>
  <c r="E25" i="5"/>
  <c r="D25" i="5"/>
  <c r="C25" i="5"/>
  <c r="C31" i="5" s="1"/>
  <c r="W39" i="5" s="1"/>
  <c r="B25" i="5"/>
  <c r="BH24" i="5"/>
  <c r="BH31" i="5" s="1"/>
  <c r="BH23" i="5"/>
  <c r="C22" i="5"/>
  <c r="AB18" i="5" s="1"/>
  <c r="B22" i="5"/>
  <c r="R18" i="5" s="1"/>
  <c r="B21" i="5"/>
  <c r="B20" i="5"/>
  <c r="AN19" i="5"/>
  <c r="AI19" i="5" s="1"/>
  <c r="Y19" i="5" s="1"/>
  <c r="AK19" i="5"/>
  <c r="AG19" i="5"/>
  <c r="Z19" i="5"/>
  <c r="P19" i="5"/>
  <c r="AA18" i="5"/>
  <c r="Q18" i="5"/>
  <c r="AN17" i="5"/>
  <c r="AI17" i="5" s="1"/>
  <c r="Y17" i="5" s="1"/>
  <c r="AK17" i="5"/>
  <c r="AG17" i="5"/>
  <c r="Z17" i="5"/>
  <c r="AA17" i="5" s="1"/>
  <c r="AB17" i="5" s="1"/>
  <c r="P17" i="5"/>
  <c r="O17" i="5"/>
  <c r="AA16" i="5"/>
  <c r="AB16" i="5" s="1"/>
  <c r="Q16" i="5"/>
  <c r="R16" i="5" s="1"/>
  <c r="C16" i="5"/>
  <c r="B16" i="5"/>
  <c r="AA15" i="5"/>
  <c r="Q15" i="5"/>
  <c r="AN14" i="5"/>
  <c r="AI14" i="5"/>
  <c r="Z14" i="5"/>
  <c r="Y14" i="5"/>
  <c r="AA14" i="5" s="1"/>
  <c r="AB14" i="5" s="1"/>
  <c r="P14" i="5"/>
  <c r="Q14" i="5" s="1"/>
  <c r="R14" i="5" s="1"/>
  <c r="O14" i="5"/>
  <c r="Z13" i="5"/>
  <c r="P13" i="5"/>
  <c r="AC12" i="5"/>
  <c r="AA12" i="5"/>
  <c r="AB12" i="5" s="1"/>
  <c r="Q12" i="5"/>
  <c r="BL11" i="5"/>
  <c r="BP38" i="5" s="1"/>
  <c r="BP46" i="5" s="1"/>
  <c r="AK11" i="5"/>
  <c r="AG11" i="5"/>
  <c r="Z11" i="5"/>
  <c r="P11" i="5"/>
  <c r="AN10" i="5"/>
  <c r="AI10" i="5" s="1"/>
  <c r="AK10" i="5"/>
  <c r="AG10" i="5"/>
  <c r="Z10" i="5"/>
  <c r="P10" i="5"/>
  <c r="BL9" i="5"/>
  <c r="BP23" i="5" s="1"/>
  <c r="BP29" i="5" s="1"/>
  <c r="BP36" i="5" s="1"/>
  <c r="BP44" i="5" s="1"/>
  <c r="AK9" i="5"/>
  <c r="AN9" i="5" s="1"/>
  <c r="AI9" i="5" s="1"/>
  <c r="Y9" i="5" s="1"/>
  <c r="AG9" i="5"/>
  <c r="Z9" i="5"/>
  <c r="P9" i="5"/>
  <c r="O9" i="5"/>
  <c r="Q9" i="5" s="1"/>
  <c r="R9" i="5" s="1"/>
  <c r="BL8" i="5"/>
  <c r="BP18" i="5" s="1"/>
  <c r="BP22" i="5" s="1"/>
  <c r="BP28" i="5" s="1"/>
  <c r="BP35" i="5" s="1"/>
  <c r="BP43" i="5" s="1"/>
  <c r="AK8" i="5"/>
  <c r="AN8" i="5" s="1"/>
  <c r="AI8" i="5"/>
  <c r="O8" i="5" s="1"/>
  <c r="AG8" i="5"/>
  <c r="Z8" i="5"/>
  <c r="P8" i="5"/>
  <c r="Q8" i="5" s="1"/>
  <c r="R8" i="5" s="1"/>
  <c r="BL7" i="5"/>
  <c r="BP13" i="5" s="1"/>
  <c r="BP17" i="5" s="1"/>
  <c r="BP21" i="5" s="1"/>
  <c r="BP27" i="5" s="1"/>
  <c r="BP34" i="5" s="1"/>
  <c r="BP42" i="5" s="1"/>
  <c r="AB7" i="5"/>
  <c r="Z7" i="5"/>
  <c r="AA7" i="5" s="1"/>
  <c r="P7" i="5"/>
  <c r="Q7" i="5" s="1"/>
  <c r="R7" i="5" s="1"/>
  <c r="S7" i="5" s="1"/>
  <c r="BP6" i="5"/>
  <c r="BP8" i="5" s="1"/>
  <c r="BP11" i="5" s="1"/>
  <c r="BP15" i="5" s="1"/>
  <c r="BP19" i="5" s="1"/>
  <c r="BP25" i="5" s="1"/>
  <c r="BP32" i="5" s="1"/>
  <c r="BP40" i="5" s="1"/>
  <c r="BL6" i="5"/>
  <c r="BP9" i="5" s="1"/>
  <c r="BP12" i="5" s="1"/>
  <c r="BP16" i="5" s="1"/>
  <c r="BP20" i="5" s="1"/>
  <c r="BP26" i="5" s="1"/>
  <c r="BP33" i="5" s="1"/>
  <c r="BP41" i="5" s="1"/>
  <c r="AK6" i="5"/>
  <c r="AN6" i="5" s="1"/>
  <c r="AI6" i="5" s="1"/>
  <c r="AG6" i="5"/>
  <c r="Z6" i="5"/>
  <c r="P6" i="5"/>
  <c r="BP5" i="5"/>
  <c r="BP7" i="5" s="1"/>
  <c r="BP10" i="5" s="1"/>
  <c r="BP14" i="5" s="1"/>
  <c r="BH49" i="5" s="1"/>
  <c r="BP24" i="5" s="1"/>
  <c r="BP31" i="5" s="1"/>
  <c r="BP39" i="5" s="1"/>
  <c r="BL14" i="5" s="1"/>
  <c r="AN5" i="5"/>
  <c r="AI5" i="5" s="1"/>
  <c r="AK5" i="5"/>
  <c r="AG5" i="5"/>
  <c r="Z5" i="5"/>
  <c r="P5" i="5"/>
  <c r="D3" i="5"/>
  <c r="AI2" i="5"/>
  <c r="S2" i="5"/>
  <c r="R12" i="5" s="1"/>
  <c r="S1" i="5"/>
  <c r="BF48" i="4"/>
  <c r="BF47" i="4"/>
  <c r="BF45" i="4"/>
  <c r="BE45" i="4"/>
  <c r="BF46" i="4" s="1"/>
  <c r="BF44" i="4"/>
  <c r="BE44" i="4"/>
  <c r="BD44" i="4"/>
  <c r="BH43" i="4"/>
  <c r="BH48" i="4" s="1"/>
  <c r="BH53" i="4" s="1"/>
  <c r="BH56" i="4" s="1"/>
  <c r="BH58" i="4" s="1"/>
  <c r="BH59" i="4" s="1"/>
  <c r="BE43" i="4"/>
  <c r="BD43" i="4"/>
  <c r="BC43" i="4"/>
  <c r="BE42" i="4"/>
  <c r="BF43" i="4" s="1"/>
  <c r="BD42" i="4"/>
  <c r="BC42" i="4"/>
  <c r="BF41" i="4"/>
  <c r="BE41" i="4"/>
  <c r="BF42" i="4" s="1"/>
  <c r="BD41" i="4"/>
  <c r="BC41" i="4"/>
  <c r="BF40" i="4"/>
  <c r="BE40" i="4"/>
  <c r="BD40" i="4"/>
  <c r="BC40" i="4"/>
  <c r="BH39" i="4"/>
  <c r="BH44" i="4" s="1"/>
  <c r="BL10" i="4" s="1"/>
  <c r="BP30" i="4" s="1"/>
  <c r="BP37" i="4" s="1"/>
  <c r="BP45" i="4" s="1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H36" i="4"/>
  <c r="BH42" i="4" s="1"/>
  <c r="BH47" i="4" s="1"/>
  <c r="BH52" i="4" s="1"/>
  <c r="BH55" i="4" s="1"/>
  <c r="BH57" i="4" s="1"/>
  <c r="BL13" i="4" s="1"/>
  <c r="BH35" i="4"/>
  <c r="BH41" i="4" s="1"/>
  <c r="BH46" i="4" s="1"/>
  <c r="BH51" i="4" s="1"/>
  <c r="BH54" i="4" s="1"/>
  <c r="BL12" i="4" s="1"/>
  <c r="BP47" i="4" s="1"/>
  <c r="BH34" i="4"/>
  <c r="BH40" i="4" s="1"/>
  <c r="BH45" i="4" s="1"/>
  <c r="BH50" i="4" s="1"/>
  <c r="BF34" i="4"/>
  <c r="BF33" i="4"/>
  <c r="C33" i="4"/>
  <c r="B33" i="4"/>
  <c r="C32" i="4"/>
  <c r="B32" i="4"/>
  <c r="BE31" i="4"/>
  <c r="BF32" i="4" s="1"/>
  <c r="BH30" i="4"/>
  <c r="BH37" i="4" s="1"/>
  <c r="BF30" i="4"/>
  <c r="BE30" i="4"/>
  <c r="BF31" i="4" s="1"/>
  <c r="BD30" i="4"/>
  <c r="E30" i="4"/>
  <c r="D30" i="4"/>
  <c r="BH29" i="4"/>
  <c r="BE29" i="4"/>
  <c r="BD29" i="4"/>
  <c r="BC29" i="4"/>
  <c r="C29" i="4"/>
  <c r="B29" i="4"/>
  <c r="BH28" i="4"/>
  <c r="BE28" i="4"/>
  <c r="BF29" i="4" s="1"/>
  <c r="BD28" i="4"/>
  <c r="BC28" i="4"/>
  <c r="BH27" i="4"/>
  <c r="BF27" i="4"/>
  <c r="BE27" i="4"/>
  <c r="BF28" i="4" s="1"/>
  <c r="BD27" i="4"/>
  <c r="BC27" i="4"/>
  <c r="E27" i="4"/>
  <c r="E23" i="4" s="1"/>
  <c r="C27" i="4"/>
  <c r="B27" i="4"/>
  <c r="BH26" i="4"/>
  <c r="BH33" i="4" s="1"/>
  <c r="BF26" i="4"/>
  <c r="BE26" i="4"/>
  <c r="BD26" i="4"/>
  <c r="BC26" i="4"/>
  <c r="E26" i="4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B22" i="4"/>
  <c r="C22" i="4" s="1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C16" i="4"/>
  <c r="B16" i="4"/>
  <c r="AG15" i="4"/>
  <c r="Z15" i="4"/>
  <c r="P15" i="4"/>
  <c r="AL14" i="4"/>
  <c r="AG14" i="4" s="1"/>
  <c r="AN14" i="4" s="1"/>
  <c r="AH14" i="4"/>
  <c r="AK14" i="4" s="1"/>
  <c r="Z14" i="4"/>
  <c r="P14" i="4"/>
  <c r="Z13" i="4"/>
  <c r="P13" i="4"/>
  <c r="BP12" i="4"/>
  <c r="BP16" i="4" s="1"/>
  <c r="BP20" i="4" s="1"/>
  <c r="BP26" i="4" s="1"/>
  <c r="BP33" i="4" s="1"/>
  <c r="BP41" i="4" s="1"/>
  <c r="AO12" i="4"/>
  <c r="AL12" i="4"/>
  <c r="AK12" i="4"/>
  <c r="AH12" i="4"/>
  <c r="AG12" i="4"/>
  <c r="AN12" i="4" s="1"/>
  <c r="Z12" i="4"/>
  <c r="P12" i="4"/>
  <c r="BL11" i="4"/>
  <c r="BP38" i="4" s="1"/>
  <c r="BP46" i="4" s="1"/>
  <c r="AO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P9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Z8" i="4"/>
  <c r="P8" i="4"/>
  <c r="BP7" i="4"/>
  <c r="BP10" i="4" s="1"/>
  <c r="BP14" i="4" s="1"/>
  <c r="BH49" i="4" s="1"/>
  <c r="BP24" i="4" s="1"/>
  <c r="BP31" i="4" s="1"/>
  <c r="BP39" i="4" s="1"/>
  <c r="BL14" i="4" s="1"/>
  <c r="AL7" i="4"/>
  <c r="AK7" i="4"/>
  <c r="AH7" i="4"/>
  <c r="AG7" i="4"/>
  <c r="AN7" i="4" s="1"/>
  <c r="Z7" i="4"/>
  <c r="P7" i="4"/>
  <c r="BP6" i="4"/>
  <c r="BL6" i="4"/>
  <c r="AO6" i="4"/>
  <c r="AL6" i="4"/>
  <c r="AK6" i="4"/>
  <c r="AH6" i="4"/>
  <c r="AG6" i="4"/>
  <c r="Z6" i="4"/>
  <c r="P6" i="4"/>
  <c r="BP5" i="4"/>
  <c r="AO5" i="4"/>
  <c r="AL5" i="4"/>
  <c r="AK5" i="4"/>
  <c r="AH5" i="4"/>
  <c r="AG5" i="4"/>
  <c r="AN5" i="4" s="1"/>
  <c r="Z5" i="4"/>
  <c r="P5" i="4"/>
  <c r="AM3" i="4"/>
  <c r="D3" i="4"/>
  <c r="K3" i="4" s="1"/>
  <c r="G2" i="4"/>
  <c r="K1" i="4"/>
  <c r="G1" i="4"/>
  <c r="R47" i="20" l="1"/>
  <c r="T10" i="20"/>
  <c r="X10" i="20" s="1"/>
  <c r="AA9" i="20" s="1"/>
  <c r="R40" i="20"/>
  <c r="T14" i="20"/>
  <c r="X14" i="20" s="1"/>
  <c r="AA13" i="20" s="1"/>
  <c r="T4" i="20"/>
  <c r="R45" i="20"/>
  <c r="R46" i="20"/>
  <c r="R48" i="20"/>
  <c r="T12" i="20"/>
  <c r="X12" i="20" s="1"/>
  <c r="AA11" i="20" s="1"/>
  <c r="R43" i="20"/>
  <c r="N37" i="20"/>
  <c r="U6" i="20"/>
  <c r="Y6" i="20" s="1"/>
  <c r="AG6" i="20" s="1"/>
  <c r="U5" i="20"/>
  <c r="Y5" i="20" s="1"/>
  <c r="AG5" i="20" s="1"/>
  <c r="AH5" i="20" s="1"/>
  <c r="T8" i="20"/>
  <c r="X8" i="20" s="1"/>
  <c r="AA7" i="20" s="1"/>
  <c r="AB7" i="20" s="1"/>
  <c r="T9" i="20"/>
  <c r="X9" i="20" s="1"/>
  <c r="AA8" i="20" s="1"/>
  <c r="AB8" i="20" s="1"/>
  <c r="T15" i="20"/>
  <c r="X15" i="20" s="1"/>
  <c r="AA14" i="20" s="1"/>
  <c r="AB14" i="20" s="1"/>
  <c r="U15" i="20"/>
  <c r="Y15" i="20" s="1"/>
  <c r="AG15" i="20" s="1"/>
  <c r="AH15" i="20" s="1"/>
  <c r="U11" i="20"/>
  <c r="Y11" i="20" s="1"/>
  <c r="AG11" i="20" s="1"/>
  <c r="AH11" i="20" s="1"/>
  <c r="T11" i="20"/>
  <c r="X11" i="20" s="1"/>
  <c r="AA10" i="20" s="1"/>
  <c r="AB10" i="20" s="1"/>
  <c r="AH14" i="20"/>
  <c r="AH13" i="20"/>
  <c r="R30" i="20"/>
  <c r="R29" i="20"/>
  <c r="R28" i="20"/>
  <c r="R27" i="20"/>
  <c r="R25" i="20"/>
  <c r="P23" i="20"/>
  <c r="R39" i="20"/>
  <c r="P37" i="20"/>
  <c r="X4" i="20"/>
  <c r="AH12" i="20"/>
  <c r="AB12" i="20"/>
  <c r="AH9" i="20"/>
  <c r="AB4" i="20"/>
  <c r="Y4" i="20"/>
  <c r="T7" i="20"/>
  <c r="X7" i="20" s="1"/>
  <c r="AA6" i="20" s="1"/>
  <c r="U7" i="20"/>
  <c r="Y7" i="20" s="1"/>
  <c r="AG7" i="20" s="1"/>
  <c r="R26" i="20"/>
  <c r="R42" i="20"/>
  <c r="S2" i="20"/>
  <c r="AB9" i="20"/>
  <c r="AH8" i="20"/>
  <c r="R44" i="20"/>
  <c r="AH10" i="20"/>
  <c r="AH6" i="20"/>
  <c r="AB11" i="20"/>
  <c r="AB13" i="20"/>
  <c r="AB5" i="20"/>
  <c r="N44" i="19"/>
  <c r="P44" i="19" s="1"/>
  <c r="N42" i="19"/>
  <c r="P42" i="19" s="1"/>
  <c r="N39" i="19"/>
  <c r="N40" i="19"/>
  <c r="P40" i="19" s="1"/>
  <c r="R34" i="19"/>
  <c r="N23" i="19"/>
  <c r="T23" i="19"/>
  <c r="P26" i="19"/>
  <c r="R31" i="19" s="1"/>
  <c r="R32" i="19"/>
  <c r="AB8" i="19"/>
  <c r="U11" i="19"/>
  <c r="Y11" i="19" s="1"/>
  <c r="AG11" i="19" s="1"/>
  <c r="T11" i="19"/>
  <c r="X11" i="19" s="1"/>
  <c r="AA10" i="19" s="1"/>
  <c r="U5" i="19"/>
  <c r="Y5" i="19" s="1"/>
  <c r="AG5" i="19" s="1"/>
  <c r="T5" i="19"/>
  <c r="X5" i="19" s="1"/>
  <c r="AA4" i="19" s="1"/>
  <c r="U7" i="19"/>
  <c r="Y7" i="19" s="1"/>
  <c r="AG7" i="19" s="1"/>
  <c r="T7" i="19"/>
  <c r="X7" i="19" s="1"/>
  <c r="AA6" i="19" s="1"/>
  <c r="T15" i="19"/>
  <c r="X15" i="19" s="1"/>
  <c r="AA14" i="19" s="1"/>
  <c r="U15" i="19"/>
  <c r="Y15" i="19" s="1"/>
  <c r="AG15" i="19" s="1"/>
  <c r="U6" i="19"/>
  <c r="Y6" i="19" s="1"/>
  <c r="AG6" i="19" s="1"/>
  <c r="T6" i="19"/>
  <c r="X6" i="19" s="1"/>
  <c r="AA5" i="19" s="1"/>
  <c r="T4" i="19"/>
  <c r="S2" i="19"/>
  <c r="U4" i="19"/>
  <c r="AH9" i="19"/>
  <c r="R47" i="19"/>
  <c r="R49" i="19"/>
  <c r="R48" i="19"/>
  <c r="U8" i="19"/>
  <c r="Y8" i="19" s="1"/>
  <c r="AG8" i="19" s="1"/>
  <c r="T8" i="19"/>
  <c r="X8" i="19" s="1"/>
  <c r="AA7" i="19" s="1"/>
  <c r="U14" i="19"/>
  <c r="Y14" i="19" s="1"/>
  <c r="AG14" i="19" s="1"/>
  <c r="T14" i="19"/>
  <c r="X14" i="19" s="1"/>
  <c r="AA13" i="19" s="1"/>
  <c r="U12" i="19"/>
  <c r="Y12" i="19" s="1"/>
  <c r="AG12" i="19" s="1"/>
  <c r="T12" i="19"/>
  <c r="X12" i="19" s="1"/>
  <c r="AA11" i="19" s="1"/>
  <c r="U13" i="19"/>
  <c r="Y13" i="19" s="1"/>
  <c r="AG13" i="19" s="1"/>
  <c r="T13" i="19"/>
  <c r="X13" i="19" s="1"/>
  <c r="AA12" i="19" s="1"/>
  <c r="U10" i="19"/>
  <c r="Y10" i="19" s="1"/>
  <c r="AG10" i="19" s="1"/>
  <c r="T10" i="19"/>
  <c r="X10" i="19" s="1"/>
  <c r="AA9" i="19" s="1"/>
  <c r="R25" i="19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AG13" i="4"/>
  <c r="AK15" i="4"/>
  <c r="AG16" i="4"/>
  <c r="AN16" i="4" s="1"/>
  <c r="AK13" i="4"/>
  <c r="AK16" i="4"/>
  <c r="AN11" i="4"/>
  <c r="AN8" i="4"/>
  <c r="AN6" i="4"/>
  <c r="C31" i="4"/>
  <c r="W39" i="4" s="1"/>
  <c r="S9" i="5"/>
  <c r="S8" i="5"/>
  <c r="O6" i="5"/>
  <c r="Y6" i="5"/>
  <c r="S18" i="5"/>
  <c r="AC18" i="5"/>
  <c r="AA8" i="5"/>
  <c r="AB8" i="5" s="1"/>
  <c r="B23" i="4"/>
  <c r="C23" i="4" s="1"/>
  <c r="D27" i="4"/>
  <c r="B31" i="4" s="1"/>
  <c r="K2" i="5"/>
  <c r="G2" i="5"/>
  <c r="K3" i="5"/>
  <c r="K1" i="5"/>
  <c r="G3" i="5"/>
  <c r="G1" i="5"/>
  <c r="AN9" i="4"/>
  <c r="AN19" i="4"/>
  <c r="AN13" i="4"/>
  <c r="S14" i="5"/>
  <c r="AN15" i="4"/>
  <c r="AC7" i="5"/>
  <c r="S16" i="5"/>
  <c r="AC16" i="5"/>
  <c r="AN10" i="4"/>
  <c r="AN17" i="4"/>
  <c r="AN18" i="4"/>
  <c r="AI13" i="5"/>
  <c r="Q6" i="5"/>
  <c r="R6" i="5" s="1"/>
  <c r="Y8" i="5"/>
  <c r="Q19" i="5"/>
  <c r="R19" i="5" s="1"/>
  <c r="C23" i="5"/>
  <c r="T33" i="5" s="1"/>
  <c r="K2" i="4"/>
  <c r="Y5" i="5"/>
  <c r="AA5" i="5" s="1"/>
  <c r="AB5" i="5" s="1"/>
  <c r="O5" i="5"/>
  <c r="Q5" i="5" s="1"/>
  <c r="R5" i="5" s="1"/>
  <c r="AA6" i="5"/>
  <c r="AB6" i="5" s="1"/>
  <c r="Z18" i="4"/>
  <c r="AA9" i="5"/>
  <c r="AB9" i="5" s="1"/>
  <c r="O10" i="5"/>
  <c r="Q10" i="5" s="1"/>
  <c r="R10" i="5" s="1"/>
  <c r="Y10" i="5"/>
  <c r="AA10" i="5" s="1"/>
  <c r="AB10" i="5" s="1"/>
  <c r="G3" i="4"/>
  <c r="P18" i="4"/>
  <c r="AC14" i="5"/>
  <c r="S12" i="5"/>
  <c r="AN11" i="5"/>
  <c r="AI11" i="5" s="1"/>
  <c r="AC17" i="5"/>
  <c r="B23" i="6"/>
  <c r="T43" i="6" s="1"/>
  <c r="R15" i="5"/>
  <c r="O19" i="5"/>
  <c r="L1" i="6"/>
  <c r="B31" i="6"/>
  <c r="W25" i="6" s="1"/>
  <c r="AB15" i="5"/>
  <c r="Q17" i="5"/>
  <c r="R17" i="5" s="1"/>
  <c r="Q6" i="6"/>
  <c r="B23" i="5"/>
  <c r="B31" i="5"/>
  <c r="W25" i="5" s="1"/>
  <c r="T28" i="5"/>
  <c r="T27" i="5"/>
  <c r="T34" i="5"/>
  <c r="T30" i="5"/>
  <c r="T29" i="5"/>
  <c r="AA19" i="5"/>
  <c r="AB19" i="5" s="1"/>
  <c r="T46" i="5"/>
  <c r="T41" i="5"/>
  <c r="T47" i="5"/>
  <c r="E23" i="5"/>
  <c r="BF29" i="7"/>
  <c r="BF28" i="7"/>
  <c r="G3" i="6"/>
  <c r="Q14" i="6"/>
  <c r="G1" i="6"/>
  <c r="H1" i="6" s="1"/>
  <c r="H1" i="7"/>
  <c r="Q10" i="6"/>
  <c r="AA19" i="6"/>
  <c r="D23" i="6"/>
  <c r="T46" i="6"/>
  <c r="T45" i="6"/>
  <c r="T49" i="6"/>
  <c r="T39" i="6"/>
  <c r="AA10" i="7"/>
  <c r="K1" i="7"/>
  <c r="L1" i="7" s="1"/>
  <c r="B23" i="7"/>
  <c r="BF45" i="7"/>
  <c r="G3" i="7"/>
  <c r="BF44" i="7"/>
  <c r="T39" i="7"/>
  <c r="T37" i="7" s="1"/>
  <c r="T46" i="7"/>
  <c r="K1" i="8"/>
  <c r="L1" i="8" s="1"/>
  <c r="Q5" i="8"/>
  <c r="Q11" i="8"/>
  <c r="B23" i="8"/>
  <c r="T43" i="8" s="1"/>
  <c r="G3" i="8"/>
  <c r="H1" i="8" s="1"/>
  <c r="T42" i="8"/>
  <c r="T39" i="8"/>
  <c r="T46" i="8"/>
  <c r="BF29" i="8"/>
  <c r="V41" i="20" l="1"/>
  <c r="AC41" i="20" s="1"/>
  <c r="V40" i="20"/>
  <c r="AA40" i="20" s="1"/>
  <c r="V26" i="20"/>
  <c r="AA26" i="20" s="1"/>
  <c r="V42" i="20"/>
  <c r="AE41" i="20" s="1"/>
  <c r="T2" i="20"/>
  <c r="V27" i="20"/>
  <c r="AC25" i="20" s="1"/>
  <c r="V28" i="20"/>
  <c r="X2" i="20"/>
  <c r="AH7" i="20"/>
  <c r="AG4" i="20"/>
  <c r="Y2" i="20"/>
  <c r="AB6" i="20"/>
  <c r="AD8" i="20" s="1"/>
  <c r="AD6" i="20"/>
  <c r="AC6" i="20"/>
  <c r="U2" i="20"/>
  <c r="AC40" i="20"/>
  <c r="AC39" i="20"/>
  <c r="R37" i="20"/>
  <c r="V39" i="20"/>
  <c r="V43" i="20"/>
  <c r="V48" i="20"/>
  <c r="V45" i="20"/>
  <c r="V46" i="20"/>
  <c r="V47" i="20"/>
  <c r="V44" i="20"/>
  <c r="R23" i="20"/>
  <c r="V25" i="20"/>
  <c r="V33" i="20"/>
  <c r="V29" i="20"/>
  <c r="V34" i="20"/>
  <c r="V30" i="20"/>
  <c r="V32" i="20"/>
  <c r="V31" i="20"/>
  <c r="R29" i="19"/>
  <c r="N37" i="19"/>
  <c r="R45" i="19"/>
  <c r="P39" i="19"/>
  <c r="R42" i="19" s="1"/>
  <c r="R46" i="19"/>
  <c r="R27" i="19"/>
  <c r="R30" i="19"/>
  <c r="P23" i="19"/>
  <c r="R28" i="19"/>
  <c r="R26" i="19"/>
  <c r="V26" i="19" s="1"/>
  <c r="AA26" i="19" s="1"/>
  <c r="AH15" i="19"/>
  <c r="AB13" i="19"/>
  <c r="T2" i="19"/>
  <c r="X4" i="19"/>
  <c r="X2" i="19" s="1"/>
  <c r="AB12" i="19"/>
  <c r="AB5" i="19"/>
  <c r="AB14" i="19"/>
  <c r="AB9" i="19"/>
  <c r="AB6" i="19"/>
  <c r="AH14" i="19"/>
  <c r="V25" i="19"/>
  <c r="AH13" i="19"/>
  <c r="AB7" i="19"/>
  <c r="AH6" i="19"/>
  <c r="AB4" i="19"/>
  <c r="AH8" i="19"/>
  <c r="AH5" i="19"/>
  <c r="AB11" i="19"/>
  <c r="R39" i="19"/>
  <c r="AB10" i="19"/>
  <c r="AH12" i="19"/>
  <c r="U2" i="19"/>
  <c r="Y4" i="19"/>
  <c r="AH11" i="19"/>
  <c r="AH10" i="19"/>
  <c r="AH7" i="19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34" i="4"/>
  <c r="T31" i="4"/>
  <c r="W25" i="4"/>
  <c r="T46" i="4"/>
  <c r="T45" i="4"/>
  <c r="T49" i="4"/>
  <c r="T42" i="4"/>
  <c r="T47" i="4"/>
  <c r="T44" i="4"/>
  <c r="T40" i="4"/>
  <c r="T48" i="4"/>
  <c r="T39" i="4"/>
  <c r="S10" i="5"/>
  <c r="S19" i="5"/>
  <c r="AC8" i="5"/>
  <c r="B34" i="7"/>
  <c r="T47" i="7"/>
  <c r="B24" i="7"/>
  <c r="T40" i="7"/>
  <c r="T44" i="7"/>
  <c r="T40" i="8"/>
  <c r="M1" i="7"/>
  <c r="M2" i="7" s="1"/>
  <c r="T41" i="6"/>
  <c r="T43" i="5"/>
  <c r="T25" i="5"/>
  <c r="T23" i="5" s="1"/>
  <c r="B24" i="5"/>
  <c r="B34" i="5"/>
  <c r="T39" i="5"/>
  <c r="T37" i="5" s="1"/>
  <c r="T49" i="5"/>
  <c r="T48" i="8"/>
  <c r="T44" i="8"/>
  <c r="T41" i="8"/>
  <c r="T38" i="8"/>
  <c r="T36" i="8" s="1"/>
  <c r="M1" i="8"/>
  <c r="M2" i="8" s="1"/>
  <c r="T49" i="7"/>
  <c r="T48" i="7"/>
  <c r="T45" i="5"/>
  <c r="T31" i="5"/>
  <c r="S6" i="5"/>
  <c r="S15" i="5"/>
  <c r="Y13" i="5"/>
  <c r="AA13" i="5" s="1"/>
  <c r="AB13" i="5" s="1"/>
  <c r="O13" i="5"/>
  <c r="Q13" i="5" s="1"/>
  <c r="R13" i="5" s="1"/>
  <c r="AC10" i="5"/>
  <c r="AD9" i="5" s="1"/>
  <c r="T42" i="7"/>
  <c r="T48" i="5"/>
  <c r="S17" i="5"/>
  <c r="U15" i="5" s="1"/>
  <c r="U17" i="5"/>
  <c r="T17" i="5"/>
  <c r="B34" i="6"/>
  <c r="B24" i="6"/>
  <c r="T40" i="6"/>
  <c r="T44" i="6"/>
  <c r="T37" i="6" s="1"/>
  <c r="AD6" i="5"/>
  <c r="AC6" i="5"/>
  <c r="T45" i="8"/>
  <c r="T47" i="8"/>
  <c r="T45" i="7"/>
  <c r="T42" i="5"/>
  <c r="S5" i="5"/>
  <c r="U14" i="5" s="1"/>
  <c r="T5" i="5"/>
  <c r="T20" i="5" s="1"/>
  <c r="L26" i="5" s="1"/>
  <c r="T43" i="7"/>
  <c r="T47" i="6"/>
  <c r="T42" i="6"/>
  <c r="T40" i="5"/>
  <c r="AC19" i="5"/>
  <c r="T32" i="5"/>
  <c r="AD15" i="5"/>
  <c r="AE15" i="5"/>
  <c r="AC15" i="5"/>
  <c r="C23" i="6"/>
  <c r="AD5" i="5"/>
  <c r="AD20" i="5" s="1"/>
  <c r="L40" i="5" s="1"/>
  <c r="AC5" i="5"/>
  <c r="D23" i="4"/>
  <c r="T41" i="7"/>
  <c r="T48" i="6"/>
  <c r="T44" i="5"/>
  <c r="T26" i="5"/>
  <c r="AC9" i="5"/>
  <c r="B24" i="4"/>
  <c r="B34" i="4"/>
  <c r="T43" i="4"/>
  <c r="T41" i="4"/>
  <c r="AN3" i="4"/>
  <c r="AI9" i="4" s="1"/>
  <c r="B34" i="8"/>
  <c r="B24" i="8"/>
  <c r="C23" i="7"/>
  <c r="M1" i="6"/>
  <c r="M2" i="6" s="1"/>
  <c r="O11" i="5"/>
  <c r="Q11" i="5" s="1"/>
  <c r="R11" i="5" s="1"/>
  <c r="Y11" i="5"/>
  <c r="AA11" i="5" s="1"/>
  <c r="AB11" i="5" s="1"/>
  <c r="C24" i="5"/>
  <c r="T35" i="5"/>
  <c r="C34" i="5"/>
  <c r="C24" i="4"/>
  <c r="T25" i="4"/>
  <c r="C34" i="4"/>
  <c r="T33" i="4"/>
  <c r="T32" i="4"/>
  <c r="T27" i="4"/>
  <c r="T30" i="4"/>
  <c r="T26" i="4"/>
  <c r="T28" i="4"/>
  <c r="T35" i="4"/>
  <c r="T29" i="4"/>
  <c r="C23" i="8"/>
  <c r="U18" i="5"/>
  <c r="AC15" i="20" l="1"/>
  <c r="AE42" i="20"/>
  <c r="AB18" i="20"/>
  <c r="AC27" i="20"/>
  <c r="AC26" i="20"/>
  <c r="AA39" i="20"/>
  <c r="AA37" i="20" s="1"/>
  <c r="AE40" i="20"/>
  <c r="AE39" i="20"/>
  <c r="AA25" i="20"/>
  <c r="AA23" i="20" s="1"/>
  <c r="AD5" i="20"/>
  <c r="AC8" i="20"/>
  <c r="AD7" i="20"/>
  <c r="AD11" i="20"/>
  <c r="AC10" i="20"/>
  <c r="AD10" i="20"/>
  <c r="AD15" i="20"/>
  <c r="AD9" i="20"/>
  <c r="AI29" i="20"/>
  <c r="AI28" i="20"/>
  <c r="AI27" i="20"/>
  <c r="AI26" i="20"/>
  <c r="AI30" i="20"/>
  <c r="AI25" i="20"/>
  <c r="AQ47" i="20"/>
  <c r="AQ41" i="20"/>
  <c r="AQ43" i="20"/>
  <c r="AQ39" i="20"/>
  <c r="AQ42" i="20"/>
  <c r="AQ48" i="20"/>
  <c r="AQ46" i="20"/>
  <c r="AQ40" i="20"/>
  <c r="AQ45" i="20"/>
  <c r="AQ44" i="20"/>
  <c r="AQ28" i="20"/>
  <c r="AQ32" i="20"/>
  <c r="AQ27" i="20"/>
  <c r="AQ25" i="20"/>
  <c r="AQ33" i="20"/>
  <c r="AQ34" i="20"/>
  <c r="AQ31" i="20"/>
  <c r="AQ29" i="20"/>
  <c r="AQ26" i="20"/>
  <c r="AQ30" i="20"/>
  <c r="AG42" i="20"/>
  <c r="AG43" i="20"/>
  <c r="AG40" i="20"/>
  <c r="AG41" i="20"/>
  <c r="AG39" i="20"/>
  <c r="L25" i="20"/>
  <c r="AO28" i="20"/>
  <c r="AO25" i="20"/>
  <c r="AO29" i="20"/>
  <c r="AO26" i="20"/>
  <c r="AO27" i="20"/>
  <c r="AO33" i="20"/>
  <c r="AO30" i="20"/>
  <c r="AO32" i="20"/>
  <c r="AO31" i="20"/>
  <c r="AI43" i="20"/>
  <c r="AI40" i="20"/>
  <c r="AI42" i="20"/>
  <c r="AI44" i="20"/>
  <c r="AI41" i="20"/>
  <c r="AI39" i="20"/>
  <c r="AG26" i="20"/>
  <c r="AG28" i="20"/>
  <c r="AG25" i="20"/>
  <c r="AG29" i="20"/>
  <c r="AG27" i="20"/>
  <c r="V37" i="20"/>
  <c r="V49" i="20" s="1"/>
  <c r="V36" i="20" s="1"/>
  <c r="Y39" i="20"/>
  <c r="AO47" i="20"/>
  <c r="AO43" i="20"/>
  <c r="AO42" i="20"/>
  <c r="AO39" i="20"/>
  <c r="AO44" i="20"/>
  <c r="AO41" i="20"/>
  <c r="AO40" i="20"/>
  <c r="AO45" i="20"/>
  <c r="AO46" i="20"/>
  <c r="AC37" i="20"/>
  <c r="AD12" i="20"/>
  <c r="AD4" i="20"/>
  <c r="AC13" i="20"/>
  <c r="AC5" i="20"/>
  <c r="AC7" i="20"/>
  <c r="AD13" i="20"/>
  <c r="AD14" i="20"/>
  <c r="AC9" i="20"/>
  <c r="AC11" i="20"/>
  <c r="AC4" i="20"/>
  <c r="AC14" i="20"/>
  <c r="Y25" i="20"/>
  <c r="V23" i="20"/>
  <c r="V35" i="20" s="1"/>
  <c r="V22" i="20" s="1"/>
  <c r="AM43" i="20"/>
  <c r="AM44" i="20"/>
  <c r="AM42" i="20"/>
  <c r="AM41" i="20"/>
  <c r="AM46" i="20"/>
  <c r="AM40" i="20"/>
  <c r="AM39" i="20"/>
  <c r="AM45" i="20"/>
  <c r="AK30" i="20"/>
  <c r="AK26" i="20"/>
  <c r="AK29" i="20"/>
  <c r="AK25" i="20"/>
  <c r="AK28" i="20"/>
  <c r="AK31" i="20"/>
  <c r="AK27" i="20"/>
  <c r="AK42" i="20"/>
  <c r="AK43" i="20"/>
  <c r="AK45" i="20"/>
  <c r="AK41" i="20"/>
  <c r="AK44" i="20"/>
  <c r="AK39" i="20"/>
  <c r="AK40" i="20"/>
  <c r="AJ4" i="20"/>
  <c r="AI4" i="20"/>
  <c r="AH4" i="20"/>
  <c r="AE27" i="20"/>
  <c r="AE25" i="20"/>
  <c r="AE26" i="20"/>
  <c r="AE28" i="20"/>
  <c r="AC12" i="20"/>
  <c r="AM25" i="20"/>
  <c r="AM30" i="20"/>
  <c r="AM26" i="20"/>
  <c r="AM28" i="20"/>
  <c r="AM32" i="20"/>
  <c r="AM31" i="20"/>
  <c r="AM29" i="20"/>
  <c r="AM27" i="20"/>
  <c r="R41" i="19"/>
  <c r="P37" i="19"/>
  <c r="R43" i="19"/>
  <c r="R44" i="19"/>
  <c r="R40" i="19"/>
  <c r="V40" i="19" s="1"/>
  <c r="AA39" i="19" s="1"/>
  <c r="V28" i="19"/>
  <c r="AE27" i="19" s="1"/>
  <c r="V30" i="19"/>
  <c r="AI30" i="19" s="1"/>
  <c r="V31" i="19"/>
  <c r="AK27" i="19" s="1"/>
  <c r="V34" i="19"/>
  <c r="AQ26" i="19" s="1"/>
  <c r="V27" i="19"/>
  <c r="AC25" i="19" s="1"/>
  <c r="AD4" i="19"/>
  <c r="AD9" i="19"/>
  <c r="AD5" i="19"/>
  <c r="AD8" i="19"/>
  <c r="AA25" i="19"/>
  <c r="AA23" i="19" s="1"/>
  <c r="AD12" i="19"/>
  <c r="V29" i="19"/>
  <c r="AG28" i="19" s="1"/>
  <c r="AD13" i="19"/>
  <c r="AC7" i="19"/>
  <c r="R23" i="19"/>
  <c r="V33" i="19"/>
  <c r="AO30" i="19" s="1"/>
  <c r="V32" i="19"/>
  <c r="AM25" i="19" s="1"/>
  <c r="AC6" i="19"/>
  <c r="AC4" i="19"/>
  <c r="AC11" i="19"/>
  <c r="AC15" i="19"/>
  <c r="AB18" i="19"/>
  <c r="AD15" i="19"/>
  <c r="AC8" i="19"/>
  <c r="AA40" i="19"/>
  <c r="V39" i="19"/>
  <c r="AC27" i="19"/>
  <c r="AC26" i="19"/>
  <c r="AC10" i="19"/>
  <c r="AC13" i="19"/>
  <c r="AD10" i="19"/>
  <c r="AC14" i="19"/>
  <c r="AC12" i="19"/>
  <c r="Y2" i="19"/>
  <c r="AG4" i="19"/>
  <c r="AD7" i="19"/>
  <c r="AD14" i="19"/>
  <c r="AQ27" i="19"/>
  <c r="AQ33" i="19"/>
  <c r="AD6" i="19"/>
  <c r="AC5" i="19"/>
  <c r="AD11" i="19"/>
  <c r="Y25" i="19"/>
  <c r="AC9" i="19"/>
  <c r="R34" i="10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AI17" i="4"/>
  <c r="O17" i="4" s="1"/>
  <c r="Q17" i="4" s="1"/>
  <c r="R17" i="4" s="1"/>
  <c r="AI13" i="4"/>
  <c r="O13" i="4" s="1"/>
  <c r="Q13" i="4" s="1"/>
  <c r="R13" i="4" s="1"/>
  <c r="Y9" i="4"/>
  <c r="AA9" i="4" s="1"/>
  <c r="AB9" i="4" s="1"/>
  <c r="O9" i="4"/>
  <c r="Q9" i="4" s="1"/>
  <c r="R9" i="4" s="1"/>
  <c r="AE7" i="5"/>
  <c r="N39" i="5"/>
  <c r="N42" i="5"/>
  <c r="P42" i="5" s="1"/>
  <c r="N44" i="5"/>
  <c r="P44" i="5" s="1"/>
  <c r="N40" i="5"/>
  <c r="P40" i="5" s="1"/>
  <c r="N43" i="5"/>
  <c r="P43" i="5" s="1"/>
  <c r="N41" i="5"/>
  <c r="P41" i="5" s="1"/>
  <c r="AE17" i="5"/>
  <c r="AE16" i="5"/>
  <c r="R19" i="6"/>
  <c r="R18" i="6"/>
  <c r="R17" i="6"/>
  <c r="AB14" i="6"/>
  <c r="AB10" i="6"/>
  <c r="AB17" i="6"/>
  <c r="AB15" i="6"/>
  <c r="AB19" i="6"/>
  <c r="AB18" i="6"/>
  <c r="AB16" i="6"/>
  <c r="R16" i="6"/>
  <c r="R14" i="6"/>
  <c r="R10" i="6"/>
  <c r="R7" i="6"/>
  <c r="AB8" i="6"/>
  <c r="AB7" i="6"/>
  <c r="R11" i="6"/>
  <c r="AB9" i="6"/>
  <c r="R5" i="6"/>
  <c r="R12" i="6"/>
  <c r="AB11" i="6"/>
  <c r="R6" i="6"/>
  <c r="AB5" i="6"/>
  <c r="R13" i="6"/>
  <c r="AB13" i="6"/>
  <c r="AB6" i="6"/>
  <c r="R15" i="6"/>
  <c r="AB12" i="6"/>
  <c r="R9" i="6"/>
  <c r="R8" i="6"/>
  <c r="T15" i="5"/>
  <c r="N30" i="5"/>
  <c r="P30" i="5" s="1"/>
  <c r="R35" i="5" s="1"/>
  <c r="N29" i="5"/>
  <c r="P29" i="5" s="1"/>
  <c r="R34" i="5" s="1"/>
  <c r="N26" i="5"/>
  <c r="N28" i="5"/>
  <c r="P28" i="5" s="1"/>
  <c r="N27" i="5"/>
  <c r="P27" i="5" s="1"/>
  <c r="N25" i="5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C34" i="7"/>
  <c r="T26" i="7"/>
  <c r="T28" i="7"/>
  <c r="T27" i="7"/>
  <c r="T25" i="7"/>
  <c r="T23" i="7" s="1"/>
  <c r="C24" i="7"/>
  <c r="T31" i="7"/>
  <c r="T34" i="7"/>
  <c r="T32" i="7"/>
  <c r="T35" i="7"/>
  <c r="T33" i="7"/>
  <c r="T29" i="7"/>
  <c r="T30" i="7"/>
  <c r="AI15" i="4"/>
  <c r="T19" i="5"/>
  <c r="N30" i="4"/>
  <c r="P30" i="4" s="1"/>
  <c r="R35" i="4" s="1"/>
  <c r="N29" i="4"/>
  <c r="P29" i="4" s="1"/>
  <c r="N26" i="4"/>
  <c r="N28" i="4"/>
  <c r="P28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C20" i="5"/>
  <c r="AD14" i="5"/>
  <c r="AD18" i="5"/>
  <c r="AD16" i="5"/>
  <c r="AD12" i="5"/>
  <c r="AD7" i="5"/>
  <c r="AD17" i="5"/>
  <c r="AE18" i="5"/>
  <c r="AD19" i="5"/>
  <c r="AI18" i="4"/>
  <c r="U13" i="5"/>
  <c r="T13" i="5"/>
  <c r="S13" i="5"/>
  <c r="U12" i="5"/>
  <c r="R18" i="7"/>
  <c r="R19" i="7"/>
  <c r="AB12" i="7"/>
  <c r="AB6" i="7"/>
  <c r="AB18" i="7"/>
  <c r="R10" i="7"/>
  <c r="AB7" i="7"/>
  <c r="R5" i="7"/>
  <c r="AB10" i="7"/>
  <c r="AB5" i="7"/>
  <c r="R9" i="7"/>
  <c r="R17" i="7"/>
  <c r="R16" i="7"/>
  <c r="R15" i="7"/>
  <c r="R14" i="7"/>
  <c r="AB15" i="7"/>
  <c r="AB13" i="7"/>
  <c r="AB11" i="7"/>
  <c r="R6" i="7"/>
  <c r="R7" i="7"/>
  <c r="AB17" i="7"/>
  <c r="AB16" i="7"/>
  <c r="AB9" i="7"/>
  <c r="AB8" i="7"/>
  <c r="R12" i="7"/>
  <c r="R11" i="7"/>
  <c r="R13" i="7"/>
  <c r="AB14" i="7"/>
  <c r="AB19" i="7"/>
  <c r="R8" i="7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E13" i="5"/>
  <c r="AD13" i="5"/>
  <c r="AC13" i="5"/>
  <c r="AE12" i="5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N25" i="7"/>
  <c r="N30" i="7"/>
  <c r="P30" i="7" s="1"/>
  <c r="R35" i="7" s="1"/>
  <c r="N29" i="7"/>
  <c r="P29" i="7" s="1"/>
  <c r="R34" i="7" s="1"/>
  <c r="N26" i="7"/>
  <c r="N27" i="7"/>
  <c r="P27" i="7" s="1"/>
  <c r="N28" i="7"/>
  <c r="P28" i="7" s="1"/>
  <c r="R33" i="7" s="1"/>
  <c r="AD11" i="5"/>
  <c r="AC11" i="5"/>
  <c r="AE5" i="5" s="1"/>
  <c r="AE20" i="5" s="1"/>
  <c r="L41" i="5" s="1"/>
  <c r="AE11" i="5"/>
  <c r="AE14" i="5"/>
  <c r="S20" i="5"/>
  <c r="T16" i="5"/>
  <c r="T7" i="5"/>
  <c r="T18" i="5"/>
  <c r="T14" i="5"/>
  <c r="T8" i="5"/>
  <c r="T9" i="5"/>
  <c r="T12" i="5"/>
  <c r="AD8" i="5"/>
  <c r="T37" i="4"/>
  <c r="U16" i="5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S11" i="5"/>
  <c r="T11" i="5"/>
  <c r="U11" i="5"/>
  <c r="C24" i="6"/>
  <c r="T25" i="6"/>
  <c r="C34" i="6"/>
  <c r="T30" i="6"/>
  <c r="T26" i="6"/>
  <c r="T28" i="6"/>
  <c r="T29" i="6"/>
  <c r="T35" i="6"/>
  <c r="T31" i="6"/>
  <c r="T27" i="6"/>
  <c r="T32" i="6"/>
  <c r="T34" i="6"/>
  <c r="T33" i="6"/>
  <c r="U5" i="5"/>
  <c r="U20" i="5" s="1"/>
  <c r="L27" i="5" s="1"/>
  <c r="AE6" i="5"/>
  <c r="N30" i="6"/>
  <c r="P30" i="6" s="1"/>
  <c r="R35" i="6" s="1"/>
  <c r="N29" i="6"/>
  <c r="P29" i="6" s="1"/>
  <c r="N26" i="6"/>
  <c r="N28" i="6"/>
  <c r="P28" i="6" s="1"/>
  <c r="N27" i="6"/>
  <c r="P27" i="6" s="1"/>
  <c r="N25" i="6"/>
  <c r="AE10" i="5"/>
  <c r="T6" i="5"/>
  <c r="AE8" i="5"/>
  <c r="AC23" i="20" l="1"/>
  <c r="AE37" i="20"/>
  <c r="AD18" i="20"/>
  <c r="L27" i="20" s="1"/>
  <c r="AQ29" i="19"/>
  <c r="AQ34" i="19"/>
  <c r="AG37" i="20"/>
  <c r="AK23" i="20"/>
  <c r="AE23" i="20"/>
  <c r="Y23" i="20"/>
  <c r="AK37" i="20"/>
  <c r="Y37" i="20"/>
  <c r="AI37" i="20"/>
  <c r="AI23" i="20"/>
  <c r="AH18" i="20"/>
  <c r="AI15" i="20"/>
  <c r="AJ15" i="20"/>
  <c r="AI11" i="20"/>
  <c r="AJ14" i="20"/>
  <c r="AJ12" i="20"/>
  <c r="AI5" i="20"/>
  <c r="AJ10" i="20"/>
  <c r="AI13" i="20"/>
  <c r="AI10" i="20"/>
  <c r="AI6" i="20"/>
  <c r="AJ13" i="20"/>
  <c r="AI8" i="20"/>
  <c r="AJ6" i="20"/>
  <c r="AI12" i="20"/>
  <c r="AI9" i="20"/>
  <c r="AI14" i="20"/>
  <c r="AJ5" i="20"/>
  <c r="AJ9" i="20"/>
  <c r="AJ11" i="20"/>
  <c r="AJ8" i="20"/>
  <c r="AJ7" i="20"/>
  <c r="AI7" i="20"/>
  <c r="AO37" i="20"/>
  <c r="AM23" i="20"/>
  <c r="AQ23" i="20"/>
  <c r="AC18" i="20"/>
  <c r="AG23" i="20"/>
  <c r="AO23" i="20"/>
  <c r="AS49" i="20"/>
  <c r="J49" i="20" s="1"/>
  <c r="AS39" i="20"/>
  <c r="AS45" i="20"/>
  <c r="J45" i="20" s="1"/>
  <c r="AS42" i="20"/>
  <c r="J42" i="20" s="1"/>
  <c r="AS43" i="20"/>
  <c r="J43" i="20" s="1"/>
  <c r="AS41" i="20"/>
  <c r="J41" i="20" s="1"/>
  <c r="AS40" i="20"/>
  <c r="J40" i="20" s="1"/>
  <c r="AS44" i="20"/>
  <c r="J44" i="20" s="1"/>
  <c r="AS46" i="20"/>
  <c r="J46" i="20" s="1"/>
  <c r="AS47" i="20"/>
  <c r="J47" i="20" s="1"/>
  <c r="AS48" i="20"/>
  <c r="J48" i="20" s="1"/>
  <c r="AM37" i="20"/>
  <c r="AS28" i="20"/>
  <c r="J28" i="20" s="1"/>
  <c r="AS34" i="20"/>
  <c r="J34" i="20" s="1"/>
  <c r="AS27" i="20"/>
  <c r="J27" i="20" s="1"/>
  <c r="AS25" i="20"/>
  <c r="J25" i="20" s="1"/>
  <c r="H25" i="20" s="1"/>
  <c r="AS29" i="20"/>
  <c r="J29" i="20" s="1"/>
  <c r="AS32" i="20"/>
  <c r="J32" i="20" s="1"/>
  <c r="AS26" i="20"/>
  <c r="J26" i="20" s="1"/>
  <c r="AS30" i="20"/>
  <c r="J30" i="20" s="1"/>
  <c r="AS31" i="20"/>
  <c r="J31" i="20" s="1"/>
  <c r="AS33" i="20"/>
  <c r="J33" i="20" s="1"/>
  <c r="AS35" i="20"/>
  <c r="J35" i="20" s="1"/>
  <c r="AQ37" i="20"/>
  <c r="V41" i="19"/>
  <c r="V47" i="19"/>
  <c r="AO45" i="19" s="1"/>
  <c r="V42" i="19"/>
  <c r="AE41" i="19" s="1"/>
  <c r="R37" i="19"/>
  <c r="V46" i="19"/>
  <c r="AM39" i="19" s="1"/>
  <c r="AQ30" i="19"/>
  <c r="V43" i="19"/>
  <c r="AG43" i="19" s="1"/>
  <c r="AQ32" i="19"/>
  <c r="AQ28" i="19"/>
  <c r="V44" i="19"/>
  <c r="AI39" i="19" s="1"/>
  <c r="AQ25" i="19"/>
  <c r="V48" i="19"/>
  <c r="AQ48" i="19" s="1"/>
  <c r="AQ31" i="19"/>
  <c r="AG26" i="19"/>
  <c r="V45" i="19"/>
  <c r="AK42" i="19" s="1"/>
  <c r="AK29" i="19"/>
  <c r="AK31" i="19"/>
  <c r="AK30" i="19"/>
  <c r="AK25" i="19"/>
  <c r="AK26" i="19"/>
  <c r="AK28" i="19"/>
  <c r="AI28" i="19"/>
  <c r="AM30" i="19"/>
  <c r="AI29" i="19"/>
  <c r="AE26" i="19"/>
  <c r="AI25" i="19"/>
  <c r="AI26" i="19"/>
  <c r="AI27" i="19"/>
  <c r="AE25" i="19"/>
  <c r="AE28" i="19"/>
  <c r="AD18" i="19"/>
  <c r="L27" i="19" s="1"/>
  <c r="AO27" i="19"/>
  <c r="AM27" i="19"/>
  <c r="AM26" i="19"/>
  <c r="AM29" i="19"/>
  <c r="AM31" i="19"/>
  <c r="AO25" i="19"/>
  <c r="AG27" i="19"/>
  <c r="AM32" i="19"/>
  <c r="AG29" i="19"/>
  <c r="AM28" i="19"/>
  <c r="AG25" i="19"/>
  <c r="AC23" i="19"/>
  <c r="AO32" i="19"/>
  <c r="AO33" i="19"/>
  <c r="AO28" i="19"/>
  <c r="V23" i="19"/>
  <c r="V35" i="19" s="1"/>
  <c r="AS25" i="19" s="1"/>
  <c r="AO29" i="19"/>
  <c r="AO26" i="19"/>
  <c r="AO31" i="19"/>
  <c r="AM43" i="19"/>
  <c r="AM41" i="19"/>
  <c r="L25" i="19"/>
  <c r="Y23" i="19"/>
  <c r="Y39" i="19"/>
  <c r="AA37" i="19"/>
  <c r="AC18" i="19"/>
  <c r="L26" i="19" s="1"/>
  <c r="AG42" i="19"/>
  <c r="AG41" i="19"/>
  <c r="AG39" i="19"/>
  <c r="AI42" i="19"/>
  <c r="AI41" i="19"/>
  <c r="AI40" i="19"/>
  <c r="AI43" i="19"/>
  <c r="AE39" i="19"/>
  <c r="AO44" i="19"/>
  <c r="AO39" i="19"/>
  <c r="AO42" i="19"/>
  <c r="AO43" i="19"/>
  <c r="AO41" i="19"/>
  <c r="AO46" i="19"/>
  <c r="AC39" i="19"/>
  <c r="AC41" i="19"/>
  <c r="AC40" i="19"/>
  <c r="AQ41" i="19"/>
  <c r="AI4" i="19"/>
  <c r="AH4" i="19"/>
  <c r="AJ4" i="19"/>
  <c r="AK45" i="19"/>
  <c r="AK44" i="19"/>
  <c r="AK43" i="19"/>
  <c r="AK40" i="19"/>
  <c r="P39" i="10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Y17" i="4"/>
  <c r="AA17" i="4" s="1"/>
  <c r="AB17" i="4" s="1"/>
  <c r="AC17" i="4" s="1"/>
  <c r="R33" i="4"/>
  <c r="R34" i="4"/>
  <c r="Y13" i="4"/>
  <c r="AA13" i="4" s="1"/>
  <c r="AB13" i="4" s="1"/>
  <c r="AC13" i="4" s="1"/>
  <c r="S6" i="8"/>
  <c r="S13" i="4"/>
  <c r="T16" i="7"/>
  <c r="S16" i="7"/>
  <c r="S17" i="4"/>
  <c r="AC15" i="6"/>
  <c r="S9" i="8"/>
  <c r="S13" i="8"/>
  <c r="U12" i="8" s="1"/>
  <c r="T13" i="8"/>
  <c r="S12" i="7"/>
  <c r="U18" i="7"/>
  <c r="S18" i="7"/>
  <c r="O19" i="4"/>
  <c r="Q19" i="4" s="1"/>
  <c r="R19" i="4" s="1"/>
  <c r="Y19" i="4"/>
  <c r="AA19" i="4" s="1"/>
  <c r="AB19" i="4" s="1"/>
  <c r="S15" i="6"/>
  <c r="AC9" i="4"/>
  <c r="R34" i="6"/>
  <c r="AD8" i="8"/>
  <c r="AC8" i="8"/>
  <c r="S11" i="8"/>
  <c r="U10" i="8" s="1"/>
  <c r="U11" i="8"/>
  <c r="AC15" i="8"/>
  <c r="S14" i="8"/>
  <c r="U13" i="8" s="1"/>
  <c r="T8" i="7"/>
  <c r="S8" i="7"/>
  <c r="AC16" i="7"/>
  <c r="AE15" i="7" s="1"/>
  <c r="S15" i="7"/>
  <c r="T14" i="7" s="1"/>
  <c r="S10" i="7"/>
  <c r="U8" i="7" s="1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R33" i="5"/>
  <c r="S13" i="6"/>
  <c r="AC7" i="6"/>
  <c r="AD9" i="6" s="1"/>
  <c r="AC19" i="6"/>
  <c r="AE16" i="6" s="1"/>
  <c r="AC19" i="7"/>
  <c r="AC18" i="7"/>
  <c r="AD17" i="7" s="1"/>
  <c r="Y5" i="4"/>
  <c r="AA5" i="4" s="1"/>
  <c r="AB5" i="4" s="1"/>
  <c r="AI3" i="4"/>
  <c r="O5" i="4"/>
  <c r="Q5" i="4" s="1"/>
  <c r="R5" i="4" s="1"/>
  <c r="P26" i="5"/>
  <c r="R31" i="5" s="1"/>
  <c r="AC5" i="6"/>
  <c r="T10" i="5"/>
  <c r="U8" i="5"/>
  <c r="S7" i="8"/>
  <c r="AD14" i="7"/>
  <c r="AC14" i="7"/>
  <c r="U8" i="6"/>
  <c r="S8" i="6"/>
  <c r="S6" i="6"/>
  <c r="AC17" i="6"/>
  <c r="R32" i="7"/>
  <c r="T10" i="8"/>
  <c r="S10" i="8"/>
  <c r="S8" i="8"/>
  <c r="S19" i="8"/>
  <c r="U17" i="8" s="1"/>
  <c r="T17" i="8"/>
  <c r="S17" i="8"/>
  <c r="T13" i="7"/>
  <c r="S13" i="7"/>
  <c r="U12" i="7" s="1"/>
  <c r="T6" i="7"/>
  <c r="S6" i="7"/>
  <c r="T5" i="7" s="1"/>
  <c r="T20" i="7" s="1"/>
  <c r="T21" i="7" s="1"/>
  <c r="S9" i="7"/>
  <c r="U7" i="7" s="1"/>
  <c r="AC12" i="7"/>
  <c r="AE11" i="7" s="1"/>
  <c r="O12" i="4"/>
  <c r="Q12" i="4" s="1"/>
  <c r="R12" i="4" s="1"/>
  <c r="Y12" i="4"/>
  <c r="AA12" i="4" s="1"/>
  <c r="AB12" i="4" s="1"/>
  <c r="U9" i="6"/>
  <c r="S9" i="6"/>
  <c r="AC11" i="6"/>
  <c r="AE10" i="6" s="1"/>
  <c r="S10" i="6"/>
  <c r="AC10" i="6"/>
  <c r="AD16" i="6" s="1"/>
  <c r="AD10" i="5"/>
  <c r="AD14" i="8"/>
  <c r="AC14" i="8"/>
  <c r="AD13" i="8" s="1"/>
  <c r="V20" i="5"/>
  <c r="L28" i="5" s="1"/>
  <c r="L25" i="5"/>
  <c r="AC9" i="8"/>
  <c r="AD9" i="8"/>
  <c r="AD16" i="8"/>
  <c r="AC16" i="8"/>
  <c r="AE15" i="8" s="1"/>
  <c r="S16" i="8"/>
  <c r="S7" i="7"/>
  <c r="S17" i="7"/>
  <c r="U15" i="7" s="1"/>
  <c r="AC6" i="7"/>
  <c r="AE6" i="7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S7" i="6"/>
  <c r="R41" i="5"/>
  <c r="P25" i="6"/>
  <c r="N23" i="6"/>
  <c r="AE9" i="5"/>
  <c r="P26" i="7"/>
  <c r="R31" i="7" s="1"/>
  <c r="AE12" i="8"/>
  <c r="AC12" i="8"/>
  <c r="AD18" i="8"/>
  <c r="AC18" i="8"/>
  <c r="S12" i="8"/>
  <c r="T12" i="8"/>
  <c r="AC5" i="8"/>
  <c r="AC20" i="8" s="1"/>
  <c r="R25" i="8"/>
  <c r="P25" i="8"/>
  <c r="R30" i="8" s="1"/>
  <c r="T11" i="7"/>
  <c r="S11" i="7"/>
  <c r="U10" i="7" s="1"/>
  <c r="AC11" i="7"/>
  <c r="AD5" i="7"/>
  <c r="AD20" i="7" s="1"/>
  <c r="AD21" i="7" s="1"/>
  <c r="AC5" i="7"/>
  <c r="AC20" i="7" s="1"/>
  <c r="S19" i="7"/>
  <c r="U17" i="7" s="1"/>
  <c r="T19" i="7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N44" i="7"/>
  <c r="P44" i="7" s="1"/>
  <c r="N40" i="7"/>
  <c r="P40" i="7" s="1"/>
  <c r="N39" i="7"/>
  <c r="N43" i="7"/>
  <c r="P43" i="7" s="1"/>
  <c r="N41" i="7"/>
  <c r="P41" i="7" s="1"/>
  <c r="N42" i="7"/>
  <c r="P42" i="7" s="1"/>
  <c r="U9" i="5"/>
  <c r="AC12" i="6"/>
  <c r="S12" i="6"/>
  <c r="S14" i="6"/>
  <c r="T11" i="6" s="1"/>
  <c r="T14" i="6"/>
  <c r="AC14" i="6"/>
  <c r="R40" i="5"/>
  <c r="S9" i="4"/>
  <c r="AD7" i="8"/>
  <c r="AC7" i="8"/>
  <c r="AE5" i="8" s="1"/>
  <c r="AE20" i="8" s="1"/>
  <c r="L40" i="8" s="1"/>
  <c r="AE17" i="7"/>
  <c r="AC17" i="7"/>
  <c r="AE16" i="7" s="1"/>
  <c r="AD10" i="7"/>
  <c r="AC10" i="7"/>
  <c r="L39" i="5"/>
  <c r="AF20" i="5"/>
  <c r="L42" i="5" s="1"/>
  <c r="Y8" i="4"/>
  <c r="AA8" i="4" s="1"/>
  <c r="AB8" i="4" s="1"/>
  <c r="O8" i="4"/>
  <c r="Q8" i="4" s="1"/>
  <c r="R8" i="4" s="1"/>
  <c r="S5" i="6"/>
  <c r="U6" i="6" s="1"/>
  <c r="T5" i="6"/>
  <c r="R48" i="5"/>
  <c r="R46" i="5"/>
  <c r="R45" i="5"/>
  <c r="R44" i="5"/>
  <c r="R47" i="5"/>
  <c r="R49" i="5"/>
  <c r="R33" i="6"/>
  <c r="N44" i="6"/>
  <c r="P44" i="6" s="1"/>
  <c r="N40" i="6"/>
  <c r="P40" i="6" s="1"/>
  <c r="N43" i="6"/>
  <c r="P43" i="6" s="1"/>
  <c r="N41" i="6"/>
  <c r="P41" i="6" s="1"/>
  <c r="N42" i="6"/>
  <c r="P42" i="6" s="1"/>
  <c r="N39" i="6"/>
  <c r="T5" i="8"/>
  <c r="T20" i="8" s="1"/>
  <c r="L25" i="8" s="1"/>
  <c r="S5" i="8"/>
  <c r="S20" i="8" s="1"/>
  <c r="AE11" i="8"/>
  <c r="AD11" i="8"/>
  <c r="AC11" i="8"/>
  <c r="AC17" i="8"/>
  <c r="AE16" i="8" s="1"/>
  <c r="AD17" i="8"/>
  <c r="R31" i="8"/>
  <c r="AD8" i="7"/>
  <c r="AC8" i="7"/>
  <c r="AC15" i="7"/>
  <c r="AE13" i="7" s="1"/>
  <c r="S5" i="7"/>
  <c r="S20" i="7" s="1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P25" i="5"/>
  <c r="N23" i="5"/>
  <c r="U6" i="5"/>
  <c r="AC6" i="6"/>
  <c r="AD12" i="6" s="1"/>
  <c r="AC9" i="6"/>
  <c r="AE7" i="6" s="1"/>
  <c r="AC16" i="6"/>
  <c r="AE15" i="6" s="1"/>
  <c r="S18" i="6"/>
  <c r="T18" i="6"/>
  <c r="T15" i="8"/>
  <c r="S15" i="8"/>
  <c r="U14" i="8" s="1"/>
  <c r="AC8" i="6"/>
  <c r="AE6" i="6" s="1"/>
  <c r="R32" i="6"/>
  <c r="T23" i="6"/>
  <c r="AD19" i="8"/>
  <c r="AC19" i="8"/>
  <c r="AE17" i="8" s="1"/>
  <c r="AD10" i="8"/>
  <c r="AC10" i="8"/>
  <c r="AE7" i="8" s="1"/>
  <c r="AD13" i="7"/>
  <c r="AC13" i="7"/>
  <c r="AE12" i="7" s="1"/>
  <c r="U16" i="6"/>
  <c r="T16" i="6"/>
  <c r="S16" i="6"/>
  <c r="U15" i="6" s="1"/>
  <c r="S17" i="6"/>
  <c r="T17" i="6"/>
  <c r="U7" i="5"/>
  <c r="P26" i="6"/>
  <c r="R31" i="6" s="1"/>
  <c r="N42" i="8"/>
  <c r="P42" i="8" s="1"/>
  <c r="N40" i="8"/>
  <c r="P40" i="8" s="1"/>
  <c r="N38" i="8"/>
  <c r="N43" i="8"/>
  <c r="P43" i="8" s="1"/>
  <c r="N41" i="8"/>
  <c r="P41" i="8" s="1"/>
  <c r="N39" i="8"/>
  <c r="P39" i="8" s="1"/>
  <c r="N23" i="7"/>
  <c r="P25" i="7"/>
  <c r="AC6" i="8"/>
  <c r="AD5" i="8" s="1"/>
  <c r="AD20" i="8" s="1"/>
  <c r="L39" i="8" s="1"/>
  <c r="AC13" i="8"/>
  <c r="AE10" i="8" s="1"/>
  <c r="U18" i="8"/>
  <c r="S18" i="8"/>
  <c r="P24" i="8"/>
  <c r="N22" i="8"/>
  <c r="AD9" i="7"/>
  <c r="AC9" i="7"/>
  <c r="AE7" i="7" s="1"/>
  <c r="U14" i="7"/>
  <c r="S14" i="7"/>
  <c r="U13" i="7" s="1"/>
  <c r="AC7" i="7"/>
  <c r="AE5" i="7" s="1"/>
  <c r="AE20" i="7" s="1"/>
  <c r="AE21" i="7" s="1"/>
  <c r="L41" i="7" s="1"/>
  <c r="AD7" i="7"/>
  <c r="Y14" i="4"/>
  <c r="AA14" i="4" s="1"/>
  <c r="AB14" i="4" s="1"/>
  <c r="O14" i="4"/>
  <c r="Q14" i="4" s="1"/>
  <c r="R14" i="4" s="1"/>
  <c r="P25" i="4"/>
  <c r="N23" i="4"/>
  <c r="R32" i="5"/>
  <c r="AC13" i="6"/>
  <c r="AE9" i="6" s="1"/>
  <c r="S11" i="6"/>
  <c r="U7" i="6" s="1"/>
  <c r="U11" i="6"/>
  <c r="AD18" i="6"/>
  <c r="AC18" i="6"/>
  <c r="S19" i="6"/>
  <c r="U17" i="6" s="1"/>
  <c r="T19" i="6"/>
  <c r="N37" i="5"/>
  <c r="P39" i="5"/>
  <c r="R43" i="5" s="1"/>
  <c r="U10" i="5"/>
  <c r="AJ18" i="20" l="1"/>
  <c r="L41" i="20" s="1"/>
  <c r="AI18" i="20"/>
  <c r="L40" i="20" s="1"/>
  <c r="AQ43" i="19"/>
  <c r="AK39" i="19"/>
  <c r="AK37" i="19" s="1"/>
  <c r="AQ47" i="19"/>
  <c r="AO40" i="19"/>
  <c r="AE40" i="19"/>
  <c r="AE37" i="19" s="1"/>
  <c r="AI44" i="19"/>
  <c r="AI37" i="19" s="1"/>
  <c r="AQ42" i="19"/>
  <c r="AQ39" i="19"/>
  <c r="V37" i="19"/>
  <c r="V49" i="19" s="1"/>
  <c r="AS41" i="19" s="1"/>
  <c r="J41" i="19" s="1"/>
  <c r="AQ45" i="19"/>
  <c r="AK41" i="19"/>
  <c r="AQ46" i="19"/>
  <c r="AQ44" i="19"/>
  <c r="AO47" i="19"/>
  <c r="AO37" i="19" s="1"/>
  <c r="AE42" i="19"/>
  <c r="AG40" i="19"/>
  <c r="AQ40" i="19"/>
  <c r="AQ23" i="19"/>
  <c r="AS37" i="20"/>
  <c r="AS36" i="20" s="1"/>
  <c r="AS23" i="20"/>
  <c r="AS22" i="20" s="1"/>
  <c r="L39" i="20"/>
  <c r="J23" i="20"/>
  <c r="L26" i="20"/>
  <c r="H26" i="20" s="1"/>
  <c r="AE18" i="20"/>
  <c r="L28" i="20" s="1"/>
  <c r="J39" i="20"/>
  <c r="J37" i="20" s="1"/>
  <c r="AM42" i="19"/>
  <c r="AM44" i="19"/>
  <c r="AM45" i="19"/>
  <c r="AM40" i="19"/>
  <c r="AM46" i="19"/>
  <c r="AK23" i="19"/>
  <c r="AI23" i="19"/>
  <c r="AE23" i="19"/>
  <c r="J25" i="19"/>
  <c r="H25" i="19" s="1"/>
  <c r="AG23" i="19"/>
  <c r="AM23" i="19"/>
  <c r="AS27" i="19"/>
  <c r="J27" i="19" s="1"/>
  <c r="AS30" i="19"/>
  <c r="J30" i="19" s="1"/>
  <c r="AO23" i="19"/>
  <c r="AC37" i="19"/>
  <c r="AS34" i="19"/>
  <c r="J34" i="19" s="1"/>
  <c r="AS28" i="19"/>
  <c r="J28" i="19" s="1"/>
  <c r="AS33" i="19"/>
  <c r="J33" i="19" s="1"/>
  <c r="AS26" i="19"/>
  <c r="J26" i="19" s="1"/>
  <c r="V22" i="19"/>
  <c r="AS32" i="19"/>
  <c r="J32" i="19" s="1"/>
  <c r="AS31" i="19"/>
  <c r="J31" i="19" s="1"/>
  <c r="AS35" i="19"/>
  <c r="J35" i="19" s="1"/>
  <c r="AS29" i="19"/>
  <c r="J29" i="19" s="1"/>
  <c r="Y37" i="19"/>
  <c r="AS44" i="19"/>
  <c r="J44" i="19" s="1"/>
  <c r="AS42" i="19"/>
  <c r="AS43" i="19"/>
  <c r="J43" i="19" s="1"/>
  <c r="AS40" i="19"/>
  <c r="J40" i="19" s="1"/>
  <c r="V36" i="19"/>
  <c r="AQ37" i="19"/>
  <c r="AH18" i="19"/>
  <c r="AI9" i="19"/>
  <c r="AI13" i="19"/>
  <c r="AJ6" i="19"/>
  <c r="AI12" i="19"/>
  <c r="AI10" i="19"/>
  <c r="AI8" i="19"/>
  <c r="AI15" i="19"/>
  <c r="AJ8" i="19"/>
  <c r="AJ7" i="19"/>
  <c r="AJ14" i="19"/>
  <c r="AJ11" i="19"/>
  <c r="AI14" i="19"/>
  <c r="AI6" i="19"/>
  <c r="AI11" i="19"/>
  <c r="AI7" i="19"/>
  <c r="AJ13" i="19"/>
  <c r="AI5" i="19"/>
  <c r="AJ12" i="19"/>
  <c r="AJ15" i="19"/>
  <c r="AJ9" i="19"/>
  <c r="AJ5" i="19"/>
  <c r="AJ10" i="19"/>
  <c r="AG37" i="19"/>
  <c r="AE18" i="19"/>
  <c r="L28" i="19" s="1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R42" i="4"/>
  <c r="R26" i="4"/>
  <c r="R41" i="4"/>
  <c r="L26" i="7"/>
  <c r="S14" i="4"/>
  <c r="N36" i="8"/>
  <c r="P38" i="8"/>
  <c r="AE12" i="6"/>
  <c r="R40" i="8"/>
  <c r="AE8" i="7"/>
  <c r="L24" i="8"/>
  <c r="V20" i="8"/>
  <c r="L27" i="8" s="1"/>
  <c r="S15" i="4"/>
  <c r="R27" i="6"/>
  <c r="R25" i="6"/>
  <c r="R28" i="6"/>
  <c r="R30" i="6"/>
  <c r="P23" i="6"/>
  <c r="R29" i="6"/>
  <c r="U10" i="6"/>
  <c r="AD17" i="6"/>
  <c r="AE14" i="7"/>
  <c r="AD19" i="6"/>
  <c r="AD15" i="6"/>
  <c r="U16" i="7"/>
  <c r="R40" i="4"/>
  <c r="AE9" i="7"/>
  <c r="AE13" i="8"/>
  <c r="R42" i="5"/>
  <c r="V20" i="7"/>
  <c r="V21" i="7" s="1"/>
  <c r="L28" i="7" s="1"/>
  <c r="U5" i="8"/>
  <c r="U20" i="8" s="1"/>
  <c r="L26" i="8" s="1"/>
  <c r="R49" i="6"/>
  <c r="R47" i="6"/>
  <c r="R44" i="6"/>
  <c r="R46" i="6"/>
  <c r="R45" i="6"/>
  <c r="R48" i="6"/>
  <c r="R42" i="7"/>
  <c r="AF20" i="7"/>
  <c r="AF21" i="7" s="1"/>
  <c r="L42" i="7" s="1"/>
  <c r="T17" i="7"/>
  <c r="AE9" i="8"/>
  <c r="AC20" i="6"/>
  <c r="AE18" i="7"/>
  <c r="AD7" i="6"/>
  <c r="AC16" i="4"/>
  <c r="T18" i="7"/>
  <c r="T9" i="8"/>
  <c r="AC5" i="4"/>
  <c r="R30" i="5"/>
  <c r="R29" i="5"/>
  <c r="R28" i="5"/>
  <c r="R27" i="5"/>
  <c r="P23" i="5"/>
  <c r="R25" i="5"/>
  <c r="U16" i="8"/>
  <c r="L23" i="5"/>
  <c r="T8" i="8"/>
  <c r="T7" i="8"/>
  <c r="U9" i="8"/>
  <c r="AD13" i="6"/>
  <c r="R24" i="8"/>
  <c r="R26" i="8"/>
  <c r="P22" i="8"/>
  <c r="R27" i="8"/>
  <c r="V27" i="8" s="1"/>
  <c r="R29" i="8"/>
  <c r="R28" i="8"/>
  <c r="AD6" i="8"/>
  <c r="R39" i="8"/>
  <c r="U18" i="6"/>
  <c r="S7" i="4"/>
  <c r="AD15" i="7"/>
  <c r="S20" i="6"/>
  <c r="AE10" i="7"/>
  <c r="AD14" i="6"/>
  <c r="U12" i="6"/>
  <c r="AC6" i="4"/>
  <c r="AD11" i="7"/>
  <c r="L38" i="8"/>
  <c r="AF20" i="8"/>
  <c r="L41" i="8" s="1"/>
  <c r="AE18" i="8"/>
  <c r="AC11" i="4"/>
  <c r="T16" i="8"/>
  <c r="U8" i="8"/>
  <c r="AE5" i="6"/>
  <c r="AD19" i="7"/>
  <c r="AD16" i="7"/>
  <c r="AE8" i="8"/>
  <c r="U6" i="8"/>
  <c r="AC8" i="4"/>
  <c r="T12" i="6"/>
  <c r="L40" i="7"/>
  <c r="AE11" i="6"/>
  <c r="T6" i="6"/>
  <c r="AD5" i="6"/>
  <c r="AD20" i="6" s="1"/>
  <c r="AD21" i="6" s="1"/>
  <c r="T14" i="8"/>
  <c r="AE18" i="6"/>
  <c r="AE13" i="6"/>
  <c r="T18" i="8"/>
  <c r="AE6" i="8"/>
  <c r="R41" i="8"/>
  <c r="R26" i="6"/>
  <c r="V26" i="6" s="1"/>
  <c r="R43" i="4"/>
  <c r="S10" i="4"/>
  <c r="P39" i="6"/>
  <c r="R41" i="6" s="1"/>
  <c r="N37" i="6"/>
  <c r="U5" i="6"/>
  <c r="U20" i="6" s="1"/>
  <c r="U21" i="6" s="1"/>
  <c r="L27" i="6" s="1"/>
  <c r="AE14" i="6"/>
  <c r="P39" i="7"/>
  <c r="N37" i="7"/>
  <c r="S18" i="4"/>
  <c r="AD12" i="8"/>
  <c r="T7" i="6"/>
  <c r="S11" i="4"/>
  <c r="T7" i="7"/>
  <c r="AD10" i="6"/>
  <c r="AD11" i="6"/>
  <c r="AC12" i="4"/>
  <c r="T9" i="7"/>
  <c r="S5" i="4"/>
  <c r="U13" i="6"/>
  <c r="AD15" i="8"/>
  <c r="AC19" i="4"/>
  <c r="T12" i="7"/>
  <c r="AE17" i="6"/>
  <c r="AC7" i="4"/>
  <c r="S6" i="4"/>
  <c r="T15" i="6"/>
  <c r="R27" i="4"/>
  <c r="R25" i="4"/>
  <c r="V26" i="4" s="1"/>
  <c r="R28" i="4"/>
  <c r="R30" i="4"/>
  <c r="P23" i="4"/>
  <c r="R29" i="4"/>
  <c r="P23" i="7"/>
  <c r="R30" i="7"/>
  <c r="R29" i="7"/>
  <c r="R28" i="7"/>
  <c r="V28" i="7" s="1"/>
  <c r="R27" i="7"/>
  <c r="R25" i="7"/>
  <c r="R47" i="8"/>
  <c r="R43" i="8"/>
  <c r="R48" i="8"/>
  <c r="R45" i="8"/>
  <c r="R46" i="8"/>
  <c r="R44" i="8"/>
  <c r="U15" i="8"/>
  <c r="AD6" i="6"/>
  <c r="AC10" i="4"/>
  <c r="R42" i="6"/>
  <c r="S8" i="4"/>
  <c r="R40" i="7"/>
  <c r="AC18" i="4"/>
  <c r="AD6" i="7"/>
  <c r="AE14" i="8"/>
  <c r="S12" i="4"/>
  <c r="U9" i="7"/>
  <c r="T8" i="6"/>
  <c r="R26" i="5"/>
  <c r="T13" i="6"/>
  <c r="T10" i="7"/>
  <c r="S19" i="4"/>
  <c r="T6" i="8"/>
  <c r="R49" i="7"/>
  <c r="R48" i="7"/>
  <c r="R47" i="7"/>
  <c r="R44" i="7"/>
  <c r="R45" i="7"/>
  <c r="R46" i="7"/>
  <c r="AC14" i="4"/>
  <c r="AD8" i="6"/>
  <c r="U5" i="7"/>
  <c r="U20" i="7" s="1"/>
  <c r="U21" i="7" s="1"/>
  <c r="L27" i="7" s="1"/>
  <c r="R43" i="6"/>
  <c r="R39" i="4"/>
  <c r="P37" i="4"/>
  <c r="T9" i="6"/>
  <c r="P37" i="5"/>
  <c r="R39" i="5"/>
  <c r="V40" i="5" s="1"/>
  <c r="R42" i="8"/>
  <c r="AE8" i="6"/>
  <c r="R40" i="6"/>
  <c r="L37" i="5"/>
  <c r="U14" i="6"/>
  <c r="AC15" i="4"/>
  <c r="U11" i="7"/>
  <c r="R26" i="7"/>
  <c r="V26" i="7" s="1"/>
  <c r="T10" i="6"/>
  <c r="T20" i="6" s="1"/>
  <c r="T21" i="6" s="1"/>
  <c r="AD12" i="7"/>
  <c r="U6" i="7"/>
  <c r="T19" i="8"/>
  <c r="U7" i="8"/>
  <c r="AD18" i="7"/>
  <c r="S16" i="4"/>
  <c r="T15" i="7"/>
  <c r="T11" i="8"/>
  <c r="H29" i="20" l="1"/>
  <c r="AK18" i="20"/>
  <c r="L42" i="20" s="1"/>
  <c r="H46" i="20" s="1"/>
  <c r="BK10" i="20" s="1"/>
  <c r="H30" i="20"/>
  <c r="H28" i="20"/>
  <c r="H34" i="20"/>
  <c r="H32" i="20"/>
  <c r="H33" i="20"/>
  <c r="H35" i="20"/>
  <c r="H31" i="20"/>
  <c r="AS47" i="19"/>
  <c r="J47" i="19" s="1"/>
  <c r="AS49" i="19"/>
  <c r="J49" i="19" s="1"/>
  <c r="AM37" i="19"/>
  <c r="AS46" i="19"/>
  <c r="AS45" i="19"/>
  <c r="AS39" i="19"/>
  <c r="AS48" i="19"/>
  <c r="J48" i="19" s="1"/>
  <c r="J46" i="19"/>
  <c r="H41" i="20"/>
  <c r="BK5" i="20" s="1"/>
  <c r="H40" i="20"/>
  <c r="BK4" i="20" s="1"/>
  <c r="H39" i="20"/>
  <c r="BS4" i="20" s="1"/>
  <c r="L23" i="20"/>
  <c r="H27" i="20"/>
  <c r="J42" i="19"/>
  <c r="J45" i="19"/>
  <c r="H27" i="19"/>
  <c r="H26" i="19"/>
  <c r="J23" i="19"/>
  <c r="AS23" i="19"/>
  <c r="AS22" i="19" s="1"/>
  <c r="H30" i="19"/>
  <c r="AI18" i="19"/>
  <c r="L40" i="19" s="1"/>
  <c r="L23" i="19"/>
  <c r="AJ18" i="19"/>
  <c r="L41" i="19" s="1"/>
  <c r="H35" i="19"/>
  <c r="H29" i="19"/>
  <c r="H28" i="19"/>
  <c r="AS37" i="19"/>
  <c r="AS36" i="19" s="1"/>
  <c r="H33" i="19"/>
  <c r="H31" i="19"/>
  <c r="L39" i="19"/>
  <c r="H34" i="19"/>
  <c r="J39" i="19"/>
  <c r="H32" i="19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V42" i="4"/>
  <c r="T19" i="4"/>
  <c r="AE5" i="4"/>
  <c r="U5" i="4"/>
  <c r="U13" i="4"/>
  <c r="AE11" i="4"/>
  <c r="AE14" i="4"/>
  <c r="AE17" i="4"/>
  <c r="AE18" i="4"/>
  <c r="AE7" i="4"/>
  <c r="T5" i="4"/>
  <c r="U17" i="4"/>
  <c r="AE6" i="4"/>
  <c r="U10" i="4"/>
  <c r="T11" i="4"/>
  <c r="U7" i="4"/>
  <c r="AE42" i="4"/>
  <c r="AE41" i="4"/>
  <c r="AE39" i="4"/>
  <c r="AE40" i="4"/>
  <c r="AA40" i="5"/>
  <c r="AA39" i="5"/>
  <c r="AA37" i="5" s="1"/>
  <c r="L26" i="6"/>
  <c r="AA26" i="4"/>
  <c r="AA25" i="4"/>
  <c r="AA23" i="4" s="1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R39" i="7"/>
  <c r="P37" i="7"/>
  <c r="V20" i="6"/>
  <c r="V21" i="6" s="1"/>
  <c r="L28" i="6" s="1"/>
  <c r="R41" i="7"/>
  <c r="V41" i="7" s="1"/>
  <c r="AC20" i="4"/>
  <c r="AD17" i="4"/>
  <c r="AD13" i="4"/>
  <c r="AD9" i="4"/>
  <c r="AE9" i="4"/>
  <c r="AE16" i="4"/>
  <c r="V25" i="6"/>
  <c r="R23" i="6"/>
  <c r="V34" i="6"/>
  <c r="V31" i="6"/>
  <c r="V29" i="6"/>
  <c r="V33" i="6"/>
  <c r="V32" i="6"/>
  <c r="V30" i="6"/>
  <c r="U11" i="4"/>
  <c r="AA26" i="6"/>
  <c r="AA25" i="6"/>
  <c r="AD18" i="4"/>
  <c r="AD7" i="4"/>
  <c r="S20" i="4"/>
  <c r="T17" i="4"/>
  <c r="T9" i="4"/>
  <c r="T13" i="4"/>
  <c r="AD12" i="4"/>
  <c r="AD6" i="4"/>
  <c r="V25" i="5"/>
  <c r="R23" i="5"/>
  <c r="V34" i="5"/>
  <c r="V30" i="5"/>
  <c r="V33" i="5"/>
  <c r="V29" i="5"/>
  <c r="V32" i="5"/>
  <c r="V31" i="5"/>
  <c r="V42" i="7"/>
  <c r="AA26" i="7"/>
  <c r="AA25" i="7"/>
  <c r="AA23" i="7" s="1"/>
  <c r="AD10" i="4"/>
  <c r="R23" i="7"/>
  <c r="V25" i="7"/>
  <c r="V33" i="7"/>
  <c r="V32" i="7"/>
  <c r="V34" i="7"/>
  <c r="V31" i="7"/>
  <c r="V30" i="7"/>
  <c r="V29" i="7"/>
  <c r="AE12" i="4"/>
  <c r="AD11" i="4"/>
  <c r="T7" i="4"/>
  <c r="V40" i="4"/>
  <c r="T15" i="4"/>
  <c r="T14" i="4"/>
  <c r="L40" i="6"/>
  <c r="AD5" i="4"/>
  <c r="V27" i="6"/>
  <c r="AE10" i="4"/>
  <c r="V41" i="8"/>
  <c r="AE24" i="8"/>
  <c r="AE22" i="8" s="1"/>
  <c r="AE26" i="8"/>
  <c r="AE25" i="8"/>
  <c r="AE27" i="8"/>
  <c r="U15" i="4"/>
  <c r="R37" i="5"/>
  <c r="V39" i="5"/>
  <c r="V47" i="5"/>
  <c r="V46" i="5"/>
  <c r="V45" i="5"/>
  <c r="V43" i="5"/>
  <c r="V44" i="5"/>
  <c r="V48" i="5"/>
  <c r="V40" i="7"/>
  <c r="V27" i="7"/>
  <c r="V28" i="4"/>
  <c r="R39" i="6"/>
  <c r="V42" i="6" s="1"/>
  <c r="P37" i="6"/>
  <c r="V41" i="5"/>
  <c r="AD8" i="4"/>
  <c r="R43" i="7"/>
  <c r="V26" i="8"/>
  <c r="V27" i="5"/>
  <c r="AE28" i="7"/>
  <c r="AE26" i="7"/>
  <c r="AE27" i="7"/>
  <c r="AE25" i="7"/>
  <c r="AE23" i="7" s="1"/>
  <c r="T18" i="4"/>
  <c r="AE8" i="4"/>
  <c r="V28" i="5"/>
  <c r="S21" i="7"/>
  <c r="L25" i="7" s="1"/>
  <c r="AD14" i="4"/>
  <c r="V26" i="5"/>
  <c r="U12" i="4"/>
  <c r="U8" i="4"/>
  <c r="V27" i="4"/>
  <c r="T6" i="4"/>
  <c r="U18" i="4"/>
  <c r="T10" i="4"/>
  <c r="V39" i="8"/>
  <c r="V42" i="5"/>
  <c r="L22" i="8"/>
  <c r="V40" i="6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AC21" i="7"/>
  <c r="L39" i="7" s="1"/>
  <c r="T16" i="4"/>
  <c r="AD15" i="4"/>
  <c r="U6" i="4"/>
  <c r="AE20" i="6"/>
  <c r="AE21" i="6" s="1"/>
  <c r="L41" i="6" s="1"/>
  <c r="L36" i="8"/>
  <c r="V25" i="8"/>
  <c r="AD16" i="4"/>
  <c r="V28" i="6"/>
  <c r="P36" i="8"/>
  <c r="R38" i="8"/>
  <c r="V40" i="8" s="1"/>
  <c r="H42" i="20" l="1"/>
  <c r="BK6" i="20" s="1"/>
  <c r="H45" i="20"/>
  <c r="BK9" i="20" s="1"/>
  <c r="H49" i="20"/>
  <c r="BK13" i="20" s="1"/>
  <c r="H43" i="20"/>
  <c r="BK7" i="20" s="1"/>
  <c r="H48" i="20"/>
  <c r="BK12" i="20" s="1"/>
  <c r="H44" i="20"/>
  <c r="BK8" i="20" s="1"/>
  <c r="L37" i="20"/>
  <c r="H47" i="20"/>
  <c r="BK11" i="20" s="1"/>
  <c r="BS41" i="20"/>
  <c r="BS16" i="20"/>
  <c r="BS40" i="20"/>
  <c r="J37" i="19"/>
  <c r="BO5" i="20"/>
  <c r="BS32" i="20"/>
  <c r="BS19" i="20"/>
  <c r="BS46" i="20"/>
  <c r="BS15" i="20"/>
  <c r="BK40" i="20"/>
  <c r="BK45" i="20"/>
  <c r="BK50" i="20"/>
  <c r="BO4" i="20"/>
  <c r="BK27" i="20"/>
  <c r="BS6" i="20"/>
  <c r="BO6" i="20"/>
  <c r="BS5" i="20"/>
  <c r="H23" i="20"/>
  <c r="BS20" i="20"/>
  <c r="BO11" i="20"/>
  <c r="BS8" i="20"/>
  <c r="BS12" i="20"/>
  <c r="BS26" i="20"/>
  <c r="BS7" i="20"/>
  <c r="BS39" i="20"/>
  <c r="BK14" i="20"/>
  <c r="BK19" i="20"/>
  <c r="BK49" i="20"/>
  <c r="BS9" i="20"/>
  <c r="BS10" i="20"/>
  <c r="BS24" i="20"/>
  <c r="BS33" i="20"/>
  <c r="BS14" i="20"/>
  <c r="BS11" i="20"/>
  <c r="BS25" i="20"/>
  <c r="BK34" i="20"/>
  <c r="BS38" i="20"/>
  <c r="BS31" i="20"/>
  <c r="AK18" i="19"/>
  <c r="L42" i="19" s="1"/>
  <c r="H44" i="19" s="1"/>
  <c r="BS29" i="19" s="1"/>
  <c r="H23" i="19"/>
  <c r="H41" i="19"/>
  <c r="BS26" i="19" s="1"/>
  <c r="H40" i="19"/>
  <c r="BS11" i="19" s="1"/>
  <c r="H39" i="19"/>
  <c r="BK49" i="19" s="1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E20" i="4"/>
  <c r="L41" i="4" s="1"/>
  <c r="U20" i="4"/>
  <c r="L27" i="4" s="1"/>
  <c r="T20" i="4"/>
  <c r="L26" i="4" s="1"/>
  <c r="AC39" i="8"/>
  <c r="AC40" i="8"/>
  <c r="AC38" i="8"/>
  <c r="AC36" i="8" s="1"/>
  <c r="AE42" i="6"/>
  <c r="AE41" i="6"/>
  <c r="AE39" i="6"/>
  <c r="AE40" i="6"/>
  <c r="AE27" i="4"/>
  <c r="AE26" i="4"/>
  <c r="AE28" i="4"/>
  <c r="AE25" i="4"/>
  <c r="AE23" i="4" s="1"/>
  <c r="AD20" i="4"/>
  <c r="L40" i="4" s="1"/>
  <c r="AE39" i="7"/>
  <c r="AE37" i="7" s="1"/>
  <c r="AE40" i="7"/>
  <c r="AE42" i="7"/>
  <c r="AE41" i="7"/>
  <c r="AK30" i="6"/>
  <c r="AK26" i="6"/>
  <c r="AK29" i="6"/>
  <c r="AK28" i="6"/>
  <c r="AK27" i="6"/>
  <c r="AK25" i="6"/>
  <c r="AK31" i="6"/>
  <c r="L23" i="7"/>
  <c r="AF20" i="6"/>
  <c r="AF21" i="6" s="1"/>
  <c r="L42" i="6" s="1"/>
  <c r="AO42" i="5"/>
  <c r="AO41" i="5"/>
  <c r="AO40" i="5"/>
  <c r="AO46" i="5"/>
  <c r="AO39" i="5"/>
  <c r="AO37" i="5" s="1"/>
  <c r="AO44" i="5"/>
  <c r="AO47" i="5"/>
  <c r="AO43" i="5"/>
  <c r="AO45" i="5"/>
  <c r="AC25" i="6"/>
  <c r="AC23" i="6" s="1"/>
  <c r="AC26" i="6"/>
  <c r="AC27" i="6"/>
  <c r="AM32" i="5"/>
  <c r="AM29" i="5"/>
  <c r="AM25" i="5"/>
  <c r="AM23" i="5" s="1"/>
  <c r="AM31" i="5"/>
  <c r="AM28" i="5"/>
  <c r="AM26" i="5"/>
  <c r="AM27" i="5"/>
  <c r="AM30" i="5"/>
  <c r="AE28" i="6"/>
  <c r="AE25" i="6"/>
  <c r="AE23" i="6" s="1"/>
  <c r="AE26" i="6"/>
  <c r="AE27" i="6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E28" i="5"/>
  <c r="AE26" i="5"/>
  <c r="AE27" i="5"/>
  <c r="AE25" i="5"/>
  <c r="AE23" i="5" s="1"/>
  <c r="AQ44" i="5"/>
  <c r="AQ45" i="5"/>
  <c r="AQ42" i="5"/>
  <c r="AQ41" i="5"/>
  <c r="AQ48" i="5"/>
  <c r="AQ40" i="5"/>
  <c r="AQ39" i="5"/>
  <c r="AQ37" i="5" s="1"/>
  <c r="AQ46" i="5"/>
  <c r="AQ47" i="5"/>
  <c r="AQ43" i="5"/>
  <c r="AA39" i="4"/>
  <c r="AA40" i="4"/>
  <c r="AO25" i="5"/>
  <c r="AO23" i="5" s="1"/>
  <c r="AO30" i="5"/>
  <c r="AO31" i="5"/>
  <c r="AO29" i="5"/>
  <c r="AO28" i="5"/>
  <c r="AO33" i="5"/>
  <c r="AO26" i="5"/>
  <c r="AO32" i="5"/>
  <c r="AO27" i="5"/>
  <c r="AA23" i="6"/>
  <c r="AG29" i="6"/>
  <c r="AG28" i="6"/>
  <c r="AG26" i="6"/>
  <c r="AG27" i="6"/>
  <c r="AG25" i="6"/>
  <c r="L39" i="4"/>
  <c r="AK25" i="8"/>
  <c r="AK26" i="8"/>
  <c r="AK28" i="8"/>
  <c r="AK30" i="8"/>
  <c r="AK27" i="8"/>
  <c r="AK29" i="8"/>
  <c r="AK24" i="8"/>
  <c r="AK22" i="8" s="1"/>
  <c r="V41" i="6"/>
  <c r="AI41" i="5"/>
  <c r="AI42" i="5"/>
  <c r="AI40" i="5"/>
  <c r="AI39" i="5"/>
  <c r="AI37" i="5" s="1"/>
  <c r="AI43" i="5"/>
  <c r="AI44" i="5"/>
  <c r="AO29" i="7"/>
  <c r="AO26" i="7"/>
  <c r="AO28" i="7"/>
  <c r="AO27" i="7"/>
  <c r="AO33" i="7"/>
  <c r="AO25" i="7"/>
  <c r="AO23" i="7" s="1"/>
  <c r="AO32" i="7"/>
  <c r="AO31" i="7"/>
  <c r="AO30" i="7"/>
  <c r="AG43" i="4"/>
  <c r="AG40" i="4"/>
  <c r="AG41" i="4"/>
  <c r="AG42" i="4"/>
  <c r="AG39" i="4"/>
  <c r="Y25" i="7"/>
  <c r="V23" i="7"/>
  <c r="V35" i="7" s="1"/>
  <c r="V22" i="7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AC41" i="5"/>
  <c r="AC40" i="5"/>
  <c r="AC39" i="5"/>
  <c r="AC37" i="5" s="1"/>
  <c r="AK40" i="5"/>
  <c r="AK41" i="5"/>
  <c r="AK39" i="5"/>
  <c r="AK37" i="5" s="1"/>
  <c r="AK45" i="5"/>
  <c r="AK43" i="5"/>
  <c r="AK42" i="5"/>
  <c r="AK44" i="5"/>
  <c r="AC21" i="6"/>
  <c r="L39" i="6" s="1"/>
  <c r="AG25" i="7"/>
  <c r="AG23" i="7" s="1"/>
  <c r="AG26" i="7"/>
  <c r="AG29" i="7"/>
  <c r="AG28" i="7"/>
  <c r="AG27" i="7"/>
  <c r="Y24" i="8"/>
  <c r="V21" i="8"/>
  <c r="V22" i="8"/>
  <c r="V34" i="8" s="1"/>
  <c r="S21" i="6"/>
  <c r="L25" i="6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I29" i="5"/>
  <c r="AI28" i="5"/>
  <c r="AI27" i="5"/>
  <c r="AI25" i="5"/>
  <c r="AI23" i="5" s="1"/>
  <c r="AI30" i="5"/>
  <c r="AI26" i="5"/>
  <c r="AC39" i="4"/>
  <c r="AC40" i="4"/>
  <c r="AC41" i="4"/>
  <c r="AC27" i="7"/>
  <c r="AC26" i="7"/>
  <c r="AC25" i="7"/>
  <c r="AC23" i="7" s="1"/>
  <c r="AG41" i="5"/>
  <c r="AG39" i="5"/>
  <c r="AG37" i="5" s="1"/>
  <c r="AG42" i="5"/>
  <c r="AG40" i="5"/>
  <c r="AG43" i="5"/>
  <c r="AQ28" i="5"/>
  <c r="AQ25" i="5"/>
  <c r="AQ23" i="5" s="1"/>
  <c r="AQ31" i="5"/>
  <c r="AQ26" i="5"/>
  <c r="AQ34" i="5"/>
  <c r="AQ30" i="5"/>
  <c r="AQ33" i="5"/>
  <c r="AQ29" i="5"/>
  <c r="AQ27" i="5"/>
  <c r="AQ32" i="5"/>
  <c r="L25" i="4"/>
  <c r="AQ30" i="6"/>
  <c r="AQ25" i="6"/>
  <c r="AQ28" i="6"/>
  <c r="AQ31" i="6"/>
  <c r="AQ27" i="6"/>
  <c r="AQ26" i="6"/>
  <c r="AQ34" i="6"/>
  <c r="AQ33" i="6"/>
  <c r="AQ32" i="6"/>
  <c r="AQ29" i="6"/>
  <c r="AM30" i="4"/>
  <c r="AM26" i="4"/>
  <c r="AM29" i="4"/>
  <c r="AM32" i="4"/>
  <c r="AM27" i="4"/>
  <c r="AM28" i="4"/>
  <c r="AM31" i="4"/>
  <c r="AM25" i="4"/>
  <c r="AC25" i="4"/>
  <c r="AC26" i="4"/>
  <c r="AC27" i="4"/>
  <c r="AA40" i="7"/>
  <c r="AA39" i="7"/>
  <c r="AA37" i="7" s="1"/>
  <c r="AM43" i="5"/>
  <c r="AM42" i="5"/>
  <c r="AM41" i="5"/>
  <c r="AM40" i="5"/>
  <c r="AM39" i="5"/>
  <c r="AM37" i="5" s="1"/>
  <c r="AM46" i="5"/>
  <c r="AM45" i="5"/>
  <c r="AM44" i="5"/>
  <c r="AI25" i="7"/>
  <c r="AI23" i="7" s="1"/>
  <c r="AI28" i="7"/>
  <c r="AI26" i="7"/>
  <c r="AI30" i="7"/>
  <c r="AI27" i="7"/>
  <c r="AI29" i="7"/>
  <c r="AK26" i="5"/>
  <c r="AK29" i="5"/>
  <c r="AK28" i="5"/>
  <c r="AK25" i="5"/>
  <c r="AK23" i="5" s="1"/>
  <c r="AK30" i="5"/>
  <c r="AK31" i="5"/>
  <c r="AK27" i="5"/>
  <c r="Y25" i="5"/>
  <c r="V23" i="5"/>
  <c r="V35" i="5" s="1"/>
  <c r="V22" i="5"/>
  <c r="AI28" i="6"/>
  <c r="AI25" i="6"/>
  <c r="AI29" i="6"/>
  <c r="AI30" i="6"/>
  <c r="AI27" i="6"/>
  <c r="AI26" i="6"/>
  <c r="V23" i="6"/>
  <c r="V35" i="6" s="1"/>
  <c r="V22" i="6"/>
  <c r="Y25" i="6"/>
  <c r="AE37" i="4"/>
  <c r="AC41" i="7"/>
  <c r="AC40" i="7"/>
  <c r="AC39" i="7"/>
  <c r="AC37" i="7" s="1"/>
  <c r="AA38" i="8"/>
  <c r="AA36" i="8" s="1"/>
  <c r="AA39" i="8"/>
  <c r="AI29" i="4"/>
  <c r="AI28" i="4"/>
  <c r="AI30" i="4"/>
  <c r="AI25" i="4"/>
  <c r="AI26" i="4"/>
  <c r="AI27" i="4"/>
  <c r="AA40" i="6"/>
  <c r="AA39" i="6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C25" i="5"/>
  <c r="AC23" i="5" s="1"/>
  <c r="AC27" i="5"/>
  <c r="AC26" i="5"/>
  <c r="V37" i="5"/>
  <c r="V49" i="5" s="1"/>
  <c r="Y39" i="5"/>
  <c r="V36" i="5"/>
  <c r="AQ30" i="7"/>
  <c r="AQ29" i="7"/>
  <c r="AQ28" i="7"/>
  <c r="AQ26" i="7"/>
  <c r="AQ27" i="7"/>
  <c r="AQ33" i="7"/>
  <c r="AQ25" i="7"/>
  <c r="AQ23" i="7" s="1"/>
  <c r="AQ32" i="7"/>
  <c r="AQ34" i="7"/>
  <c r="AQ31" i="7"/>
  <c r="AM30" i="6"/>
  <c r="AM29" i="6"/>
  <c r="AM31" i="6"/>
  <c r="AM28" i="6"/>
  <c r="AM25" i="6"/>
  <c r="AM27" i="6"/>
  <c r="AM32" i="6"/>
  <c r="AM26" i="6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L37" i="7"/>
  <c r="R36" i="8"/>
  <c r="V38" i="8"/>
  <c r="V43" i="8"/>
  <c r="V42" i="8"/>
  <c r="V46" i="8"/>
  <c r="V47" i="8"/>
  <c r="V45" i="8"/>
  <c r="V44" i="8"/>
  <c r="AE41" i="5"/>
  <c r="AE39" i="5"/>
  <c r="AE37" i="5" s="1"/>
  <c r="AE40" i="5"/>
  <c r="AE42" i="5"/>
  <c r="R37" i="6"/>
  <c r="V39" i="6"/>
  <c r="V46" i="6"/>
  <c r="V45" i="6"/>
  <c r="V43" i="6"/>
  <c r="V44" i="6"/>
  <c r="V48" i="6"/>
  <c r="V47" i="6"/>
  <c r="AK28" i="7"/>
  <c r="AK27" i="7"/>
  <c r="AK30" i="7"/>
  <c r="AK26" i="7"/>
  <c r="AK29" i="7"/>
  <c r="AK31" i="7"/>
  <c r="AK25" i="7"/>
  <c r="AK23" i="7" s="1"/>
  <c r="AG29" i="4"/>
  <c r="AG28" i="4"/>
  <c r="AG27" i="4"/>
  <c r="AG25" i="4"/>
  <c r="AG26" i="4"/>
  <c r="AO33" i="4"/>
  <c r="AO32" i="4"/>
  <c r="AO28" i="4"/>
  <c r="AO27" i="4"/>
  <c r="AO31" i="4"/>
  <c r="AO30" i="4"/>
  <c r="AO29" i="4"/>
  <c r="AO26" i="4"/>
  <c r="AO25" i="4"/>
  <c r="AK44" i="4"/>
  <c r="AK43" i="4"/>
  <c r="AK41" i="4"/>
  <c r="AK40" i="4"/>
  <c r="AK42" i="4"/>
  <c r="AK39" i="4"/>
  <c r="AK45" i="4"/>
  <c r="AA26" i="5"/>
  <c r="AA25" i="5"/>
  <c r="AA23" i="5" s="1"/>
  <c r="AC24" i="8"/>
  <c r="AC22" i="8" s="1"/>
  <c r="AC26" i="8"/>
  <c r="AC25" i="8"/>
  <c r="AM28" i="7"/>
  <c r="AM27" i="7"/>
  <c r="AM25" i="7"/>
  <c r="AM23" i="7" s="1"/>
  <c r="AM26" i="7"/>
  <c r="AM32" i="7"/>
  <c r="AM31" i="7"/>
  <c r="AM29" i="7"/>
  <c r="AM30" i="7"/>
  <c r="AG29" i="5"/>
  <c r="AG27" i="5"/>
  <c r="AG25" i="5"/>
  <c r="AG23" i="5" s="1"/>
  <c r="AG26" i="5"/>
  <c r="AG28" i="5"/>
  <c r="AO33" i="6"/>
  <c r="AO28" i="6"/>
  <c r="AO30" i="6"/>
  <c r="AO32" i="6"/>
  <c r="AO29" i="6"/>
  <c r="AO27" i="6"/>
  <c r="AO31" i="6"/>
  <c r="AO26" i="6"/>
  <c r="AO25" i="6"/>
  <c r="R37" i="7"/>
  <c r="V39" i="7"/>
  <c r="V46" i="7"/>
  <c r="V47" i="7"/>
  <c r="V48" i="7"/>
  <c r="V44" i="7"/>
  <c r="V43" i="7"/>
  <c r="V45" i="7"/>
  <c r="AO26" i="8"/>
  <c r="AO32" i="8"/>
  <c r="AO24" i="8"/>
  <c r="AO22" i="8" s="1"/>
  <c r="AO31" i="8"/>
  <c r="AO25" i="8"/>
  <c r="AO28" i="8"/>
  <c r="AO29" i="8"/>
  <c r="AO30" i="8"/>
  <c r="AO27" i="8"/>
  <c r="BK30" i="20" l="1"/>
  <c r="BK43" i="20"/>
  <c r="BS36" i="20"/>
  <c r="BK22" i="20"/>
  <c r="BK48" i="20"/>
  <c r="BK37" i="20"/>
  <c r="BS22" i="20"/>
  <c r="BK58" i="20"/>
  <c r="BK59" i="20"/>
  <c r="BK57" i="20"/>
  <c r="BK51" i="20"/>
  <c r="BS43" i="20"/>
  <c r="BK15" i="20"/>
  <c r="BS37" i="20"/>
  <c r="BS44" i="20"/>
  <c r="BK28" i="20"/>
  <c r="BO9" i="20"/>
  <c r="BS42" i="20"/>
  <c r="BS27" i="20"/>
  <c r="BK54" i="20"/>
  <c r="BK25" i="20"/>
  <c r="BS29" i="20"/>
  <c r="BO14" i="20"/>
  <c r="BK17" i="20"/>
  <c r="BK21" i="20"/>
  <c r="BK31" i="20"/>
  <c r="BS47" i="20"/>
  <c r="BK35" i="20"/>
  <c r="BK42" i="20"/>
  <c r="BK55" i="20"/>
  <c r="BK41" i="20"/>
  <c r="BK24" i="20"/>
  <c r="BK56" i="20"/>
  <c r="BK53" i="20"/>
  <c r="BK20" i="20"/>
  <c r="BK32" i="20"/>
  <c r="BS23" i="20"/>
  <c r="BS45" i="20"/>
  <c r="BK38" i="20"/>
  <c r="BS13" i="20"/>
  <c r="BK23" i="20"/>
  <c r="BK18" i="20"/>
  <c r="BK52" i="20"/>
  <c r="BK29" i="20"/>
  <c r="BS21" i="20"/>
  <c r="BS30" i="20"/>
  <c r="BS18" i="20"/>
  <c r="BK26" i="20"/>
  <c r="BO8" i="20"/>
  <c r="BO10" i="20"/>
  <c r="BO7" i="20"/>
  <c r="BO13" i="20"/>
  <c r="BK47" i="20"/>
  <c r="BS34" i="20"/>
  <c r="BK33" i="20"/>
  <c r="BK39" i="20"/>
  <c r="BO12" i="20"/>
  <c r="BS35" i="20"/>
  <c r="BK46" i="20"/>
  <c r="BS17" i="20"/>
  <c r="H37" i="20"/>
  <c r="BK36" i="20"/>
  <c r="BS28" i="20"/>
  <c r="BK16" i="20"/>
  <c r="BK44" i="20"/>
  <c r="H47" i="19"/>
  <c r="BK51" i="19" s="1"/>
  <c r="H49" i="19"/>
  <c r="BK53" i="19" s="1"/>
  <c r="H42" i="19"/>
  <c r="BS13" i="19" s="1"/>
  <c r="L37" i="19"/>
  <c r="H43" i="19"/>
  <c r="BK31" i="19" s="1"/>
  <c r="H46" i="19"/>
  <c r="BS46" i="19" s="1"/>
  <c r="H45" i="19"/>
  <c r="BK26" i="19" s="1"/>
  <c r="H48" i="19"/>
  <c r="BK29" i="19" s="1"/>
  <c r="BK25" i="19"/>
  <c r="BK38" i="19"/>
  <c r="BK17" i="19"/>
  <c r="BK8" i="19"/>
  <c r="BS44" i="19"/>
  <c r="BS36" i="19"/>
  <c r="BK32" i="19"/>
  <c r="BS7" i="19"/>
  <c r="BS31" i="19"/>
  <c r="BS23" i="19"/>
  <c r="BO9" i="19"/>
  <c r="BS10" i="19"/>
  <c r="BS24" i="19"/>
  <c r="BS12" i="19"/>
  <c r="BS41" i="19"/>
  <c r="BS20" i="19"/>
  <c r="BS8" i="19"/>
  <c r="BS9" i="19"/>
  <c r="BS32" i="19"/>
  <c r="BS25" i="19"/>
  <c r="BK15" i="19"/>
  <c r="BS4" i="19"/>
  <c r="BS14" i="19"/>
  <c r="BO4" i="19"/>
  <c r="BS5" i="19"/>
  <c r="BS39" i="19"/>
  <c r="BS15" i="19"/>
  <c r="BS6" i="19"/>
  <c r="BK4" i="19"/>
  <c r="BO5" i="19"/>
  <c r="BO6" i="19"/>
  <c r="BS16" i="19"/>
  <c r="BK5" i="19"/>
  <c r="BK14" i="19"/>
  <c r="BS33" i="19"/>
  <c r="BS19" i="19"/>
  <c r="BS40" i="19"/>
  <c r="AA37" i="10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G23" i="4"/>
  <c r="AO23" i="4"/>
  <c r="AC37" i="4"/>
  <c r="V20" i="4"/>
  <c r="L28" i="4" s="1"/>
  <c r="L23" i="4" s="1"/>
  <c r="AF20" i="4"/>
  <c r="L42" i="4" s="1"/>
  <c r="L37" i="4" s="1"/>
  <c r="J27" i="8"/>
  <c r="AI40" i="7"/>
  <c r="AI42" i="7"/>
  <c r="AI41" i="7"/>
  <c r="AI43" i="7"/>
  <c r="AI39" i="7"/>
  <c r="AI37" i="7" s="1"/>
  <c r="AI44" i="7"/>
  <c r="AM39" i="7"/>
  <c r="AM37" i="7" s="1"/>
  <c r="AM43" i="7"/>
  <c r="AM46" i="7"/>
  <c r="AM42" i="7"/>
  <c r="AM45" i="7"/>
  <c r="AM44" i="7"/>
  <c r="AM40" i="7"/>
  <c r="AM41" i="7"/>
  <c r="AM39" i="8"/>
  <c r="AM42" i="8"/>
  <c r="AM45" i="8"/>
  <c r="AM44" i="8"/>
  <c r="AM38" i="8"/>
  <c r="AM36" i="8" s="1"/>
  <c r="AM41" i="8"/>
  <c r="AM43" i="8"/>
  <c r="AM40" i="8"/>
  <c r="L23" i="6"/>
  <c r="Y23" i="4"/>
  <c r="AO42" i="6"/>
  <c r="AO40" i="6"/>
  <c r="AO41" i="6"/>
  <c r="AO43" i="6"/>
  <c r="AO39" i="6"/>
  <c r="AO46" i="6"/>
  <c r="AO47" i="6"/>
  <c r="AO45" i="6"/>
  <c r="AO44" i="6"/>
  <c r="AG40" i="7"/>
  <c r="AG39" i="7"/>
  <c r="AG37" i="7" s="1"/>
  <c r="AG42" i="7"/>
  <c r="AG43" i="7"/>
  <c r="AG41" i="7"/>
  <c r="J29" i="5"/>
  <c r="AI43" i="6"/>
  <c r="AI42" i="6"/>
  <c r="AI40" i="6"/>
  <c r="AI41" i="6"/>
  <c r="AI39" i="6"/>
  <c r="AI44" i="6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J30" i="7"/>
  <c r="AS28" i="7"/>
  <c r="J28" i="7" s="1"/>
  <c r="H28" i="7" s="1"/>
  <c r="AS30" i="7"/>
  <c r="AS35" i="7"/>
  <c r="J35" i="7" s="1"/>
  <c r="AS27" i="7"/>
  <c r="AS32" i="7"/>
  <c r="J32" i="7" s="1"/>
  <c r="H32" i="7" s="1"/>
  <c r="AS34" i="7"/>
  <c r="J34" i="7" s="1"/>
  <c r="H34" i="7" s="1"/>
  <c r="AS25" i="7"/>
  <c r="AS23" i="7" s="1"/>
  <c r="AS33" i="7"/>
  <c r="J33" i="7" s="1"/>
  <c r="AS31" i="7"/>
  <c r="J31" i="7" s="1"/>
  <c r="H31" i="7" s="1"/>
  <c r="AS26" i="7"/>
  <c r="J26" i="7" s="1"/>
  <c r="AS29" i="7"/>
  <c r="AA37" i="4"/>
  <c r="AO23" i="6"/>
  <c r="J33" i="6"/>
  <c r="AK37" i="4"/>
  <c r="AK43" i="6"/>
  <c r="AK39" i="6"/>
  <c r="AK42" i="6"/>
  <c r="AK45" i="6"/>
  <c r="AK40" i="6"/>
  <c r="AK41" i="6"/>
  <c r="AK44" i="6"/>
  <c r="V36" i="8"/>
  <c r="V48" i="8" s="1"/>
  <c r="Y38" i="8"/>
  <c r="V35" i="8"/>
  <c r="AI23" i="6"/>
  <c r="J34" i="5"/>
  <c r="L37" i="6"/>
  <c r="J31" i="8"/>
  <c r="J25" i="7"/>
  <c r="Y23" i="7"/>
  <c r="AS22" i="7" s="1"/>
  <c r="J29" i="6"/>
  <c r="AM37" i="4"/>
  <c r="AG42" i="6"/>
  <c r="AG41" i="6"/>
  <c r="AG40" i="6"/>
  <c r="AG43" i="6"/>
  <c r="AG39" i="6"/>
  <c r="AG37" i="6" s="1"/>
  <c r="AI38" i="8"/>
  <c r="AI36" i="8" s="1"/>
  <c r="AI41" i="8"/>
  <c r="AI43" i="8"/>
  <c r="AI40" i="8"/>
  <c r="AI39" i="8"/>
  <c r="AI42" i="8"/>
  <c r="AS42" i="4"/>
  <c r="J42" i="4" s="1"/>
  <c r="AS46" i="4"/>
  <c r="J46" i="4" s="1"/>
  <c r="AS41" i="4"/>
  <c r="J41" i="4" s="1"/>
  <c r="AS44" i="4"/>
  <c r="J44" i="4" s="1"/>
  <c r="AS48" i="4"/>
  <c r="J48" i="4" s="1"/>
  <c r="AS47" i="4"/>
  <c r="AS43" i="4"/>
  <c r="AS39" i="4"/>
  <c r="J39" i="4" s="1"/>
  <c r="AS45" i="4"/>
  <c r="J45" i="4" s="1"/>
  <c r="AS40" i="4"/>
  <c r="J40" i="4" s="1"/>
  <c r="AS49" i="4"/>
  <c r="J49" i="4" s="1"/>
  <c r="J47" i="4"/>
  <c r="AG37" i="4"/>
  <c r="AQ41" i="7"/>
  <c r="AQ43" i="7"/>
  <c r="AQ46" i="7"/>
  <c r="AQ40" i="7"/>
  <c r="AQ39" i="7"/>
  <c r="AQ37" i="7" s="1"/>
  <c r="AQ44" i="7"/>
  <c r="AQ47" i="7"/>
  <c r="AQ48" i="7"/>
  <c r="AQ42" i="7"/>
  <c r="AQ45" i="7"/>
  <c r="AO42" i="7"/>
  <c r="AO41" i="7"/>
  <c r="AO46" i="7"/>
  <c r="AO43" i="7"/>
  <c r="AO45" i="7"/>
  <c r="AO44" i="7"/>
  <c r="AO39" i="7"/>
  <c r="AO37" i="7" s="1"/>
  <c r="AO47" i="7"/>
  <c r="AO40" i="7"/>
  <c r="AM43" i="6"/>
  <c r="AM40" i="6"/>
  <c r="AM41" i="6"/>
  <c r="AM45" i="6"/>
  <c r="AM39" i="6"/>
  <c r="AM44" i="6"/>
  <c r="AM42" i="6"/>
  <c r="AM46" i="6"/>
  <c r="AK38" i="8"/>
  <c r="AK36" i="8" s="1"/>
  <c r="AK41" i="8"/>
  <c r="AK40" i="8"/>
  <c r="AK42" i="8"/>
  <c r="AK44" i="8"/>
  <c r="AK43" i="8"/>
  <c r="AK39" i="8"/>
  <c r="AQ23" i="4"/>
  <c r="AA37" i="6"/>
  <c r="Y23" i="6"/>
  <c r="J32" i="4"/>
  <c r="AQ23" i="6"/>
  <c r="AO37" i="4"/>
  <c r="AQ37" i="4"/>
  <c r="J30" i="8"/>
  <c r="J47" i="5"/>
  <c r="Y39" i="6"/>
  <c r="V37" i="6"/>
  <c r="V49" i="6" s="1"/>
  <c r="V36" i="6" s="1"/>
  <c r="J29" i="7"/>
  <c r="AC41" i="6"/>
  <c r="AC40" i="6"/>
  <c r="AC39" i="6"/>
  <c r="V36" i="7"/>
  <c r="V37" i="7"/>
  <c r="V49" i="7" s="1"/>
  <c r="Y39" i="7"/>
  <c r="AS44" i="5"/>
  <c r="J44" i="5" s="1"/>
  <c r="AS42" i="5"/>
  <c r="J42" i="5" s="1"/>
  <c r="H42" i="5" s="1"/>
  <c r="AS43" i="5"/>
  <c r="AS46" i="5"/>
  <c r="J46" i="5" s="1"/>
  <c r="AS41" i="5"/>
  <c r="J41" i="5" s="1"/>
  <c r="AS40" i="5"/>
  <c r="J40" i="5" s="1"/>
  <c r="H40" i="5" s="1"/>
  <c r="AS47" i="5"/>
  <c r="AS48" i="5"/>
  <c r="J48" i="5" s="1"/>
  <c r="AS39" i="5"/>
  <c r="AS37" i="5" s="1"/>
  <c r="AS45" i="5"/>
  <c r="J45" i="5" s="1"/>
  <c r="AS49" i="5"/>
  <c r="J49" i="5" s="1"/>
  <c r="J33" i="8"/>
  <c r="AS31" i="6"/>
  <c r="J31" i="6" s="1"/>
  <c r="H31" i="6" s="1"/>
  <c r="AS33" i="6"/>
  <c r="AS30" i="6"/>
  <c r="J30" i="6" s="1"/>
  <c r="AS29" i="6"/>
  <c r="AS28" i="6"/>
  <c r="J28" i="6" s="1"/>
  <c r="AS26" i="6"/>
  <c r="J26" i="6" s="1"/>
  <c r="AS25" i="6"/>
  <c r="AS34" i="6"/>
  <c r="AS35" i="6"/>
  <c r="J35" i="6" s="1"/>
  <c r="AS32" i="6"/>
  <c r="J32" i="6" s="1"/>
  <c r="H32" i="6" s="1"/>
  <c r="AS27" i="6"/>
  <c r="AS29" i="5"/>
  <c r="AS33" i="5"/>
  <c r="J33" i="5" s="1"/>
  <c r="AS26" i="5"/>
  <c r="AS28" i="5"/>
  <c r="J28" i="5" s="1"/>
  <c r="AS35" i="5"/>
  <c r="J35" i="5" s="1"/>
  <c r="AS30" i="5"/>
  <c r="J30" i="5" s="1"/>
  <c r="AS27" i="5"/>
  <c r="J27" i="5" s="1"/>
  <c r="AS31" i="5"/>
  <c r="AS34" i="5"/>
  <c r="AS25" i="5"/>
  <c r="AS23" i="5" s="1"/>
  <c r="AS32" i="5"/>
  <c r="J32" i="5" s="1"/>
  <c r="H32" i="5" s="1"/>
  <c r="J43" i="5"/>
  <c r="AS33" i="8"/>
  <c r="AS27" i="8"/>
  <c r="AS32" i="8"/>
  <c r="J32" i="8" s="1"/>
  <c r="AS31" i="8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K23" i="6"/>
  <c r="J33" i="4"/>
  <c r="AG39" i="8"/>
  <c r="AG41" i="8"/>
  <c r="AG42" i="8"/>
  <c r="AG40" i="8"/>
  <c r="AG38" i="8"/>
  <c r="AG36" i="8" s="1"/>
  <c r="J31" i="5"/>
  <c r="J26" i="5"/>
  <c r="J39" i="5"/>
  <c r="Y37" i="5"/>
  <c r="AS36" i="5" s="1"/>
  <c r="J27" i="7"/>
  <c r="H27" i="7" s="1"/>
  <c r="AK41" i="7"/>
  <c r="AK42" i="7"/>
  <c r="AK45" i="7"/>
  <c r="AK40" i="7"/>
  <c r="AK43" i="7"/>
  <c r="AK44" i="7"/>
  <c r="AK39" i="7"/>
  <c r="AK37" i="7" s="1"/>
  <c r="AQ41" i="6"/>
  <c r="AQ40" i="6"/>
  <c r="AQ39" i="6"/>
  <c r="AQ37" i="6" s="1"/>
  <c r="AQ43" i="6"/>
  <c r="AQ46" i="6"/>
  <c r="AQ47" i="6"/>
  <c r="AQ48" i="6"/>
  <c r="AQ44" i="6"/>
  <c r="AQ42" i="6"/>
  <c r="AQ45" i="6"/>
  <c r="AQ45" i="8"/>
  <c r="AQ46" i="8"/>
  <c r="AQ44" i="8"/>
  <c r="AQ38" i="8"/>
  <c r="AQ36" i="8" s="1"/>
  <c r="AQ39" i="8"/>
  <c r="AQ47" i="8"/>
  <c r="AQ42" i="8"/>
  <c r="AQ43" i="8"/>
  <c r="AQ41" i="8"/>
  <c r="AQ40" i="8"/>
  <c r="AM23" i="6"/>
  <c r="AI37" i="4"/>
  <c r="Y23" i="5"/>
  <c r="J34" i="6"/>
  <c r="AS31" i="4"/>
  <c r="J31" i="4" s="1"/>
  <c r="AS35" i="4"/>
  <c r="J35" i="4" s="1"/>
  <c r="AS30" i="4"/>
  <c r="J30" i="4" s="1"/>
  <c r="AS32" i="4"/>
  <c r="AS29" i="4"/>
  <c r="J29" i="4" s="1"/>
  <c r="AS28" i="4"/>
  <c r="J28" i="4" s="1"/>
  <c r="AS27" i="4"/>
  <c r="J27" i="4" s="1"/>
  <c r="AS26" i="4"/>
  <c r="J26" i="4" s="1"/>
  <c r="AS25" i="4"/>
  <c r="J25" i="4" s="1"/>
  <c r="AS34" i="4"/>
  <c r="J34" i="4" s="1"/>
  <c r="AS33" i="4"/>
  <c r="AG23" i="6"/>
  <c r="AK23" i="4"/>
  <c r="J27" i="6"/>
  <c r="AE37" i="6"/>
  <c r="B37" i="20" l="1"/>
  <c r="B38" i="20"/>
  <c r="B36" i="20"/>
  <c r="BO7" i="19"/>
  <c r="BK43" i="19"/>
  <c r="BK20" i="19"/>
  <c r="BK19" i="19"/>
  <c r="BS42" i="19"/>
  <c r="BK48" i="19"/>
  <c r="BK37" i="19"/>
  <c r="BK13" i="19"/>
  <c r="BO12" i="19"/>
  <c r="BK54" i="19"/>
  <c r="BK46" i="19"/>
  <c r="BK35" i="19"/>
  <c r="BK59" i="19"/>
  <c r="BK28" i="19"/>
  <c r="BK11" i="19"/>
  <c r="BS47" i="19"/>
  <c r="BK41" i="19"/>
  <c r="BK22" i="19"/>
  <c r="BO11" i="19"/>
  <c r="BK30" i="19"/>
  <c r="BO14" i="19"/>
  <c r="BK50" i="19"/>
  <c r="BK56" i="19"/>
  <c r="BK58" i="19"/>
  <c r="BO10" i="19"/>
  <c r="BK23" i="19"/>
  <c r="BS34" i="19"/>
  <c r="BK9" i="19"/>
  <c r="BK42" i="19"/>
  <c r="BK47" i="19"/>
  <c r="BS38" i="19"/>
  <c r="BK55" i="19"/>
  <c r="BK52" i="19"/>
  <c r="BK6" i="19"/>
  <c r="BS27" i="19"/>
  <c r="BO13" i="19"/>
  <c r="BS21" i="19"/>
  <c r="BS17" i="19"/>
  <c r="BK21" i="19"/>
  <c r="BK12" i="19"/>
  <c r="BK36" i="19"/>
  <c r="BK10" i="19"/>
  <c r="BK39" i="19"/>
  <c r="BK18" i="19"/>
  <c r="BK45" i="19"/>
  <c r="BS30" i="19"/>
  <c r="BK40" i="19"/>
  <c r="BK34" i="19"/>
  <c r="BK27" i="19"/>
  <c r="BK33" i="19"/>
  <c r="BK44" i="19"/>
  <c r="BS45" i="19"/>
  <c r="BS37" i="19"/>
  <c r="H37" i="19"/>
  <c r="BK16" i="19"/>
  <c r="BS35" i="19"/>
  <c r="BK7" i="19"/>
  <c r="BS22" i="19"/>
  <c r="BK24" i="19"/>
  <c r="BS18" i="19"/>
  <c r="BS43" i="19"/>
  <c r="BO8" i="19"/>
  <c r="BS28" i="19"/>
  <c r="BK57" i="19"/>
  <c r="J37" i="10"/>
  <c r="AS37" i="10"/>
  <c r="AS36" i="10" s="1"/>
  <c r="H41" i="4"/>
  <c r="H26" i="4"/>
  <c r="H40" i="4"/>
  <c r="H30" i="4"/>
  <c r="H34" i="4"/>
  <c r="H48" i="4"/>
  <c r="H28" i="5"/>
  <c r="J37" i="4"/>
  <c r="H39" i="4"/>
  <c r="BR25" i="5"/>
  <c r="BJ56" i="5"/>
  <c r="BR26" i="5"/>
  <c r="BR27" i="5"/>
  <c r="BJ55" i="5"/>
  <c r="H41" i="5"/>
  <c r="H29" i="8"/>
  <c r="H46" i="5"/>
  <c r="BN11" i="5" s="1"/>
  <c r="H27" i="5"/>
  <c r="H45" i="5"/>
  <c r="BR30" i="5" s="1"/>
  <c r="H27" i="4"/>
  <c r="H28" i="4"/>
  <c r="H33" i="5"/>
  <c r="H29" i="4"/>
  <c r="H27" i="6"/>
  <c r="H30" i="6"/>
  <c r="H44" i="4"/>
  <c r="J41" i="7"/>
  <c r="H30" i="5"/>
  <c r="H44" i="5"/>
  <c r="BR29" i="5" s="1"/>
  <c r="H31" i="4"/>
  <c r="H28" i="8"/>
  <c r="H32" i="8"/>
  <c r="H48" i="5"/>
  <c r="H45" i="4"/>
  <c r="J42" i="6"/>
  <c r="H33" i="7"/>
  <c r="H33" i="8"/>
  <c r="H32" i="4"/>
  <c r="H42" i="4"/>
  <c r="H31" i="8"/>
  <c r="J45" i="6"/>
  <c r="J25" i="5"/>
  <c r="H34" i="8"/>
  <c r="AS23" i="6"/>
  <c r="AC37" i="6"/>
  <c r="AM37" i="6"/>
  <c r="Y36" i="8"/>
  <c r="H26" i="7"/>
  <c r="J24" i="8"/>
  <c r="H25" i="8" s="1"/>
  <c r="AI37" i="6"/>
  <c r="H33" i="6"/>
  <c r="H29" i="5"/>
  <c r="H43" i="4"/>
  <c r="Y37" i="6"/>
  <c r="J39" i="6"/>
  <c r="H47" i="5"/>
  <c r="BJ54" i="5" s="1"/>
  <c r="AS37" i="4"/>
  <c r="Y37" i="7"/>
  <c r="J23" i="7"/>
  <c r="H25" i="7"/>
  <c r="H26" i="5"/>
  <c r="H47" i="4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H44" i="8" s="1"/>
  <c r="AS47" i="8"/>
  <c r="AS46" i="8"/>
  <c r="J46" i="8" s="1"/>
  <c r="AS38" i="8"/>
  <c r="AS36" i="8" s="1"/>
  <c r="AS41" i="8"/>
  <c r="J41" i="8" s="1"/>
  <c r="AS42" i="8"/>
  <c r="J23" i="4"/>
  <c r="H31" i="5"/>
  <c r="H35" i="4"/>
  <c r="H34" i="6"/>
  <c r="J47" i="8"/>
  <c r="J45" i="7"/>
  <c r="H49" i="5"/>
  <c r="AS41" i="7"/>
  <c r="AS44" i="7"/>
  <c r="J44" i="7" s="1"/>
  <c r="AS40" i="7"/>
  <c r="J40" i="7" s="1"/>
  <c r="AS48" i="7"/>
  <c r="AS47" i="7"/>
  <c r="J47" i="7" s="1"/>
  <c r="H47" i="7" s="1"/>
  <c r="AS39" i="7"/>
  <c r="AS37" i="7" s="1"/>
  <c r="AS45" i="7"/>
  <c r="AS46" i="7"/>
  <c r="AS42" i="7"/>
  <c r="J42" i="7" s="1"/>
  <c r="AS43" i="7"/>
  <c r="J43" i="7" s="1"/>
  <c r="AS49" i="7"/>
  <c r="J49" i="7" s="1"/>
  <c r="H29" i="7"/>
  <c r="J25" i="6"/>
  <c r="H28" i="6" s="1"/>
  <c r="AO37" i="6"/>
  <c r="J46" i="7"/>
  <c r="AS44" i="6"/>
  <c r="J44" i="6" s="1"/>
  <c r="AS41" i="6"/>
  <c r="J41" i="6" s="1"/>
  <c r="H41" i="6" s="1"/>
  <c r="AS42" i="6"/>
  <c r="AS40" i="6"/>
  <c r="J40" i="6" s="1"/>
  <c r="H40" i="6" s="1"/>
  <c r="AS47" i="6"/>
  <c r="J47" i="6" s="1"/>
  <c r="AS48" i="6"/>
  <c r="J48" i="6" s="1"/>
  <c r="H48" i="6" s="1"/>
  <c r="AS45" i="6"/>
  <c r="AS39" i="6"/>
  <c r="AS46" i="6"/>
  <c r="J46" i="6" s="1"/>
  <c r="H46" i="6" s="1"/>
  <c r="AS49" i="6"/>
  <c r="J49" i="6" s="1"/>
  <c r="AS43" i="6"/>
  <c r="J43" i="6" s="1"/>
  <c r="H29" i="6"/>
  <c r="J42" i="8"/>
  <c r="H43" i="5"/>
  <c r="BR28" i="5" s="1"/>
  <c r="H35" i="6"/>
  <c r="H30" i="8"/>
  <c r="H33" i="4"/>
  <c r="H34" i="5"/>
  <c r="AS36" i="4"/>
  <c r="AS23" i="4"/>
  <c r="AS22" i="4" s="1"/>
  <c r="AS22" i="6"/>
  <c r="J48" i="7"/>
  <c r="AS22" i="5"/>
  <c r="J37" i="5"/>
  <c r="H39" i="5"/>
  <c r="H37" i="5" s="1"/>
  <c r="H35" i="5"/>
  <c r="BN14" i="5" s="1"/>
  <c r="H25" i="4"/>
  <c r="H46" i="4"/>
  <c r="H49" i="4"/>
  <c r="AK37" i="6"/>
  <c r="H35" i="7"/>
  <c r="H30" i="7"/>
  <c r="AS21" i="8"/>
  <c r="B37" i="19" l="1"/>
  <c r="B36" i="19"/>
  <c r="B38" i="19"/>
  <c r="BR15" i="4"/>
  <c r="BJ14" i="4"/>
  <c r="BJ22" i="4"/>
  <c r="BJ21" i="4"/>
  <c r="BR41" i="4"/>
  <c r="BJ18" i="4"/>
  <c r="BJ20" i="4"/>
  <c r="BJ19" i="4"/>
  <c r="BJ17" i="4"/>
  <c r="BN5" i="4"/>
  <c r="BN13" i="4"/>
  <c r="BN9" i="4"/>
  <c r="BR16" i="4"/>
  <c r="BR17" i="4"/>
  <c r="BR18" i="4"/>
  <c r="BJ47" i="4"/>
  <c r="BR40" i="4"/>
  <c r="BR14" i="4"/>
  <c r="BR46" i="4"/>
  <c r="BR42" i="4"/>
  <c r="BJ46" i="4"/>
  <c r="BJ48" i="4"/>
  <c r="BR4" i="4"/>
  <c r="BJ15" i="4"/>
  <c r="BR39" i="4"/>
  <c r="BR43" i="4"/>
  <c r="BJ16" i="4"/>
  <c r="BJ52" i="6"/>
  <c r="BJ55" i="6"/>
  <c r="H41" i="8"/>
  <c r="BR21" i="8" s="1"/>
  <c r="BJ22" i="8"/>
  <c r="BJ18" i="8"/>
  <c r="BJ19" i="8"/>
  <c r="BJ17" i="8"/>
  <c r="H43" i="6"/>
  <c r="BJ31" i="6" s="1"/>
  <c r="H44" i="6"/>
  <c r="H45" i="8"/>
  <c r="BJ33" i="6"/>
  <c r="BJ36" i="6"/>
  <c r="BJ34" i="6"/>
  <c r="BJ32" i="6"/>
  <c r="BR8" i="6"/>
  <c r="BR9" i="6"/>
  <c r="H43" i="8"/>
  <c r="BR20" i="6"/>
  <c r="BR26" i="6"/>
  <c r="BN11" i="6"/>
  <c r="BJ50" i="6"/>
  <c r="BJ51" i="7"/>
  <c r="BR47" i="7"/>
  <c r="BJ54" i="7"/>
  <c r="BJ28" i="7"/>
  <c r="BJ35" i="7"/>
  <c r="H47" i="6"/>
  <c r="BR19" i="6"/>
  <c r="BR25" i="6"/>
  <c r="H43" i="7"/>
  <c r="H44" i="7"/>
  <c r="H46" i="8"/>
  <c r="BJ20" i="8" s="1"/>
  <c r="H49" i="6"/>
  <c r="BJ37" i="6" s="1"/>
  <c r="BR36" i="8"/>
  <c r="BR35" i="8"/>
  <c r="BJ57" i="8"/>
  <c r="BR38" i="8"/>
  <c r="BR37" i="8"/>
  <c r="BR34" i="8"/>
  <c r="BJ29" i="5"/>
  <c r="BJ28" i="5"/>
  <c r="BJ27" i="5"/>
  <c r="BJ24" i="5"/>
  <c r="BJ30" i="5"/>
  <c r="BJ25" i="5"/>
  <c r="BJ23" i="5"/>
  <c r="BJ26" i="5"/>
  <c r="BR6" i="5"/>
  <c r="BR5" i="5"/>
  <c r="BN6" i="5"/>
  <c r="BJ38" i="6"/>
  <c r="BJ42" i="6"/>
  <c r="BJ41" i="6"/>
  <c r="BJ39" i="6"/>
  <c r="BJ43" i="6"/>
  <c r="BJ40" i="6"/>
  <c r="BR12" i="6"/>
  <c r="BR11" i="6"/>
  <c r="BJ55" i="8"/>
  <c r="BR30" i="8"/>
  <c r="BR27" i="8"/>
  <c r="BR29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H48" i="7"/>
  <c r="BR23" i="8"/>
  <c r="BJ50" i="8"/>
  <c r="BN10" i="8"/>
  <c r="BJ52" i="8"/>
  <c r="H46" i="7"/>
  <c r="BN14" i="4"/>
  <c r="AS35" i="8"/>
  <c r="BJ59" i="4"/>
  <c r="H26" i="8"/>
  <c r="BJ45" i="4"/>
  <c r="BJ45" i="7"/>
  <c r="BJ46" i="7"/>
  <c r="BJ47" i="7"/>
  <c r="BN9" i="7"/>
  <c r="BR18" i="7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BJ21" i="7"/>
  <c r="BJ19" i="7"/>
  <c r="BJ17" i="7"/>
  <c r="BJ16" i="7"/>
  <c r="BJ20" i="7"/>
  <c r="BJ18" i="7"/>
  <c r="BN14" i="6"/>
  <c r="J23" i="6"/>
  <c r="H25" i="6"/>
  <c r="H27" i="8"/>
  <c r="J38" i="8"/>
  <c r="H39" i="8" s="1"/>
  <c r="BN14" i="8"/>
  <c r="BR35" i="7"/>
  <c r="BJ57" i="7"/>
  <c r="BR37" i="7"/>
  <c r="BR36" i="7"/>
  <c r="BR38" i="7"/>
  <c r="BN12" i="7"/>
  <c r="BR35" i="4"/>
  <c r="BJ57" i="4"/>
  <c r="BJ58" i="4"/>
  <c r="BR38" i="4"/>
  <c r="BR34" i="4"/>
  <c r="BR37" i="4"/>
  <c r="BR36" i="4"/>
  <c r="BN12" i="4"/>
  <c r="BR33" i="4"/>
  <c r="BR31" i="4"/>
  <c r="BR32" i="4"/>
  <c r="BJ42" i="5"/>
  <c r="BJ41" i="5"/>
  <c r="BJ40" i="5"/>
  <c r="BJ43" i="5"/>
  <c r="BJ38" i="5"/>
  <c r="BR13" i="5"/>
  <c r="BR12" i="5"/>
  <c r="BJ39" i="5"/>
  <c r="BR10" i="5"/>
  <c r="BN8" i="5"/>
  <c r="BR11" i="5"/>
  <c r="H42" i="6"/>
  <c r="BN7" i="6" s="1"/>
  <c r="BJ45" i="5"/>
  <c r="BJ44" i="5"/>
  <c r="BJ48" i="5"/>
  <c r="BJ46" i="5"/>
  <c r="BR16" i="5"/>
  <c r="BR17" i="5"/>
  <c r="BR15" i="5"/>
  <c r="BR14" i="5"/>
  <c r="BJ47" i="5"/>
  <c r="BR18" i="5"/>
  <c r="BN9" i="5"/>
  <c r="BJ48" i="6"/>
  <c r="BJ46" i="6"/>
  <c r="BJ47" i="6"/>
  <c r="BR14" i="6"/>
  <c r="BJ45" i="6"/>
  <c r="BR15" i="6"/>
  <c r="BR18" i="6"/>
  <c r="BR16" i="6"/>
  <c r="BN9" i="6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AS36" i="7"/>
  <c r="BJ58" i="6"/>
  <c r="BJ57" i="6"/>
  <c r="BR38" i="6"/>
  <c r="BR33" i="6"/>
  <c r="BN12" i="6"/>
  <c r="BR36" i="6"/>
  <c r="BR32" i="6"/>
  <c r="BR31" i="6"/>
  <c r="J23" i="5"/>
  <c r="H25" i="5"/>
  <c r="BR47" i="4"/>
  <c r="BJ33" i="4"/>
  <c r="BN7" i="4"/>
  <c r="BJ35" i="4"/>
  <c r="BJ34" i="4"/>
  <c r="BJ37" i="4"/>
  <c r="BR9" i="4"/>
  <c r="BR8" i="4"/>
  <c r="BJ32" i="4"/>
  <c r="BJ31" i="4"/>
  <c r="BJ36" i="4"/>
  <c r="BR7" i="4"/>
  <c r="H45" i="7"/>
  <c r="J22" i="8"/>
  <c r="H24" i="8"/>
  <c r="BJ30" i="6"/>
  <c r="BJ25" i="6"/>
  <c r="BJ26" i="6"/>
  <c r="BJ29" i="6"/>
  <c r="BJ28" i="6"/>
  <c r="BJ27" i="6"/>
  <c r="BN6" i="6"/>
  <c r="BJ23" i="6"/>
  <c r="BR6" i="6"/>
  <c r="BR5" i="6"/>
  <c r="J39" i="7"/>
  <c r="H40" i="7" s="1"/>
  <c r="J37" i="6"/>
  <c r="H39" i="6"/>
  <c r="BR7" i="6" s="1"/>
  <c r="BR35" i="5"/>
  <c r="BR33" i="5"/>
  <c r="BJ57" i="5"/>
  <c r="BR37" i="5"/>
  <c r="BR36" i="5"/>
  <c r="BR34" i="5"/>
  <c r="BJ58" i="5"/>
  <c r="BR32" i="5"/>
  <c r="BR31" i="5"/>
  <c r="BR38" i="5"/>
  <c r="BN12" i="5"/>
  <c r="BJ44" i="8"/>
  <c r="BR18" i="8"/>
  <c r="BJ45" i="8"/>
  <c r="BJ48" i="8"/>
  <c r="BN9" i="8"/>
  <c r="BJ32" i="5"/>
  <c r="BJ31" i="5"/>
  <c r="BJ35" i="5"/>
  <c r="BJ33" i="5"/>
  <c r="BJ37" i="5"/>
  <c r="BJ36" i="5"/>
  <c r="BJ34" i="5"/>
  <c r="BR8" i="5"/>
  <c r="BR9" i="5"/>
  <c r="BN7" i="5"/>
  <c r="BR7" i="5"/>
  <c r="BJ8" i="4"/>
  <c r="H23" i="4"/>
  <c r="BJ12" i="4"/>
  <c r="BJ13" i="4"/>
  <c r="BJ7" i="4"/>
  <c r="BJ11" i="4"/>
  <c r="BJ6" i="4"/>
  <c r="BN4" i="4"/>
  <c r="BJ9" i="4"/>
  <c r="BJ10" i="4"/>
  <c r="BJ5" i="4"/>
  <c r="BJ4" i="4"/>
  <c r="BJ38" i="7"/>
  <c r="BJ42" i="7"/>
  <c r="BJ41" i="7"/>
  <c r="BJ39" i="7"/>
  <c r="BN8" i="7"/>
  <c r="BJ40" i="7"/>
  <c r="BR45" i="4"/>
  <c r="BR24" i="5"/>
  <c r="H49" i="7"/>
  <c r="H45" i="6"/>
  <c r="BR37" i="6" s="1"/>
  <c r="H47" i="8"/>
  <c r="BJ47" i="8" s="1"/>
  <c r="BJ40" i="8"/>
  <c r="BJ39" i="8"/>
  <c r="BJ38" i="8"/>
  <c r="BJ42" i="8"/>
  <c r="BN8" i="8"/>
  <c r="BR46" i="5"/>
  <c r="BR42" i="5"/>
  <c r="BR41" i="5"/>
  <c r="BR40" i="5"/>
  <c r="BR43" i="5"/>
  <c r="BR47" i="5"/>
  <c r="BR39" i="5"/>
  <c r="BN13" i="5"/>
  <c r="BR44" i="5"/>
  <c r="BR45" i="5"/>
  <c r="BJ59" i="5"/>
  <c r="AS37" i="6"/>
  <c r="AS36" i="6" s="1"/>
  <c r="BR45" i="6"/>
  <c r="BR44" i="6"/>
  <c r="BR40" i="6"/>
  <c r="BJ59" i="6"/>
  <c r="BR42" i="6"/>
  <c r="BR46" i="6"/>
  <c r="BR41" i="6"/>
  <c r="BN13" i="6"/>
  <c r="BR39" i="6"/>
  <c r="BR47" i="6"/>
  <c r="BJ53" i="5"/>
  <c r="BJ49" i="5"/>
  <c r="BJ52" i="5"/>
  <c r="BR20" i="5"/>
  <c r="BJ50" i="5"/>
  <c r="BR21" i="5"/>
  <c r="BR19" i="5"/>
  <c r="BR22" i="5"/>
  <c r="BJ51" i="5"/>
  <c r="BN10" i="5"/>
  <c r="BR23" i="5"/>
  <c r="BJ21" i="5"/>
  <c r="BJ19" i="5"/>
  <c r="BJ17" i="5"/>
  <c r="BJ22" i="5"/>
  <c r="BJ18" i="5"/>
  <c r="BJ14" i="5"/>
  <c r="BR4" i="5"/>
  <c r="B39" i="5" s="1"/>
  <c r="BJ15" i="5"/>
  <c r="BN5" i="5"/>
  <c r="BJ16" i="5"/>
  <c r="BJ20" i="5"/>
  <c r="BJ9" i="7"/>
  <c r="BJ8" i="7"/>
  <c r="BJ11" i="7"/>
  <c r="BJ12" i="7"/>
  <c r="BJ10" i="7"/>
  <c r="H23" i="7"/>
  <c r="BJ7" i="7"/>
  <c r="BJ59" i="8"/>
  <c r="BR45" i="8"/>
  <c r="BR43" i="8"/>
  <c r="BR46" i="8"/>
  <c r="BR42" i="8"/>
  <c r="BR47" i="8"/>
  <c r="BR44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H26" i="6"/>
  <c r="BJ44" i="4"/>
  <c r="H37" i="4"/>
  <c r="B39" i="4" l="1"/>
  <c r="B37" i="4"/>
  <c r="BR15" i="8"/>
  <c r="BR32" i="8"/>
  <c r="BR40" i="8"/>
  <c r="BR25" i="8"/>
  <c r="BR11" i="8"/>
  <c r="BN5" i="8"/>
  <c r="BR19" i="8"/>
  <c r="BR6" i="7"/>
  <c r="BR25" i="7"/>
  <c r="BR19" i="7"/>
  <c r="BR40" i="7"/>
  <c r="BR8" i="7"/>
  <c r="BN5" i="7"/>
  <c r="BR15" i="7"/>
  <c r="BJ4" i="7"/>
  <c r="B38" i="7" s="1"/>
  <c r="BR11" i="7"/>
  <c r="BR32" i="7"/>
  <c r="BR43" i="6"/>
  <c r="BJ22" i="6"/>
  <c r="BJ20" i="6"/>
  <c r="BJ21" i="6"/>
  <c r="BJ19" i="6"/>
  <c r="BN5" i="6"/>
  <c r="BR4" i="6"/>
  <c r="BJ15" i="6"/>
  <c r="BJ18" i="6"/>
  <c r="BJ16" i="6"/>
  <c r="BJ14" i="6"/>
  <c r="BJ17" i="6"/>
  <c r="BR17" i="8"/>
  <c r="BR35" i="6"/>
  <c r="BR22" i="8"/>
  <c r="BR28" i="8"/>
  <c r="BN12" i="8"/>
  <c r="BR23" i="6"/>
  <c r="BR29" i="6"/>
  <c r="BJ21" i="8"/>
  <c r="BJ59" i="7"/>
  <c r="BJ56" i="7"/>
  <c r="BJ37" i="7"/>
  <c r="BJ30" i="7"/>
  <c r="BJ53" i="7"/>
  <c r="H42" i="7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3" i="7"/>
  <c r="BJ46" i="8"/>
  <c r="BJ58" i="7"/>
  <c r="BJ5" i="6"/>
  <c r="BN4" i="6"/>
  <c r="B37" i="6" s="1"/>
  <c r="H23" i="6"/>
  <c r="BJ13" i="6"/>
  <c r="BJ9" i="6"/>
  <c r="BJ10" i="6"/>
  <c r="BJ12" i="6"/>
  <c r="BJ6" i="6"/>
  <c r="BJ8" i="6"/>
  <c r="BJ7" i="6"/>
  <c r="BJ11" i="6"/>
  <c r="BJ4" i="6"/>
  <c r="BJ22" i="7"/>
  <c r="BJ53" i="8"/>
  <c r="BJ36" i="7"/>
  <c r="BJ52" i="7"/>
  <c r="BJ55" i="7"/>
  <c r="BJ29" i="7"/>
  <c r="BN13" i="7"/>
  <c r="BR13" i="6"/>
  <c r="BJ54" i="6"/>
  <c r="BJ51" i="6"/>
  <c r="H41" i="7"/>
  <c r="BR22" i="6"/>
  <c r="BR28" i="6"/>
  <c r="BJ43" i="8"/>
  <c r="BR17" i="6"/>
  <c r="BJ54" i="8"/>
  <c r="BJ56" i="6"/>
  <c r="BJ53" i="6"/>
  <c r="BJ15" i="8"/>
  <c r="B38" i="4"/>
  <c r="BJ24" i="6"/>
  <c r="BJ13" i="5"/>
  <c r="H23" i="5"/>
  <c r="BJ9" i="5"/>
  <c r="BJ10" i="5"/>
  <c r="BN4" i="5"/>
  <c r="B37" i="5" s="1"/>
  <c r="B36" i="5" s="1"/>
  <c r="BJ11" i="5"/>
  <c r="BJ12" i="5"/>
  <c r="BJ8" i="5"/>
  <c r="BJ6" i="5"/>
  <c r="BJ5" i="5"/>
  <c r="BJ7" i="5"/>
  <c r="BJ4" i="5"/>
  <c r="B38" i="5" s="1"/>
  <c r="BR21" i="6"/>
  <c r="BR27" i="6"/>
  <c r="J36" i="8"/>
  <c r="H38" i="8"/>
  <c r="BN4" i="8" s="1"/>
  <c r="B37" i="8" s="1"/>
  <c r="B36" i="8" s="1"/>
  <c r="BJ48" i="7"/>
  <c r="BJ56" i="8"/>
  <c r="BN8" i="6"/>
  <c r="BR23" i="7"/>
  <c r="BR44" i="7"/>
  <c r="BJ32" i="7"/>
  <c r="BJ25" i="7"/>
  <c r="BR29" i="7"/>
  <c r="BJ35" i="6"/>
  <c r="J37" i="7"/>
  <c r="H39" i="7"/>
  <c r="BJ8" i="8"/>
  <c r="BJ12" i="8"/>
  <c r="H22" i="8"/>
  <c r="BJ4" i="8"/>
  <c r="B38" i="8" s="1"/>
  <c r="BJ7" i="8"/>
  <c r="BJ13" i="8"/>
  <c r="BJ10" i="8"/>
  <c r="BJ6" i="8"/>
  <c r="BJ11" i="8"/>
  <c r="BJ9" i="8"/>
  <c r="BJ13" i="7"/>
  <c r="BN13" i="8"/>
  <c r="BR13" i="8"/>
  <c r="BN10" i="6"/>
  <c r="BR30" i="6"/>
  <c r="H37" i="6"/>
  <c r="BJ49" i="6"/>
  <c r="BR24" i="6"/>
  <c r="BJ33" i="7"/>
  <c r="BR45" i="7"/>
  <c r="BR30" i="7"/>
  <c r="BN10" i="7"/>
  <c r="BJ26" i="7"/>
  <c r="BR34" i="6"/>
  <c r="BJ44" i="6"/>
  <c r="BJ34" i="8"/>
  <c r="BJ36" i="8"/>
  <c r="BJ35" i="8"/>
  <c r="BJ31" i="8"/>
  <c r="BJ32" i="8"/>
  <c r="BJ33" i="8"/>
  <c r="BJ37" i="8"/>
  <c r="BR8" i="8"/>
  <c r="BN7" i="8"/>
  <c r="BR7" i="8"/>
  <c r="BN14" i="7"/>
  <c r="BJ44" i="7"/>
  <c r="BR46" i="7"/>
  <c r="BJ34" i="7"/>
  <c r="BN11" i="7"/>
  <c r="BJ27" i="7"/>
  <c r="BJ50" i="7"/>
  <c r="BR10" i="6"/>
  <c r="BR28" i="7"/>
  <c r="BJ24" i="7"/>
  <c r="BR22" i="7"/>
  <c r="BJ31" i="7"/>
  <c r="BR43" i="7"/>
  <c r="H40" i="8"/>
  <c r="B36" i="4" l="1"/>
  <c r="B38" i="6"/>
  <c r="B36" i="6" s="1"/>
  <c r="BR26" i="8"/>
  <c r="BR16" i="8"/>
  <c r="BJ14" i="8"/>
  <c r="BR33" i="8"/>
  <c r="BR12" i="8"/>
  <c r="BR20" i="8"/>
  <c r="BR41" i="8"/>
  <c r="B39" i="6"/>
  <c r="BR9" i="8"/>
  <c r="H37" i="7"/>
  <c r="BR39" i="7"/>
  <c r="BR7" i="7"/>
  <c r="BR5" i="7"/>
  <c r="BR24" i="7"/>
  <c r="BJ49" i="7"/>
  <c r="BN4" i="7"/>
  <c r="B37" i="7" s="1"/>
  <c r="B36" i="7" s="1"/>
  <c r="BR14" i="7"/>
  <c r="BR31" i="7"/>
  <c r="BR10" i="7"/>
  <c r="BR4" i="7"/>
  <c r="B39" i="7" s="1"/>
  <c r="BN6" i="7"/>
  <c r="BR41" i="7"/>
  <c r="BR9" i="7"/>
  <c r="BR20" i="7"/>
  <c r="BR26" i="7"/>
  <c r="BR33" i="7"/>
  <c r="BR12" i="7"/>
  <c r="BR16" i="7"/>
  <c r="BJ14" i="7"/>
  <c r="BJ5" i="7"/>
  <c r="BJ5" i="8"/>
  <c r="H36" i="8"/>
  <c r="BR24" i="8"/>
  <c r="BJ49" i="8"/>
  <c r="BR14" i="8"/>
  <c r="BR4" i="8"/>
  <c r="B39" i="8" s="1"/>
  <c r="BR39" i="8"/>
  <c r="BR10" i="8"/>
  <c r="BR31" i="8"/>
  <c r="BR27" i="7"/>
  <c r="BR21" i="7"/>
  <c r="BR42" i="7"/>
  <c r="BN7" i="7"/>
  <c r="BJ23" i="7"/>
  <c r="BJ15" i="7"/>
  <c r="BR13" i="7"/>
  <c r="BR17" i="7"/>
  <c r="BR34" i="7"/>
  <c r="BJ6" i="7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Y15" i="10" s="1"/>
  <c r="AG15" i="10" s="1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3" i="10" l="1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X15" i="10"/>
  <c r="AA14" i="10" s="1"/>
  <c r="AB14" i="10" s="1"/>
  <c r="U4" i="10"/>
  <c r="Y4" i="10" s="1"/>
  <c r="U9" i="10"/>
  <c r="Y9" i="10" s="1"/>
  <c r="AG9" i="10" s="1"/>
  <c r="AH9" i="10" s="1"/>
  <c r="AH10" i="10"/>
  <c r="AH15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5BAEF47-B131-4521-BB92-9FCC70BC983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72CB2573-C3CB-432D-B981-8D2EA95283D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60A3CBE-25BC-41B0-86F2-E90408EFE43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014AA56-85B8-4A6F-89C5-E18727776D2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9DE704CB-C2D7-4FBB-84BA-8B804D41BFD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6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6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600-00001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6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600-000016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6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6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6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6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6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6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6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6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6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6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6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600-00000F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6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6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6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6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6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E6E394AC-1DC3-4CA1-857E-1E96B065BCA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F7E3CCB6-DFC9-4064-9C90-CF117B57CCC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BDB5F5C6-C15B-4137-906E-03DBE0C506D9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D417008-66B8-42D2-BB26-D993797D98C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39E0B5A-0D00-425F-9B50-B0B164EA7DC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5DA15C6D-274C-4A2A-B432-E517D419236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7E72A2AB-ECB5-48FA-B79A-7B2714AD257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9A912FB-C48F-4136-ABFE-92FDD0094C98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18A47836-D596-423B-8D72-95B69C23EE4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1F7C0733-C461-42C4-8FE4-447DC57D1CC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F4CEF2D-EE2E-4CAE-A1B0-080231986308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79DFE4-3DF2-4E0A-AC87-4DB51E93FE5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D1015BF-7127-4795-8DC1-342263223AC7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FB3FE13-C0F3-498C-A699-F0E82B4CE7A1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4278B75-A05A-449E-80C5-5F7D379FB752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3BD3D65-E09B-4CB3-9552-3320E84ED948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828384A-2048-4176-B77B-BFF75825F7F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E9973C93-6D83-4CC2-A320-3F269548D7AC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A83F748-573D-4AFE-BA28-EB693680C8C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75ECEBD-681C-49D0-8B48-67AA48FA642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4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4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5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5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5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<sst xmlns="http://schemas.openxmlformats.org/spreadsheetml/2006/main" count="2221" uniqueCount="197">
  <si>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</si>
  <si>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</si>
  <si>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</si>
  <si>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</si>
  <si>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</si>
  <si>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</si>
  <si>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</si>
  <si>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</si>
  <si>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</si>
  <si>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</si>
  <si>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</si>
  <si>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</si>
  <si>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</si>
  <si>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</si>
  <si>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</si>
  <si>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</si>
  <si>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</si>
  <si>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</si>
  <si>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</si>
  <si>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</si>
  <si>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</si>
  <si>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</si>
  <si>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</si>
  <si>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</si>
  <si>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</si>
  <si>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</si>
  <si>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</si>
  <si>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</si>
  <si>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</si>
  <si>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</si>
  <si>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</si>
  <si>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</si>
  <si>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</si>
  <si>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</si>
  <si>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</si>
  <si>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</si>
  <si>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</si>
  <si>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</si>
  <si>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</si>
  <si>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</si>
  <si>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</si>
  <si>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</si>
  <si>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</si>
  <si>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</si>
  <si>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</si>
  <si>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</si>
  <si>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</si>
  <si>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</si>
  <si>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</si>
  <si>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</si>
  <si>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</si>
  <si>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</si>
  <si>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</si>
  <si>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</si>
  <si>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</si>
  <si>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</si>
  <si>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</si>
  <si>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</si>
  <si>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</si>
  <si>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</si>
  <si>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</si>
  <si>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</si>
  <si>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</si>
  <si>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</si>
  <si>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</si>
  <si>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</si>
  <si>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</si>
  <si>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</si>
  <si>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</si>
  <si>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</si>
  <si>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</si>
  <si>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</si>
  <si>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</si>
  <si>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</si>
  <si>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</si>
  <si>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</si>
  <si>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</si>
  <si>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</si>
  <si>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</si>
  <si>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</si>
  <si>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</si>
  <si>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</si>
  <si>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</si>
  <si>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</si>
  <si>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</si>
  <si>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</si>
  <si>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</si>
  <si>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</si>
  <si>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</si>
  <si>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</si>
  <si>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</si>
  <si>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</si>
  <si>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</si>
  <si>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</si>
  <si>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</si>
  <si>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</si>
  <si>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</si>
  <si>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</si>
  <si>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</si>
  <si>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</si>
  <si>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</si>
  <si>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</si>
  <si>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</si>
  <si>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</si>
  <si>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</si>
  <si>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</si>
  <si>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</si>
  <si>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</si>
  <si>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</si>
  <si>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</si>
  <si>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</si>
  <si>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</si>
  <si>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</si>
  <si>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</si>
  <si>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</si>
  <si>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</si>
  <si>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</si>
  <si>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</si>
  <si>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</si>
  <si>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</si>
  <si>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</si>
  <si>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</si>
  <si>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</si>
  <si>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</si>
  <si>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</si>
  <si>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</si>
  <si>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</si>
  <si>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</si>
  <si>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</si>
  <si>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</si>
  <si>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</si>
  <si>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</si>
  <si>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</si>
  <si>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</si>
  <si>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</si>
  <si>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</si>
  <si>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</si>
  <si>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</si>
  <si>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</si>
  <si>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</si>
  <si>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</si>
  <si>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</si>
  <si>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</si>
  <si>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</si>
  <si>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</si>
  <si>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</si>
  <si>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Eventos</t>
  </si>
  <si>
    <t>0,4</t>
  </si>
  <si>
    <t>0,6</t>
  </si>
  <si>
    <t>0,72</t>
  </si>
  <si>
    <t>pA</t>
  </si>
  <si>
    <t>Tiro lejano</t>
  </si>
  <si>
    <t>07</t>
  </si>
  <si>
    <t>JC</t>
  </si>
  <si>
    <t>Ev.Clima</t>
  </si>
  <si>
    <t>&lt;debil</t>
  </si>
  <si>
    <t>Constantes Clima</t>
  </si>
  <si>
    <t>pLocal50</t>
  </si>
  <si>
    <t>pVis50</t>
  </si>
  <si>
    <t>FORM</t>
  </si>
  <si>
    <t>rap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</si>
  <si>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</si>
  <si>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</si>
  <si>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</si>
  <si>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</si>
  <si>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</si>
  <si>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</si>
  <si>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</si>
  <si>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</si>
  <si>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</si>
  <si>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</si>
  <si>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</si>
  <si>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</si>
  <si>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</si>
  <si>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</si>
  <si>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</si>
  <si>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</si>
  <si>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</si>
  <si>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</si>
  <si>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</si>
  <si>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</si>
  <si>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</si>
  <si>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</si>
  <si>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</si>
  <si>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</si>
  <si>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</si>
  <si>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</si>
  <si>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</si>
  <si>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</si>
  <si>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Nano</t>
  </si>
  <si>
    <t>Coll de Rates</t>
  </si>
  <si>
    <t>LUKE</t>
  </si>
  <si>
    <t>AOW</t>
  </si>
  <si>
    <t>CA</t>
  </si>
  <si>
    <t>Metabarones</t>
  </si>
  <si>
    <t>Mateo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</si>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</sst>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#,##0.000_ ;\-#,##0.000\ "/>
  </numFmts>
  <fonts count="26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7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4" fillId="38" borderId="51" xfId="0" applyNumberFormat="1" applyFont="1" applyFill="1" applyBorder="1" applyAlignment="1">
      <alignment horizontal="center"/>
    </xf>
    <xf numFmtId="49" fontId="3" fillId="38" borderId="51" xfId="0" applyNumberFormat="1" applyFont="1" applyFill="1" applyBorder="1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6" fontId="0" fillId="0" borderId="2" xfId="0" applyNumberFormat="1" applyBorder="1"/>
    <xf numFmtId="166" fontId="0" fillId="0" borderId="2" xfId="0" applyNumberFormat="1" applyBorder="1"/>
    <xf numFmtId="166" fontId="0" fillId="0" borderId="53" xfId="0" applyNumberFormat="1" applyBorder="1"/>
    <xf numFmtId="166" fontId="0" fillId="0" borderId="53" xfId="0" applyNumberFormat="1" applyBorder="1"/>
    <xf numFmtId="165" fontId="3" fillId="0" borderId="2" xfId="2" applyNumberFormat="1" applyFont="1" applyBorder="1"/>
    <xf numFmtId="165" fontId="2" fillId="0" borderId="2" xfId="2" applyNumberFormat="1" applyFont="1" applyBorder="1"/>
    <xf numFmtId="165" fontId="3" fillId="0" borderId="0" xfId="2" applyNumberFormat="1" applyFont="1"/>
    <xf numFmtId="165" fontId="2" fillId="0" borderId="0" xfId="2" applyNumberFormat="1" applyFont="1"/>
    <xf numFmtId="165" fontId="4" fillId="0" borderId="2" xfId="2" applyNumberFormat="1" applyFont="1" applyBorder="1"/>
    <xf numFmtId="165" fontId="4" fillId="0" borderId="0" xfId="2" applyNumberFormat="1" applyFont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3" fillId="38" borderId="51" xfId="1" applyNumberFormat="1" applyFont="1" applyFill="1" applyBorder="1" applyAlignment="1">
      <alignment horizontal="center"/>
    </xf>
    <xf numFmtId="167" fontId="4" fillId="38" borderId="51" xfId="1" applyNumberFormat="1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9" fontId="3" fillId="38" borderId="51" xfId="1" applyNumberFormat="1" applyFont="1" applyFill="1" applyBorder="1" applyAlignment="1">
      <alignment horizontal="center"/>
    </xf>
    <xf numFmtId="169" fontId="4" fillId="38" borderId="51" xfId="1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4" borderId="51" xfId="0" applyNumberFormat="1" applyFont="1" applyFill="1" applyBorder="1"/>
    <xf numFmtId="2" fontId="4" fillId="44" borderId="51" xfId="0" applyNumberFormat="1" applyFont="1" applyFill="1" applyBorder="1"/>
    <xf numFmtId="2" fontId="3" fillId="44" borderId="51" xfId="0" applyNumberFormat="1" applyFont="1" applyFill="1" applyBorder="1" applyAlignment="1">
      <alignment wrapText="1"/>
    </xf>
    <xf numFmtId="2" fontId="4" fillId="44" borderId="51" xfId="0" applyNumberFormat="1" applyFont="1" applyFill="1" applyBorder="1" applyAlignment="1">
      <alignment wrapText="1"/>
    </xf>
    <xf numFmtId="0" fontId="1" fillId="44" borderId="51" xfId="0" applyFont="1" applyFill="1" applyBorder="1" applyAlignment="1">
      <alignment horizontal="right"/>
    </xf>
    <xf numFmtId="0" fontId="7" fillId="44" borderId="51" xfId="0" applyFont="1" applyFill="1" applyBorder="1" applyAlignment="1">
      <alignment horizontal="right"/>
    </xf>
    <xf numFmtId="9" fontId="3" fillId="44" borderId="51" xfId="2" applyFont="1" applyFill="1" applyBorder="1"/>
    <xf numFmtId="9" fontId="4" fillId="44" borderId="51" xfId="2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6" borderId="5" xfId="1" applyNumberFormat="1" applyFont="1" applyFill="1" applyBorder="1"/>
    <xf numFmtId="167" fontId="0" fillId="46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0" fillId="42" borderId="5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0" borderId="58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5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'VADER-Nano'!$G$25:$G$35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'VADER-Nano'!$H$25:$H$35</c:f>
              <c:numCache>
                <c:formatCode>0.0%</c:formatCode>
                <c:ptCount val="11"/>
                <c:pt idx="0">
                  <c:v>4.5183441067034404E-2</c:v>
                </c:pt>
                <c:pt idx="1">
                  <c:v>0.1597649611123001</c:v>
                </c:pt>
                <c:pt idx="2">
                  <c:v>0.25858068030152226</c:v>
                </c:pt>
                <c:pt idx="3">
                  <c:v>0.25348815784849721</c:v>
                </c:pt>
                <c:pt idx="4">
                  <c:v>0.16781963498725916</c:v>
                </c:pt>
                <c:pt idx="5">
                  <c:v>7.9190817062899446E-2</c:v>
                </c:pt>
                <c:pt idx="6">
                  <c:v>2.7391992377792312E-2</c:v>
                </c:pt>
                <c:pt idx="7">
                  <c:v>7.0318782189389044E-3</c:v>
                </c:pt>
                <c:pt idx="8">
                  <c:v>1.3405232217640858E-3</c:v>
                </c:pt>
                <c:pt idx="9">
                  <c:v>1.8773379851071459E-4</c:v>
                </c:pt>
                <c:pt idx="10">
                  <c:v>1.8834855335769646E-5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6-427A-A665-E1C632A089A6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'VADER-Nano'!$G$25:$G$35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'VADER-Nano'!$H$39:$H$49</c:f>
              <c:numCache>
                <c:formatCode>0.0%</c:formatCode>
                <c:ptCount val="11"/>
                <c:pt idx="0">
                  <c:v>0.31508447213853735</c:v>
                </c:pt>
                <c:pt idx="1">
                  <c:v>0.37111690940460468</c:v>
                </c:pt>
                <c:pt idx="2">
                  <c:v>0.20372405382995054</c:v>
                </c:pt>
                <c:pt idx="3">
                  <c:v>7.8566440204534016E-2</c:v>
                </c:pt>
                <c:pt idx="4">
                  <c:v>2.4335581073126049E-2</c:v>
                </c:pt>
                <c:pt idx="5">
                  <c:v>5.9293530467865105E-3</c:v>
                </c:pt>
                <c:pt idx="6">
                  <c:v>1.0833103123043457E-3</c:v>
                </c:pt>
                <c:pt idx="7">
                  <c:v>1.4483435250116385E-4</c:v>
                </c:pt>
                <c:pt idx="8">
                  <c:v>1.4024372105032984E-5</c:v>
                </c:pt>
                <c:pt idx="9">
                  <c:v>9.7250243631725042E-7</c:v>
                </c:pt>
                <c:pt idx="10">
                  <c:v>4.7202304591298334E-8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6-427A-A665-E1C632A0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246-44AA-8374-8382191FF02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246-44AA-8374-8382191FF02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46-44AA-8374-8382191FF020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3246-44AA-8374-8382191F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78-4C93-87C7-25014BC7314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F78-4C93-87C7-25014BC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954-49FB-9354-589796E115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954-49FB-9354-589796E11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954-49FB-9354-589796E11576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954-49FB-9354-589796E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741-41C2-AFA1-EDBD243D68FA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741-41C2-AFA1-EDBD243D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8A2-4F67-9096-6C7CF8CCB3F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8A2-4F67-9096-6C7CF8CCB3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A2-4F67-9096-6C7CF8CCB3F5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8A2-4F67-9096-6C7CF8C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'Nano-VADER'!$H$25:$H$35</c:f>
              <c:numCache>
                <c:formatCode>0.0%</c:formatCode>
                <c:ptCount val="11"/>
                <c:pt idx="0">
                  <c:v>0.23642152728184598</c:v>
                </c:pt>
                <c:pt idx="1">
                  <c:v>0.35281615079539785</c:v>
                </c:pt>
                <c:pt idx="2">
                  <c:v>0.24406451337572266</c:v>
                </c:pt>
                <c:pt idx="3">
                  <c:v>0.11188779959035192</c:v>
                </c:pt>
                <c:pt idx="4">
                  <c:v>3.9979797046587051E-2</c:v>
                </c:pt>
                <c:pt idx="5">
                  <c:v>1.1621745314991737E-2</c:v>
                </c:pt>
                <c:pt idx="6">
                  <c:v>2.6732661450334584E-3</c:v>
                </c:pt>
                <c:pt idx="7">
                  <c:v>4.6830927193722342E-4</c:v>
                </c:pt>
                <c:pt idx="8">
                  <c:v>6.0783808142021656E-5</c:v>
                </c:pt>
                <c:pt idx="9">
                  <c:v>5.7130216558480346E-6</c:v>
                </c:pt>
                <c:pt idx="10">
                  <c:v>3.7728913968242698E-7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4457-92F2-433EFFB107E6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'Nano-VADER'!$H$39:$H$49</c:f>
              <c:numCache>
                <c:formatCode>0.0%</c:formatCode>
                <c:ptCount val="11"/>
                <c:pt idx="0">
                  <c:v>9.7028957679469341E-2</c:v>
                </c:pt>
                <c:pt idx="1">
                  <c:v>0.24367822679167528</c:v>
                </c:pt>
                <c:pt idx="2">
                  <c:v>0.28142677377061553</c:v>
                </c:pt>
                <c:pt idx="3">
                  <c:v>0.20383957289425572</c:v>
                </c:pt>
                <c:pt idx="4">
                  <c:v>0.10753601065828797</c:v>
                </c:pt>
                <c:pt idx="5">
                  <c:v>4.5209865517960544E-2</c:v>
                </c:pt>
                <c:pt idx="6">
                  <c:v>1.5687088443583769E-2</c:v>
                </c:pt>
                <c:pt idx="7">
                  <c:v>4.4292836789744435E-3</c:v>
                </c:pt>
                <c:pt idx="8">
                  <c:v>9.7996873756089355E-4</c:v>
                </c:pt>
                <c:pt idx="9">
                  <c:v>1.6304137593998937E-4</c:v>
                </c:pt>
                <c:pt idx="10">
                  <c:v>1.9536676396602124E-5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457-92F2-433EFFB1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'Mateo-VADER'!$G$25:$G$35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'Mateo-VADER'!$H$25:$H$35</c:f>
              <c:numCache>
                <c:formatCode>0.0%</c:formatCode>
                <c:ptCount val="11"/>
                <c:pt idx="0">
                  <c:v>3.2725739805926919E-2</c:v>
                </c:pt>
                <c:pt idx="1">
                  <c:v>0.12575801135944076</c:v>
                </c:pt>
                <c:pt idx="2">
                  <c:v>0.22242886241177523</c:v>
                </c:pt>
                <c:pt idx="3">
                  <c:v>0.2432657442470931</c:v>
                </c:pt>
                <c:pt idx="4">
                  <c:v>0.18739948836654385</c:v>
                </c:pt>
                <c:pt idx="5">
                  <c:v>0.10996130561030031</c:v>
                </c:pt>
                <c:pt idx="6">
                  <c:v>5.1466152579285149E-2</c:v>
                </c:pt>
                <c:pt idx="7">
                  <c:v>1.9487779660872898E-2</c:v>
                </c:pt>
                <c:pt idx="8">
                  <c:v>5.8804305987014685E-3</c:v>
                </c:pt>
                <c:pt idx="9">
                  <c:v>1.3652581155349512E-3</c:v>
                </c:pt>
                <c:pt idx="10">
                  <c:v>2.3223516348198681E-4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B-4F53-A34C-A064CDF583D2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'Mateo-VADER'!$G$25:$G$35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'Mateo-VADER'!$H$39:$H$49</c:f>
              <c:numCache>
                <c:formatCode>0.0%</c:formatCode>
                <c:ptCount val="11"/>
                <c:pt idx="0">
                  <c:v>0.10731585762897031</c:v>
                </c:pt>
                <c:pt idx="1">
                  <c:v>0.25188851777189142</c:v>
                </c:pt>
                <c:pt idx="2">
                  <c:v>0.26539312400791143</c:v>
                </c:pt>
                <c:pt idx="3">
                  <c:v>0.18494429070635496</c:v>
                </c:pt>
                <c:pt idx="4">
                  <c:v>0.10736523317657005</c:v>
                </c:pt>
                <c:pt idx="5">
                  <c:v>5.419232239125725E-2</c:v>
                </c:pt>
                <c:pt idx="6">
                  <c:v>2.1469516705988553E-2</c:v>
                </c:pt>
                <c:pt idx="7">
                  <c:v>6.0904191445527341E-3</c:v>
                </c:pt>
                <c:pt idx="8">
                  <c:v>1.1779190101081805E-3</c:v>
                </c:pt>
                <c:pt idx="9">
                  <c:v>1.5003575346977008E-4</c:v>
                </c:pt>
                <c:pt idx="10">
                  <c:v>1.2136444445494422E-5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B-4F53-A34C-A064CDF5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'VADER-Metabarones'!$G$25:$G$35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'VADER-Metabarones'!$H$25:$H$35</c:f>
              <c:numCache>
                <c:formatCode>0.0%</c:formatCode>
                <c:ptCount val="11"/>
                <c:pt idx="0">
                  <c:v>4.522289110486466E-2</c:v>
                </c:pt>
                <c:pt idx="1">
                  <c:v>0.15717501158495925</c:v>
                </c:pt>
                <c:pt idx="2">
                  <c:v>0.2512582926030093</c:v>
                </c:pt>
                <c:pt idx="3">
                  <c:v>0.24640733028754933</c:v>
                </c:pt>
                <c:pt idx="4">
                  <c:v>0.16737634577610053</c:v>
                </c:pt>
                <c:pt idx="5">
                  <c:v>8.4632041247067302E-2</c:v>
                </c:pt>
                <c:pt idx="6">
                  <c:v>3.3521115851259733E-2</c:v>
                </c:pt>
                <c:pt idx="7">
                  <c:v>1.078135239696033E-2</c:v>
                </c:pt>
                <c:pt idx="8">
                  <c:v>2.8673745122953041E-3</c:v>
                </c:pt>
                <c:pt idx="9">
                  <c:v>6.2914449456126932E-4</c:v>
                </c:pt>
                <c:pt idx="10">
                  <c:v>1.117856385031343E-4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7-4C00-8C13-CB70D21251C8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'VADER-Metabarones'!$G$25:$G$35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'VADER-Metabarones'!$H$39:$H$49</c:f>
              <c:numCache>
                <c:formatCode>0.0%</c:formatCode>
                <c:ptCount val="11"/>
                <c:pt idx="0">
                  <c:v>0.13341466571931127</c:v>
                </c:pt>
                <c:pt idx="1">
                  <c:v>0.28599211094334043</c:v>
                </c:pt>
                <c:pt idx="2">
                  <c:v>0.28276889168525959</c:v>
                </c:pt>
                <c:pt idx="3">
                  <c:v>0.17644656327971991</c:v>
                </c:pt>
                <c:pt idx="4">
                  <c:v>8.0688346142266637E-2</c:v>
                </c:pt>
                <c:pt idx="5">
                  <c:v>2.9395278250603066E-2</c:v>
                </c:pt>
                <c:pt idx="6">
                  <c:v>8.7546735063765806E-3</c:v>
                </c:pt>
                <c:pt idx="7">
                  <c:v>2.0929927860109934E-3</c:v>
                </c:pt>
                <c:pt idx="8">
                  <c:v>3.8742781199044946E-4</c:v>
                </c:pt>
                <c:pt idx="9">
                  <c:v>5.3428925447221844E-5</c:v>
                </c:pt>
                <c:pt idx="10">
                  <c:v>5.2592395755924314E-6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7-4C00-8C13-CB70D212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'ColldeRates-LUKE'!$G$25:$G$35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'ColldeRates-LUKE'!$H$25:$H$35</c:f>
              <c:numCache>
                <c:formatCode>0.0%</c:formatCode>
                <c:ptCount val="11"/>
                <c:pt idx="0">
                  <c:v>0.13698401965690007</c:v>
                </c:pt>
                <c:pt idx="1">
                  <c:v>0.29826052945791581</c:v>
                </c:pt>
                <c:pt idx="2">
                  <c:v>0.29526575810795891</c:v>
                </c:pt>
                <c:pt idx="3">
                  <c:v>0.17558704953644697</c:v>
                </c:pt>
                <c:pt idx="4">
                  <c:v>6.9798224423725866E-2</c:v>
                </c:pt>
                <c:pt idx="5">
                  <c:v>1.9523229839613333E-2</c:v>
                </c:pt>
                <c:pt idx="6">
                  <c:v>3.9379509273246944E-3</c:v>
                </c:pt>
                <c:pt idx="7">
                  <c:v>5.7725024250072899E-4</c:v>
                </c:pt>
                <c:pt idx="8">
                  <c:v>6.1150389023188496E-5</c:v>
                </c:pt>
                <c:pt idx="9">
                  <c:v>4.593340881769582E-6</c:v>
                </c:pt>
                <c:pt idx="10">
                  <c:v>2.3610168065235016E-7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3-4B71-96AB-391347825AC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'ColldeRates-LUKE'!$G$25:$G$35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'ColldeRates-LUKE'!$H$39:$H$49</c:f>
              <c:numCache>
                <c:formatCode>0.0%</c:formatCode>
                <c:ptCount val="11"/>
                <c:pt idx="0">
                  <c:v>0.12171742242587252</c:v>
                </c:pt>
                <c:pt idx="1">
                  <c:v>0.2694991170681188</c:v>
                </c:pt>
                <c:pt idx="2">
                  <c:v>0.27727414010673124</c:v>
                </c:pt>
                <c:pt idx="3">
                  <c:v>0.18564933317947527</c:v>
                </c:pt>
                <c:pt idx="4">
                  <c:v>9.3534096143247633E-2</c:v>
                </c:pt>
                <c:pt idx="5">
                  <c:v>3.7272451001847229E-2</c:v>
                </c:pt>
                <c:pt idx="6">
                  <c:v>1.1672663643975567E-2</c:v>
                </c:pt>
                <c:pt idx="7">
                  <c:v>2.8036456224791676E-3</c:v>
                </c:pt>
                <c:pt idx="8">
                  <c:v>5.0424114422992325E-4</c:v>
                </c:pt>
                <c:pt idx="9">
                  <c:v>6.6310413517616125E-5</c:v>
                </c:pt>
                <c:pt idx="10">
                  <c:v>6.1776009947399612E-6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3-4B71-96AB-39134782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4.5360424470794039E-2</c:v>
                </c:pt>
                <c:pt idx="1">
                  <c:v>0.15783330304573795</c:v>
                </c:pt>
                <c:pt idx="2">
                  <c:v>0.25392608577972164</c:v>
                </c:pt>
                <c:pt idx="3">
                  <c:v>0.25045534381676698</c:v>
                </c:pt>
                <c:pt idx="4">
                  <c:v>0.16918412165769878</c:v>
                </c:pt>
                <c:pt idx="5">
                  <c:v>8.2740684471239612E-2</c:v>
                </c:pt>
                <c:pt idx="6">
                  <c:v>3.0165294160438536E-2</c:v>
                </c:pt>
                <c:pt idx="7">
                  <c:v>8.3058589548542089E-3</c:v>
                </c:pt>
                <c:pt idx="8">
                  <c:v>1.7279043580330185E-3</c:v>
                </c:pt>
                <c:pt idx="9">
                  <c:v>2.6829640626167806E-4</c:v>
                </c:pt>
                <c:pt idx="10">
                  <c:v>3.0227836015330314E-5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1.6581076073962548E-2</c:v>
                </c:pt>
                <c:pt idx="1">
                  <c:v>8.1605266938989937E-2</c:v>
                </c:pt>
                <c:pt idx="2">
                  <c:v>0.18323572841762997</c:v>
                </c:pt>
                <c:pt idx="3">
                  <c:v>0.2481921520245913</c:v>
                </c:pt>
                <c:pt idx="4">
                  <c:v>0.22588690034616293</c:v>
                </c:pt>
                <c:pt idx="5">
                  <c:v>0.14560294494229817</c:v>
                </c:pt>
                <c:pt idx="6">
                  <c:v>6.8241411365084603E-2</c:v>
                </c:pt>
                <c:pt idx="7">
                  <c:v>2.3493488258559014E-2</c:v>
                </c:pt>
                <c:pt idx="8">
                  <c:v>5.9284584728184269E-3</c:v>
                </c:pt>
                <c:pt idx="9">
                  <c:v>1.0814193371394922E-3</c:v>
                </c:pt>
                <c:pt idx="10">
                  <c:v>1.3863995863244092E-4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0.174849493678958</c:v>
                </c:pt>
                <c:pt idx="1">
                  <c:v>0.53824289584910767</c:v>
                </c:pt>
                <c:pt idx="2">
                  <c:v>0.28686241832912457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688D-4546-90DD-5E30B5FEF743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88D-4546-90DD-5E30B5FE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F711A-9AF4-4BCD-B4F6-2D96F4ED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3A574F-51F9-461E-8B17-0B99A4287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98B19-8097-4B4F-B593-B96421D64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16BDE-CDBE-443F-9075-AACEEE0E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0ED2B-7481-471F-BD2C-E832C2405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701C-85F8-4161-A7C5-4920FE3B190C}">
  <sheetPr>
    <tabColor theme="9" tint="-0.249977111117893"/>
  </sheetPr>
  <dimension ref="A1:BS59"/>
  <sheetViews>
    <sheetView zoomScale="90" zoomScaleNormal="90" workbookViewId="0">
      <selection activeCell="N6" sqref="N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2"/>
      <c r="R1" s="30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5" t="s">
        <v>189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0.62344750140370575</v>
      </c>
      <c r="U2" s="256">
        <f t="shared" si="0"/>
        <v>0.5913496631106121</v>
      </c>
      <c r="V2" s="158"/>
      <c r="W2" s="158"/>
      <c r="X2" s="290">
        <f t="shared" ref="X2:Y2" si="1">SUM(X4:X15)</f>
        <v>0.34175137563166763</v>
      </c>
      <c r="Y2" s="291">
        <f t="shared" si="1"/>
        <v>0.31761355277933745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4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3" t="s">
        <v>5</v>
      </c>
      <c r="C3" s="303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2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7.4999999999999997E-2</v>
      </c>
      <c r="U4" s="265">
        <f t="shared" ref="U4:U9" si="5">IF(S4=0,0,IF(P4=0,S4*Q4/L4,S4*Q4/(L4*2)))</f>
        <v>3.7499999999999999E-2</v>
      </c>
      <c r="V4" s="255">
        <f>$G$17</f>
        <v>0.56999999999999995</v>
      </c>
      <c r="W4" s="253">
        <f>$H$17</f>
        <v>0.56999999999999995</v>
      </c>
      <c r="X4" s="288">
        <f>V4*T4</f>
        <v>4.2749999999999996E-2</v>
      </c>
      <c r="Y4" s="289">
        <f>W4*U4</f>
        <v>2.1374999999999998E-2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2.1374999999999998E-2</v>
      </c>
      <c r="AH4" s="284">
        <f t="shared" ref="AH4:AH15" si="8">(1-AG4)</f>
        <v>0.97862499999999997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1.6768339005062902E-2</v>
      </c>
      <c r="BM4" s="31">
        <v>0</v>
      </c>
      <c r="BN4" s="31">
        <v>0</v>
      </c>
      <c r="BO4" s="107">
        <f>H25*H39</f>
        <v>1.4236600678009246E-2</v>
      </c>
      <c r="BQ4" s="31">
        <v>1</v>
      </c>
      <c r="BR4" s="31">
        <v>0</v>
      </c>
      <c r="BS4" s="107">
        <f>$H$26*H39</f>
        <v>5.0339458438303022E-2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</v>
      </c>
      <c r="G5" s="279" t="s">
        <v>1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1</v>
      </c>
      <c r="R5" s="258">
        <f t="shared" si="2"/>
        <v>0.35</v>
      </c>
      <c r="S5" s="258">
        <f t="shared" si="3"/>
        <v>0.35</v>
      </c>
      <c r="T5" s="263">
        <f t="shared" si="4"/>
        <v>0</v>
      </c>
      <c r="U5" s="265">
        <f t="shared" si="5"/>
        <v>4.3749999999999997E-2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2.4937499999999998E-2</v>
      </c>
      <c r="Z5" s="236"/>
      <c r="AA5" s="281">
        <f t="shared" si="6"/>
        <v>1.5576923076923078E-2</v>
      </c>
      <c r="AB5" s="282">
        <f t="shared" si="7"/>
        <v>0.98442307692307696</v>
      </c>
      <c r="AC5" s="282">
        <f>AA5*PRODUCT(AB3:AB4)*PRODUCT(AB6:AB17)</f>
        <v>1.1574629649304207E-2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3.6057104947654888E-3</v>
      </c>
      <c r="AE5" s="220"/>
      <c r="AF5" s="234"/>
      <c r="AG5" s="283">
        <f t="shared" ref="AG5:AG15" si="12">Y5</f>
        <v>2.4937499999999998E-2</v>
      </c>
      <c r="AH5" s="284">
        <f t="shared" si="8"/>
        <v>0.97506250000000005</v>
      </c>
      <c r="AI5" s="284">
        <f>AG5*PRODUCT(AH3:AH4)*PRODUCT(AH6:AH17)</f>
        <v>1.8444885596968535E-2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5.3336734999139251E-3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9.2049537801629153E-3</v>
      </c>
      <c r="BM5" s="31">
        <v>1</v>
      </c>
      <c r="BN5" s="31">
        <v>1</v>
      </c>
      <c r="BO5" s="107">
        <f>$H$26*H40</f>
        <v>5.9291478599143667E-2</v>
      </c>
      <c r="BQ5" s="31">
        <f>BQ4+1</f>
        <v>2</v>
      </c>
      <c r="BR5" s="31">
        <v>0</v>
      </c>
      <c r="BS5" s="107">
        <f>$H$27*H39</f>
        <v>8.1474757158029029E-2</v>
      </c>
    </row>
    <row r="6" spans="1:71" ht="15.75" x14ac:dyDescent="0.25">
      <c r="A6" s="2" t="s">
        <v>35</v>
      </c>
      <c r="B6" s="269">
        <v>9</v>
      </c>
      <c r="C6" s="270">
        <f>9.75/1.2</f>
        <v>8.125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1</v>
      </c>
      <c r="R6" s="258">
        <f t="shared" si="2"/>
        <v>0.45</v>
      </c>
      <c r="S6" s="258">
        <f t="shared" si="3"/>
        <v>0.45</v>
      </c>
      <c r="T6" s="263">
        <f t="shared" si="4"/>
        <v>3.4615384615384617E-2</v>
      </c>
      <c r="U6" s="265">
        <f t="shared" si="5"/>
        <v>1.7307692307692309E-2</v>
      </c>
      <c r="V6" s="255">
        <f>$G$18</f>
        <v>0.45</v>
      </c>
      <c r="W6" s="253">
        <f>$H$18</f>
        <v>0.45</v>
      </c>
      <c r="X6" s="288">
        <f t="shared" si="11"/>
        <v>1.5576923076923078E-2</v>
      </c>
      <c r="Y6" s="289">
        <f t="shared" si="11"/>
        <v>7.7884615384615392E-3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7.7884615384615392E-3</v>
      </c>
      <c r="AH6" s="284">
        <f t="shared" si="8"/>
        <v>0.99221153846153842</v>
      </c>
      <c r="AI6" s="284">
        <f>AG6*PRODUCT(AH3:AH5)*PRODUCT(AH7:AH17)</f>
        <v>5.6611272041094118E-3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1.5925801255574053E-3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3.5499021208282452E-3</v>
      </c>
      <c r="BM6" s="31">
        <f>BI14+1</f>
        <v>2</v>
      </c>
      <c r="BN6" s="31">
        <v>2</v>
      </c>
      <c r="BO6" s="107">
        <f>$H$27*H41</f>
        <v>5.2679104433132555E-2</v>
      </c>
      <c r="BQ6" s="31">
        <f>BM5+1</f>
        <v>2</v>
      </c>
      <c r="BR6" s="31">
        <v>1</v>
      </c>
      <c r="BS6" s="107">
        <f>$H$27*H40</f>
        <v>9.5963662905241082E-2</v>
      </c>
    </row>
    <row r="7" spans="1:71" ht="15.75" x14ac:dyDescent="0.25">
      <c r="A7" s="5" t="s">
        <v>40</v>
      </c>
      <c r="B7" s="269">
        <v>14.75</v>
      </c>
      <c r="C7" s="270">
        <v>14.5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0.02</v>
      </c>
      <c r="T7" s="263">
        <f t="shared" si="4"/>
        <v>0</v>
      </c>
      <c r="U7" s="265">
        <f t="shared" si="5"/>
        <v>5.0000000000000001E-3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2.2500000000000003E-3</v>
      </c>
      <c r="Z7" s="236"/>
      <c r="AA7" s="281">
        <f t="shared" si="6"/>
        <v>0.106875</v>
      </c>
      <c r="AB7" s="282">
        <f t="shared" si="7"/>
        <v>0.89312499999999995</v>
      </c>
      <c r="AC7" s="282">
        <f>AA7*PRODUCT(AB3:AB6)*PRODUCT(AB8:AB17)</f>
        <v>8.7532855479432112E-2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1.6793557565394617E-2</v>
      </c>
      <c r="AE7" s="220"/>
      <c r="AF7" s="234"/>
      <c r="AG7" s="283">
        <f t="shared" si="12"/>
        <v>2.2500000000000003E-3</v>
      </c>
      <c r="AH7" s="284">
        <f t="shared" si="8"/>
        <v>0.99775000000000003</v>
      </c>
      <c r="AI7" s="284">
        <f>AG7*PRODUCT(AH3:AH6)*PRODUCT(AH8:AH17)</f>
        <v>1.6263585183107828E-3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4.5385726984725885E-4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1.0995652932496286E-3</v>
      </c>
      <c r="BM7" s="31">
        <f>BI23+1</f>
        <v>3</v>
      </c>
      <c r="BN7" s="31">
        <v>3</v>
      </c>
      <c r="BO7" s="107">
        <f>$H$28*H42</f>
        <v>1.9915662196161435E-2</v>
      </c>
      <c r="BQ7" s="31">
        <f>BQ5+1</f>
        <v>3</v>
      </c>
      <c r="BR7" s="31">
        <v>0</v>
      </c>
      <c r="BS7" s="107">
        <f>$H$28*H39</f>
        <v>7.9870182409063975E-2</v>
      </c>
    </row>
    <row r="8" spans="1:71" ht="15.75" x14ac:dyDescent="0.25">
      <c r="A8" s="5" t="s">
        <v>44</v>
      </c>
      <c r="B8" s="269">
        <v>15.25</v>
      </c>
      <c r="C8" s="270">
        <v>13.5</v>
      </c>
      <c r="E8" s="250"/>
      <c r="F8" s="251"/>
      <c r="G8" s="280" t="s">
        <v>37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6</v>
      </c>
      <c r="Q8" s="251">
        <f>COUNTIF(E10:I11,"RAP")</f>
        <v>1</v>
      </c>
      <c r="R8" s="258">
        <f t="shared" si="2"/>
        <v>0.5</v>
      </c>
      <c r="S8" s="258">
        <f t="shared" si="3"/>
        <v>0.5</v>
      </c>
      <c r="T8" s="263">
        <f t="shared" si="4"/>
        <v>0.1875</v>
      </c>
      <c r="U8" s="265">
        <f t="shared" si="5"/>
        <v>3.125E-2</v>
      </c>
      <c r="V8" s="255">
        <f>$G$17</f>
        <v>0.56999999999999995</v>
      </c>
      <c r="W8" s="253">
        <f>$H$17</f>
        <v>0.56999999999999995</v>
      </c>
      <c r="X8" s="288">
        <f t="shared" si="11"/>
        <v>0.106875</v>
      </c>
      <c r="Y8" s="289">
        <f t="shared" si="11"/>
        <v>1.7812499999999998E-2</v>
      </c>
      <c r="Z8" s="236"/>
      <c r="AA8" s="281">
        <f t="shared" si="6"/>
        <v>0.106875</v>
      </c>
      <c r="AB8" s="282">
        <f t="shared" si="7"/>
        <v>0.89312499999999995</v>
      </c>
      <c r="AC8" s="282">
        <f>AA8*PRODUCT(AB3:AB7)*PRODUCT(AB9:AB17)</f>
        <v>8.7532855479432112E-2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6.3190171266382204E-3</v>
      </c>
      <c r="AE8" s="220"/>
      <c r="AF8" s="234"/>
      <c r="AG8" s="283">
        <f t="shared" si="12"/>
        <v>1.7812499999999998E-2</v>
      </c>
      <c r="AH8" s="284">
        <f t="shared" si="8"/>
        <v>0.98218749999999999</v>
      </c>
      <c r="AI8" s="284">
        <f>AG8*PRODUCT(AH3:AH7)*PRODUCT(AH9:AH17)</f>
        <v>1.3079344584260086E-2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3.4127664642421588E-3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2.6790857395511919E-4</v>
      </c>
      <c r="BM8" s="31">
        <f>BI31+1</f>
        <v>4</v>
      </c>
      <c r="BN8" s="31">
        <v>4</v>
      </c>
      <c r="BO8" s="107">
        <f>$H$29*H43</f>
        <v>4.0839883328948664E-3</v>
      </c>
      <c r="BQ8" s="31">
        <f>BQ6+1</f>
        <v>3</v>
      </c>
      <c r="BR8" s="31">
        <v>1</v>
      </c>
      <c r="BS8" s="107">
        <f>$H$28*H40</f>
        <v>9.4073741711400871E-2</v>
      </c>
    </row>
    <row r="9" spans="1:71" ht="15.75" x14ac:dyDescent="0.25">
      <c r="A9" s="5" t="s">
        <v>47</v>
      </c>
      <c r="B9" s="269">
        <v>14.75</v>
      </c>
      <c r="C9" s="270">
        <v>14.5</v>
      </c>
      <c r="E9" s="280" t="s">
        <v>2</v>
      </c>
      <c r="F9" s="280" t="s">
        <v>162</v>
      </c>
      <c r="G9" s="280" t="s">
        <v>1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6</v>
      </c>
      <c r="Q9" s="251">
        <f>COUNTIF(E10:I11,"RAP")</f>
        <v>1</v>
      </c>
      <c r="R9" s="258">
        <f t="shared" si="2"/>
        <v>0.5</v>
      </c>
      <c r="S9" s="258">
        <f t="shared" si="3"/>
        <v>0.5</v>
      </c>
      <c r="T9" s="263">
        <f t="shared" si="4"/>
        <v>0.1875</v>
      </c>
      <c r="U9" s="265">
        <f t="shared" si="5"/>
        <v>3.125E-2</v>
      </c>
      <c r="V9" s="255">
        <f>$G$17</f>
        <v>0.56999999999999995</v>
      </c>
      <c r="W9" s="253">
        <f>$H$17</f>
        <v>0.56999999999999995</v>
      </c>
      <c r="X9" s="288">
        <f t="shared" si="11"/>
        <v>0.106875</v>
      </c>
      <c r="Y9" s="289">
        <f t="shared" si="11"/>
        <v>1.7812499999999998E-2</v>
      </c>
      <c r="Z9" s="236"/>
      <c r="AA9" s="281">
        <f t="shared" si="6"/>
        <v>3.5474452554744525E-2</v>
      </c>
      <c r="AB9" s="282">
        <f t="shared" si="7"/>
        <v>0.96452554744525543</v>
      </c>
      <c r="AC9" s="282">
        <f>AA9*PRODUCT(AB3:AB8)*PRODUCT(AB10:AB17)</f>
        <v>2.6903524674491398E-2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9.5268227776724556E-4</v>
      </c>
      <c r="AE9" s="220"/>
      <c r="AF9" s="234"/>
      <c r="AG9" s="283">
        <f t="shared" si="12"/>
        <v>1.7812499999999998E-2</v>
      </c>
      <c r="AH9" s="284">
        <f t="shared" si="8"/>
        <v>0.98218749999999999</v>
      </c>
      <c r="AI9" s="284">
        <f>AG9*PRODUCT(AH3:AH8)*PRODUCT(AH10:AH17)</f>
        <v>1.3079344584260084E-2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3.1755654965988801E-3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4.8947687653314036E-5</v>
      </c>
      <c r="BM9" s="31">
        <f>BI38+1</f>
        <v>5</v>
      </c>
      <c r="BN9" s="31">
        <v>5</v>
      </c>
      <c r="BO9" s="107">
        <f>$H$30*H44</f>
        <v>4.69550312429416E-4</v>
      </c>
      <c r="BQ9" s="31">
        <f>BM6+1</f>
        <v>3</v>
      </c>
      <c r="BR9" s="31">
        <v>2</v>
      </c>
      <c r="BS9" s="107">
        <f>$H$28*H41</f>
        <v>5.1641635114782244E-2</v>
      </c>
    </row>
    <row r="10" spans="1:71" ht="15.75" x14ac:dyDescent="0.25">
      <c r="A10" s="6" t="s">
        <v>50</v>
      </c>
      <c r="B10" s="269">
        <v>13.5</v>
      </c>
      <c r="C10" s="270">
        <v>7.75</v>
      </c>
      <c r="E10" s="280" t="s">
        <v>1</v>
      </c>
      <c r="F10" s="280" t="s">
        <v>144</v>
      </c>
      <c r="G10" s="280" t="s">
        <v>2</v>
      </c>
      <c r="H10" s="280" t="s">
        <v>162</v>
      </c>
      <c r="I10" s="280" t="s">
        <v>162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7.8832116788321166E-2</v>
      </c>
      <c r="U10" s="265">
        <f>S10*G14</f>
        <v>7.1167883211678828E-2</v>
      </c>
      <c r="V10" s="255">
        <f>$G$18</f>
        <v>0.45</v>
      </c>
      <c r="W10" s="253">
        <f>$H$18</f>
        <v>0.45</v>
      </c>
      <c r="X10" s="288">
        <f t="shared" si="11"/>
        <v>3.5474452554744525E-2</v>
      </c>
      <c r="Y10" s="289">
        <f t="shared" si="11"/>
        <v>3.2025547445255473E-2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3.2025547445255473E-2</v>
      </c>
      <c r="AH10" s="284">
        <f t="shared" si="8"/>
        <v>0.96797445255474457</v>
      </c>
      <c r="AI10" s="284">
        <f>AG10*PRODUCT(AH3:AH9)*PRODUCT(AH11:AH17)</f>
        <v>2.3860974362951742E-2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5.0038201804985709E-3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6.5441144307184235E-6</v>
      </c>
      <c r="BM10" s="31">
        <f>BI44+1</f>
        <v>6</v>
      </c>
      <c r="BN10" s="31">
        <v>6</v>
      </c>
      <c r="BO10" s="107">
        <f>$H$31*H45</f>
        <v>2.9674027817424444E-5</v>
      </c>
      <c r="BQ10" s="31">
        <f>BQ7+1</f>
        <v>4</v>
      </c>
      <c r="BR10" s="31">
        <v>0</v>
      </c>
      <c r="BS10" s="107">
        <f>$H$29*H39</f>
        <v>5.2877361104442563E-2</v>
      </c>
    </row>
    <row r="11" spans="1:71" ht="15.75" x14ac:dyDescent="0.25">
      <c r="A11" s="6" t="s">
        <v>53</v>
      </c>
      <c r="B11" s="269">
        <v>12</v>
      </c>
      <c r="C11" s="270">
        <v>8.25</v>
      </c>
      <c r="E11" s="250"/>
      <c r="F11" s="280" t="s">
        <v>6</v>
      </c>
      <c r="G11" s="280" t="s">
        <v>162</v>
      </c>
      <c r="H11" s="280" t="s">
        <v>37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0</v>
      </c>
      <c r="Q11" s="251">
        <f>COUNTIF(E9:I11,"CAB")</f>
        <v>1</v>
      </c>
      <c r="R11" s="258">
        <f t="shared" si="2"/>
        <v>0.23</v>
      </c>
      <c r="S11" s="258">
        <f t="shared" si="3"/>
        <v>0.23</v>
      </c>
      <c r="T11" s="263">
        <f>IF(P11&gt;0,S11*G13,0)</f>
        <v>0</v>
      </c>
      <c r="U11" s="265">
        <f>IF(Q11&gt;0,S11*G14,0)</f>
        <v>0.10912408759124087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0.5</v>
      </c>
      <c r="X11" s="288">
        <f t="shared" si="11"/>
        <v>0</v>
      </c>
      <c r="Y11" s="289">
        <f t="shared" si="11"/>
        <v>5.4562043795620435E-2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5.4562043795620435E-2</v>
      </c>
      <c r="AH11" s="284">
        <f t="shared" si="8"/>
        <v>0.94543795620437954</v>
      </c>
      <c r="AI11" s="284">
        <f>AG11*PRODUCT(AH3:AH10)*PRODUCT(AH12:AH17)</f>
        <v>4.1621056791415686E-2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6.3262516124144219E-3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6.3366939050991902E-7</v>
      </c>
      <c r="BM11" s="31">
        <f>BI50+1</f>
        <v>7</v>
      </c>
      <c r="BN11" s="31">
        <v>7</v>
      </c>
      <c r="BO11" s="107">
        <f>$H$32*H46</f>
        <v>1.0184575287070535E-6</v>
      </c>
      <c r="BQ11" s="31">
        <f>BQ8+1</f>
        <v>4</v>
      </c>
      <c r="BR11" s="31">
        <v>1</v>
      </c>
      <c r="BS11" s="107">
        <f>$H$29*H40</f>
        <v>6.228070427388048E-2</v>
      </c>
    </row>
    <row r="12" spans="1:71" ht="15.75" x14ac:dyDescent="0.25">
      <c r="A12" s="6" t="s">
        <v>57</v>
      </c>
      <c r="B12" s="269">
        <v>13.75</v>
      </c>
      <c r="C12" s="270">
        <v>9.75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1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0</v>
      </c>
      <c r="U12" s="265">
        <f>IF(S12=0,0,IF(P12=0,S12*Q12/L12,S12*Q12/(L12*2)))</f>
        <v>5.0000000000000001E-3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2.2500000000000003E-3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2.2500000000000003E-3</v>
      </c>
      <c r="AH12" s="284">
        <f t="shared" si="8"/>
        <v>0.99775000000000003</v>
      </c>
      <c r="AI12" s="284">
        <f>AG12*PRODUCT(AH3:AH11)*PRODUCT(AH13:AH17)</f>
        <v>1.626358518310783E-3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2.4353311310188543E-4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4.3941006518887862E-8</v>
      </c>
      <c r="BM12" s="31">
        <f>BI54+1</f>
        <v>8</v>
      </c>
      <c r="BN12" s="31">
        <v>8</v>
      </c>
      <c r="BO12" s="107">
        <f>$H$33*H47</f>
        <v>1.8799996477457188E-8</v>
      </c>
      <c r="BQ12" s="31">
        <f>BQ9+1</f>
        <v>4</v>
      </c>
      <c r="BR12" s="31">
        <v>2</v>
      </c>
      <c r="BS12" s="107">
        <f>$H$29*H41</f>
        <v>3.4188896351867039E-2</v>
      </c>
    </row>
    <row r="13" spans="1:71" ht="15.75" x14ac:dyDescent="0.25">
      <c r="A13" s="7" t="s">
        <v>60</v>
      </c>
      <c r="B13" s="269">
        <v>13</v>
      </c>
      <c r="C13" s="270">
        <v>7</v>
      </c>
      <c r="E13" s="247"/>
      <c r="F13" s="247" t="s">
        <v>163</v>
      </c>
      <c r="G13" s="254">
        <f>B22</f>
        <v>0.52554744525547448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</v>
      </c>
      <c r="U13" s="265">
        <f>IF(P13+Q13=0,0,S13*Q13/(Q13+P13))</f>
        <v>0.18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0.10259999999999998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2.5902764646947289E-2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0.10259999999999998</v>
      </c>
      <c r="AH13" s="284">
        <f t="shared" si="8"/>
        <v>0.89739999999999998</v>
      </c>
      <c r="AI13" s="284">
        <f>AG13*PRODUCT(AH3:AH12)*PRODUCT(AH14:AH17)</f>
        <v>8.2454963283923557E-2</v>
      </c>
      <c r="AJ13" s="284">
        <f>AG13*AG14*PRODUCT(AH3:AH12)*PRODUCT(AH15:AH17)+AG13*AG15*PRODUCT(AH3:AH12)*AH14*PRODUCT(AH16:AH17)+AG13*AG16*PRODUCT(AH3:AH12)*AH14*AH15*AH17+AG13*AG17*PRODUCT(AH3:AH12)*AH14*AH15*AH16</f>
        <v>2.9198175029096969E-3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2.1327625477291357E-9</v>
      </c>
      <c r="BM13" s="31">
        <f>BI57+1</f>
        <v>9</v>
      </c>
      <c r="BN13" s="31">
        <v>9</v>
      </c>
      <c r="BO13" s="107">
        <f>$H$34*H48</f>
        <v>1.8257157643076175E-10</v>
      </c>
      <c r="BQ13" s="31">
        <f>BM7+1</f>
        <v>4</v>
      </c>
      <c r="BR13" s="31">
        <v>3</v>
      </c>
      <c r="BS13" s="107">
        <f>$H$29*H42</f>
        <v>1.3184991317373222E-2</v>
      </c>
    </row>
    <row r="14" spans="1:71" ht="15.75" x14ac:dyDescent="0.25">
      <c r="A14" s="7" t="s">
        <v>63</v>
      </c>
      <c r="B14" s="269">
        <v>11.5</v>
      </c>
      <c r="C14" s="270">
        <v>6</v>
      </c>
      <c r="E14" s="247"/>
      <c r="F14" s="247" t="s">
        <v>164</v>
      </c>
      <c r="G14" s="252">
        <f>C22</f>
        <v>0.47445255474452552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2.5538442759368056E-2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3.2547965537782178E-2</v>
      </c>
      <c r="BM14" s="31">
        <f>BQ39+1</f>
        <v>10</v>
      </c>
      <c r="BN14" s="31">
        <v>10</v>
      </c>
      <c r="BO14" s="107">
        <f>$H$35*H49</f>
        <v>8.8904857849203951E-13</v>
      </c>
      <c r="BQ14" s="31">
        <f>BQ10+1</f>
        <v>5</v>
      </c>
      <c r="BR14" s="31">
        <v>0</v>
      </c>
      <c r="BS14" s="107">
        <f>$H$30*H39</f>
        <v>2.495179679248315E-2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1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1.2552164264009229E-2</v>
      </c>
      <c r="BQ15" s="31">
        <f>BQ11+1</f>
        <v>5</v>
      </c>
      <c r="BR15" s="31">
        <v>1</v>
      </c>
      <c r="BS15" s="107">
        <f>$H$30*H40</f>
        <v>2.9389051281608677E-2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3.8879731637932093E-3</v>
      </c>
      <c r="BQ16" s="31">
        <f>BQ12+1</f>
        <v>5</v>
      </c>
      <c r="BR16" s="31">
        <v>2</v>
      </c>
      <c r="BS16" s="107">
        <f>$H$30*H41</f>
        <v>1.6133074278159892E-2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9.4730285894094497E-4</v>
      </c>
      <c r="BQ17" s="31">
        <f>BQ13+1</f>
        <v>5</v>
      </c>
      <c r="BR17" s="31">
        <v>3</v>
      </c>
      <c r="BS17" s="107">
        <f>$H$30*H42</f>
        <v>6.2217405935204818E-3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0.73148801450355838</v>
      </c>
      <c r="AC18" s="176">
        <f>SUM(AC3:AC17)</f>
        <v>0.23944662992960711</v>
      </c>
      <c r="AD18" s="176">
        <f>SUM(AD3:AD17)</f>
        <v>2.7670967464565571E-2</v>
      </c>
      <c r="AE18" s="176">
        <f>1-AB18-AC18-AD18</f>
        <v>1.3943881022689397E-3</v>
      </c>
      <c r="AF18" s="234"/>
      <c r="AG18" s="158"/>
      <c r="AH18" s="179">
        <f>PRODUCT(AH3:AH17)</f>
        <v>0.72119964961981498</v>
      </c>
      <c r="AI18" s="176">
        <f>SUM(AI3:AI17)</f>
        <v>0.22699285620387871</v>
      </c>
      <c r="AJ18" s="176">
        <f>SUM(AJ3:AJ17)</f>
        <v>2.8461865265084207E-2</v>
      </c>
      <c r="AK18" s="176">
        <f>1-AH18-AI18-AJ18</f>
        <v>2.3345628911222105E-2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1.7307502991785746E-4</v>
      </c>
      <c r="BQ18" s="31">
        <f>BM8+1</f>
        <v>5</v>
      </c>
      <c r="BR18" s="31">
        <v>4</v>
      </c>
      <c r="BS18" s="107">
        <f>$H$30*H43</f>
        <v>1.927154548881283E-3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2.3139454695073609E-5</v>
      </c>
      <c r="BQ19" s="31">
        <f>BQ15+1</f>
        <v>6</v>
      </c>
      <c r="BR19" s="31">
        <v>1</v>
      </c>
      <c r="BS19" s="107">
        <f>$H$31*H40</f>
        <v>1.0165631553680771E-2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2.2406032639850208E-6</v>
      </c>
      <c r="BQ20" s="31">
        <f>BQ16+1</f>
        <v>6</v>
      </c>
      <c r="BR20" s="31">
        <v>2</v>
      </c>
      <c r="BS20" s="107">
        <f>$H$31*H41</f>
        <v>5.5804077296829555E-3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1.5537181391984261E-7</v>
      </c>
      <c r="BQ21" s="31">
        <f>BQ17+1</f>
        <v>6</v>
      </c>
      <c r="BR21" s="31">
        <v>3</v>
      </c>
      <c r="BS21" s="107">
        <f>$H$31*H42</f>
        <v>2.1520913312328711E-3</v>
      </c>
    </row>
    <row r="22" spans="1:71" x14ac:dyDescent="0.25">
      <c r="A22" s="26" t="s">
        <v>87</v>
      </c>
      <c r="B22" s="206">
        <f>(B6)/((B6)+(C6))</f>
        <v>0.52554744525547448</v>
      </c>
      <c r="C22" s="207">
        <f>1-B22</f>
        <v>0.47445255474452552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7.5412743574397221E-9</v>
      </c>
      <c r="BQ22" s="31">
        <f>BQ18+1</f>
        <v>6</v>
      </c>
      <c r="BR22" s="31">
        <v>4</v>
      </c>
      <c r="BS22" s="107">
        <f>$H$31*H43</f>
        <v>6.6660005126421558E-4</v>
      </c>
    </row>
    <row r="23" spans="1:71" ht="15.75" thickBot="1" x14ac:dyDescent="0.3">
      <c r="A23" s="40" t="s">
        <v>88</v>
      </c>
      <c r="B23" s="56">
        <f>((B22^2.8)/((B22^2.8)+(C22^2.8)))*B21</f>
        <v>2.8555492869015371</v>
      </c>
      <c r="C23" s="57">
        <f>B21-B23</f>
        <v>2.1444507130984629</v>
      </c>
      <c r="D23" s="149">
        <f>SUM(D25:D30)</f>
        <v>1</v>
      </c>
      <c r="E23" s="149">
        <f>SUM(E25:E30)</f>
        <v>1</v>
      </c>
      <c r="H23" s="266">
        <f>SUM(H25:H35)</f>
        <v>0.99999865485185424</v>
      </c>
      <c r="I23" s="81"/>
      <c r="J23" s="266">
        <f>SUM(J25:J35)</f>
        <v>1.0000000000000002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1.0000000000000002</v>
      </c>
      <c r="S23" s="81"/>
      <c r="T23" s="266">
        <f>SUM(T25:T35)</f>
        <v>1</v>
      </c>
      <c r="V23" s="208">
        <f>SUM(V25:V34)</f>
        <v>0.99588777456865851</v>
      </c>
      <c r="Y23" s="205">
        <f>SUM(Y25:Y35)</f>
        <v>2.0745785817696434E-4</v>
      </c>
      <c r="Z23" s="81"/>
      <c r="AA23" s="205">
        <f>SUM(AA25:AA35)</f>
        <v>2.7656351040163535E-3</v>
      </c>
      <c r="AB23" s="81"/>
      <c r="AC23" s="205">
        <f>SUM(AC25:AC35)</f>
        <v>1.6595152156209329E-2</v>
      </c>
      <c r="AD23" s="81"/>
      <c r="AE23" s="205">
        <f>SUM(AE25:AE35)</f>
        <v>5.9030074551955927E-2</v>
      </c>
      <c r="AF23" s="81"/>
      <c r="AG23" s="205">
        <f>SUM(AG25:AG35)</f>
        <v>0.13786309662033952</v>
      </c>
      <c r="AH23" s="81"/>
      <c r="AI23" s="205">
        <f>SUM(AI25:AI35)</f>
        <v>0.22094553861361008</v>
      </c>
      <c r="AJ23" s="81"/>
      <c r="AK23" s="205">
        <f>SUM(AK25:AK35)</f>
        <v>0.2461894531023211</v>
      </c>
      <c r="AL23" s="81"/>
      <c r="AM23" s="205">
        <f>SUM(AM25:AM35)</f>
        <v>0.18848844156597835</v>
      </c>
      <c r="AN23" s="81"/>
      <c r="AO23" s="205">
        <f>SUM(AO25:AO35)</f>
        <v>9.5089516755194531E-2</v>
      </c>
      <c r="AP23" s="81"/>
      <c r="AQ23" s="205">
        <f>SUM(AQ25:AQ35)</f>
        <v>2.8713408240856397E-2</v>
      </c>
      <c r="AR23" s="81"/>
      <c r="AS23" s="205">
        <f>SUM(AS25:AS35)</f>
        <v>4.1122254313414892E-3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2.0315763556957276E-2</v>
      </c>
      <c r="BQ23" s="31">
        <f>BM9+1</f>
        <v>6</v>
      </c>
      <c r="BR23" s="31">
        <v>5</v>
      </c>
      <c r="BS23" s="107">
        <f>$H$31*H44</f>
        <v>1.6241679346281571E-4</v>
      </c>
    </row>
    <row r="24" spans="1:71" ht="15.75" thickBot="1" x14ac:dyDescent="0.3">
      <c r="A24" s="26" t="s">
        <v>89</v>
      </c>
      <c r="B24" s="64">
        <f>B23/B21</f>
        <v>0.5711098573803074</v>
      </c>
      <c r="C24" s="65">
        <f>C23/B21</f>
        <v>0.4288901426196926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6.2927111094217827E-3</v>
      </c>
      <c r="BQ24" s="31">
        <f>BI49+1</f>
        <v>7</v>
      </c>
      <c r="BR24" s="31">
        <v>0</v>
      </c>
      <c r="BS24" s="107">
        <f t="shared" ref="BS24:BS30" si="16">$H$32*H39</f>
        <v>2.2156356367568431E-3</v>
      </c>
    </row>
    <row r="25" spans="1:71" x14ac:dyDescent="0.25">
      <c r="A25" s="26" t="s">
        <v>114</v>
      </c>
      <c r="B25" s="209">
        <f>1/(1+EXP(-3.1416*4*((B11/(B11+C8))-(3.1416/6))))</f>
        <v>0.33935563523733447</v>
      </c>
      <c r="C25" s="207">
        <f>1/(1+EXP(-3.1416*4*((C11/(C11+B8))-(3.1416/6))))</f>
        <v>0.10264652763673558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4.5183441067034404E-2</v>
      </c>
      <c r="I25" s="97">
        <v>0</v>
      </c>
      <c r="J25" s="98">
        <f t="shared" ref="J25:J35" si="17">Y25+AA25+AC25+AE25+AG25+AI25+AK25+AM25+AO25+AQ25+AS25</f>
        <v>6.1769215860220501E-2</v>
      </c>
      <c r="K25" s="97">
        <v>0</v>
      </c>
      <c r="L25" s="98">
        <f>AB18</f>
        <v>0.73148801450355838</v>
      </c>
      <c r="M25" s="85">
        <v>0</v>
      </c>
      <c r="N25" s="210">
        <f>(1-$B$24)^$B$21</f>
        <v>1.4512102053434273E-2</v>
      </c>
      <c r="O25" s="72">
        <v>0</v>
      </c>
      <c r="P25" s="210">
        <f t="shared" ref="P25:P30" si="18">N25</f>
        <v>1.4512102053434273E-2</v>
      </c>
      <c r="Q25" s="28">
        <v>0</v>
      </c>
      <c r="R25" s="211">
        <f>P25*N25</f>
        <v>2.1060110600929126E-4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2.0745785817696434E-4</v>
      </c>
      <c r="W25" s="134">
        <f>B31</f>
        <v>0.42469897374422483</v>
      </c>
      <c r="X25" s="28">
        <v>0</v>
      </c>
      <c r="Y25" s="213">
        <f>V25</f>
        <v>2.0745785817696434E-4</v>
      </c>
      <c r="Z25" s="28">
        <v>0</v>
      </c>
      <c r="AA25" s="213">
        <f>((1-W25)^Z26)*V26</f>
        <v>1.5910727135896056E-3</v>
      </c>
      <c r="AB25" s="28">
        <v>0</v>
      </c>
      <c r="AC25" s="213">
        <f>(((1-$W$25)^AB27))*V27</f>
        <v>5.4925185984416479E-3</v>
      </c>
      <c r="AD25" s="28">
        <v>0</v>
      </c>
      <c r="AE25" s="213">
        <f>(((1-$W$25)^AB28))*V28</f>
        <v>1.1239805032414193E-2</v>
      </c>
      <c r="AF25" s="28">
        <v>0</v>
      </c>
      <c r="AG25" s="213">
        <f>(((1-$W$25)^AB29))*V29</f>
        <v>1.5101796862541027E-2</v>
      </c>
      <c r="AH25" s="28">
        <v>0</v>
      </c>
      <c r="AI25" s="213">
        <f>(((1-$W$25)^AB30))*V30</f>
        <v>1.3923902717863E-2</v>
      </c>
      <c r="AJ25" s="28">
        <v>0</v>
      </c>
      <c r="AK25" s="213">
        <f>(((1-$W$25)^AB31))*V31</f>
        <v>8.9256599291888204E-3</v>
      </c>
      <c r="AL25" s="28">
        <v>0</v>
      </c>
      <c r="AM25" s="213">
        <f>(((1-$W$25)^AB32))*V32</f>
        <v>3.9314319692775549E-3</v>
      </c>
      <c r="AN25" s="28">
        <v>0</v>
      </c>
      <c r="AO25" s="213">
        <f>(((1-$W$25)^AB33))*V33</f>
        <v>1.1410215065297546E-3</v>
      </c>
      <c r="AP25" s="28">
        <v>0</v>
      </c>
      <c r="AQ25" s="213">
        <f>(((1-$W$25)^AB34))*V34</f>
        <v>1.9821708469908706E-4</v>
      </c>
      <c r="AR25" s="28">
        <v>0</v>
      </c>
      <c r="AS25" s="213">
        <f>(((1-$W$25)^AB35))*V35</f>
        <v>1.6331587498847717E-5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1.5332161445859595E-3</v>
      </c>
      <c r="BQ25" s="31">
        <f>BQ19+1</f>
        <v>7</v>
      </c>
      <c r="BR25" s="31">
        <v>1</v>
      </c>
      <c r="BS25" s="107">
        <f t="shared" si="16"/>
        <v>2.6096489119221624E-3</v>
      </c>
    </row>
    <row r="26" spans="1:71" x14ac:dyDescent="0.25">
      <c r="A26" s="40" t="s">
        <v>115</v>
      </c>
      <c r="B26" s="206">
        <f>1/(1+EXP(-3.1416*4*((B10/(B10+C9))-(3.1416/6))))</f>
        <v>0.37262613520965243</v>
      </c>
      <c r="C26" s="207">
        <f>1/(1+EXP(-3.1416*4*((C10/(C10+B9))-(3.1416/6))))</f>
        <v>9.5233909743018694E-2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0.1597649611123001</v>
      </c>
      <c r="I26" s="138">
        <v>1</v>
      </c>
      <c r="J26" s="86">
        <f t="shared" si="17"/>
        <v>0.1981912590045187</v>
      </c>
      <c r="K26" s="138">
        <v>1</v>
      </c>
      <c r="L26" s="86">
        <f>AC18</f>
        <v>0.23944662992960711</v>
      </c>
      <c r="M26" s="85">
        <v>1</v>
      </c>
      <c r="N26" s="210">
        <f>(($B$24)^M26)*((1-($B$24))^($B$21-M26))*HLOOKUP($B$21,$AV$24:$BF$34,M26+1)</f>
        <v>9.6621532071144975E-2</v>
      </c>
      <c r="O26" s="72">
        <v>1</v>
      </c>
      <c r="P26" s="210">
        <f t="shared" si="18"/>
        <v>9.6621532071144975E-2</v>
      </c>
      <c r="Q26" s="28">
        <v>1</v>
      </c>
      <c r="R26" s="211">
        <f>N26*P25+P26*N25</f>
        <v>2.8043630679512569E-3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2.7656351040163535E-3</v>
      </c>
      <c r="W26" s="214"/>
      <c r="X26" s="28">
        <v>1</v>
      </c>
      <c r="Y26" s="211"/>
      <c r="Z26" s="28">
        <v>1</v>
      </c>
      <c r="AA26" s="213">
        <f>(1-((1-W25)^Z26))*V26</f>
        <v>1.1745623904267479E-3</v>
      </c>
      <c r="AB26" s="28">
        <v>1</v>
      </c>
      <c r="AC26" s="213">
        <f>((($W$25)^M26)*((1-($W$25))^($U$27-M26))*HLOOKUP($U$27,$AV$24:$BF$34,M26+1))*V27</f>
        <v>8.1093789357926382E-3</v>
      </c>
      <c r="AD26" s="28">
        <v>1</v>
      </c>
      <c r="AE26" s="213">
        <f>((($W$25)^M26)*((1-($W$25))^($U$28-M26))*HLOOKUP($U$28,$AV$24:$BF$34,M26+1))*V28</f>
        <v>2.4892361274335001E-2</v>
      </c>
      <c r="AF26" s="28">
        <v>1</v>
      </c>
      <c r="AG26" s="213">
        <f>((($W$25)^M26)*((1-($W$25))^($U$29-M26))*HLOOKUP($U$29,$AV$24:$BF$34,M26+1))*V29</f>
        <v>4.4593820184589274E-2</v>
      </c>
      <c r="AH26" s="28">
        <v>1</v>
      </c>
      <c r="AI26" s="213">
        <f>((($W$25)^M26)*((1-($W$25))^($U$30-M26))*HLOOKUP($U$30,$AV$24:$BF$34,M26+1))*V30</f>
        <v>5.1394547592565475E-2</v>
      </c>
      <c r="AJ26" s="28">
        <v>1</v>
      </c>
      <c r="AK26" s="213">
        <f>((($W$25)^M26)*((1-($W$25))^($U$31-M26))*HLOOKUP($U$31,$AV$24:$BF$34,M26+1))*V31</f>
        <v>3.9534627322890745E-2</v>
      </c>
      <c r="AL26" s="28">
        <v>1</v>
      </c>
      <c r="AM26" s="213">
        <f>((($W$25)^Q26)*((1-($W$25))^($U$32-Q26))*HLOOKUP($U$32,$AV$24:$BF$34,Q26+1))*V32</f>
        <v>2.0315843924265161E-2</v>
      </c>
      <c r="AN26" s="28">
        <v>1</v>
      </c>
      <c r="AO26" s="213">
        <f>((($W$25)^Q26)*((1-($W$25))^($U$33-Q26))*HLOOKUP($U$33,$AV$24:$BF$34,Q26+1))*V33</f>
        <v>6.7386031413450695E-3</v>
      </c>
      <c r="AP26" s="28">
        <v>1</v>
      </c>
      <c r="AQ26" s="213">
        <f>((($W$25)^Q26)*((1-($W$25))^($U$34-Q26))*HLOOKUP($U$34,$AV$24:$BF$34,Q26+1))*V34</f>
        <v>1.316951122064618E-3</v>
      </c>
      <c r="AR26" s="28">
        <v>1</v>
      </c>
      <c r="AS26" s="213">
        <f>((($W$25)^Q26)*((1-($W$25))^($U$35-Q26))*HLOOKUP($U$35,$AV$24:$BF$34,Q26+1))*V35</f>
        <v>1.2056311624396324E-4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2.8012311753331225E-4</v>
      </c>
      <c r="BQ26" s="31">
        <f>BQ20+1</f>
        <v>7</v>
      </c>
      <c r="BR26" s="31">
        <v>2</v>
      </c>
      <c r="BS26" s="107">
        <f t="shared" si="16"/>
        <v>1.4325627368007661E-3</v>
      </c>
    </row>
    <row r="27" spans="1:71" x14ac:dyDescent="0.25">
      <c r="A27" s="26" t="s">
        <v>116</v>
      </c>
      <c r="B27" s="206">
        <f>1/(1+EXP(-3.1416*4*((B12/(B12+C7))-(3.1416/6))))</f>
        <v>0.38618485565901695</v>
      </c>
      <c r="C27" s="207">
        <f>1/(1+EXP(-3.1416*4*((C12/(C12+B7))-(3.1416/6))))</f>
        <v>0.17095802136127952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0.25858068030152226</v>
      </c>
      <c r="I27" s="138">
        <v>2</v>
      </c>
      <c r="J27" s="86">
        <f t="shared" si="17"/>
        <v>0.28628662826571272</v>
      </c>
      <c r="K27" s="138">
        <v>2</v>
      </c>
      <c r="L27" s="86">
        <f>AD18</f>
        <v>2.7670967464565571E-2</v>
      </c>
      <c r="M27" s="85">
        <v>2</v>
      </c>
      <c r="N27" s="210">
        <f>(($B$24)^M27)*((1-($B$24))^($B$21-M27))*HLOOKUP($B$21,$AV$24:$BF$34,M27+1)</f>
        <v>0.25732234862739289</v>
      </c>
      <c r="O27" s="72">
        <v>2</v>
      </c>
      <c r="P27" s="210">
        <f t="shared" si="18"/>
        <v>0.25732234862739289</v>
      </c>
      <c r="Q27" s="28">
        <v>2</v>
      </c>
      <c r="R27" s="211">
        <f>P25*N27+P26*N26+P27*N25</f>
        <v>1.6804296827595534E-2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1.6595152156209329E-2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2.9932546219750421E-3</v>
      </c>
      <c r="AD27" s="28">
        <v>2</v>
      </c>
      <c r="AE27" s="213">
        <f>((($W$25)^M27)*((1-($W$25))^($U$28-M27))*HLOOKUP($U$28,$AV$24:$BF$34,M27+1))*V28</f>
        <v>1.8376049763172895E-2</v>
      </c>
      <c r="AF27" s="28">
        <v>2</v>
      </c>
      <c r="AG27" s="213">
        <f>((($W$25)^M27)*((1-($W$25))^($U$29-M27))*HLOOKUP($U$29,$AV$24:$BF$34,M27+1))*V29</f>
        <v>4.9380103989183813E-2</v>
      </c>
      <c r="AH27" s="28">
        <v>2</v>
      </c>
      <c r="AI27" s="213">
        <f>((($W$25)^M27)*((1-($W$25))^($U$30-M27))*HLOOKUP($U$30,$AV$24:$BF$34,M27+1))*V30</f>
        <v>7.5881010540408939E-2</v>
      </c>
      <c r="AJ27" s="28">
        <v>2</v>
      </c>
      <c r="AK27" s="213">
        <f>((($W$25)^M27)*((1-($W$25))^($U$31-M27))*HLOOKUP($U$31,$AV$24:$BF$34,M27+1))*V31</f>
        <v>7.2963174430038413E-2</v>
      </c>
      <c r="AL27" s="28">
        <v>2</v>
      </c>
      <c r="AM27" s="213">
        <f>((($W$25)^Q27)*((1-($W$25))^($U$32-Q27))*HLOOKUP($U$32,$AV$24:$BF$34,Q27+1))*V32</f>
        <v>4.4992713405384674E-2</v>
      </c>
      <c r="AN27" s="28">
        <v>2</v>
      </c>
      <c r="AO27" s="213">
        <f>((($W$25)^Q27)*((1-($W$25))^($U$33-Q27))*HLOOKUP($U$33,$AV$24:$BF$34,Q27+1))*V33</f>
        <v>1.7411010893352216E-2</v>
      </c>
      <c r="AP27" s="28">
        <v>2</v>
      </c>
      <c r="AQ27" s="213">
        <f>((($W$25)^Q27)*((1-($W$25))^($U$34-Q27))*HLOOKUP($U$34,$AV$24:$BF$34,Q27+1))*V34</f>
        <v>3.8888009197708883E-3</v>
      </c>
      <c r="AR27" s="28">
        <v>2</v>
      </c>
      <c r="AS27" s="213">
        <f>((($W$25)^Q27)*((1-($W$25))^($U$35-Q27))*HLOOKUP($U$35,$AV$24:$BF$34,Q27+1))*V35</f>
        <v>4.0050970242583138E-4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3.7451365400781435E-5</v>
      </c>
      <c r="BQ27" s="31">
        <f>BQ21+1</f>
        <v>7</v>
      </c>
      <c r="BR27" s="31">
        <v>3</v>
      </c>
      <c r="BS27" s="107">
        <f t="shared" si="16"/>
        <v>5.5246963961382857E-4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0.25348815784849721</v>
      </c>
      <c r="I28" s="138">
        <v>3</v>
      </c>
      <c r="J28" s="86">
        <f t="shared" si="17"/>
        <v>0.24520909682810973</v>
      </c>
      <c r="K28" s="138">
        <v>3</v>
      </c>
      <c r="L28" s="86">
        <f>AE18</f>
        <v>1.3943881022689397E-3</v>
      </c>
      <c r="M28" s="85">
        <v>3</v>
      </c>
      <c r="N28" s="210">
        <f>(($B$24)^M28)*((1-($B$24))^($B$21-M28))*HLOOKUP($B$21,$AV$24:$BF$34,M28+1)</f>
        <v>0.34265028552001148</v>
      </c>
      <c r="O28" s="72">
        <v>3</v>
      </c>
      <c r="P28" s="210">
        <f t="shared" si="18"/>
        <v>0.34265028552001148</v>
      </c>
      <c r="Q28" s="28">
        <v>3</v>
      </c>
      <c r="R28" s="211">
        <f>P25*N28+P26*N27+P27*N26+P28*N25</f>
        <v>5.9670910945257574E-2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5.903007455195592E-2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4.5218584820338314E-3</v>
      </c>
      <c r="AF28" s="28">
        <v>3</v>
      </c>
      <c r="AG28" s="213">
        <f>((($W$25)^M28)*((1-($W$25))^($U$29-M28))*HLOOKUP($U$29,$AV$24:$BF$34,M28+1))*V29</f>
        <v>2.4302267891622119E-2</v>
      </c>
      <c r="AH28" s="28">
        <v>3</v>
      </c>
      <c r="AI28" s="213">
        <f>((($W$25)^M28)*((1-($W$25))^($U$30-M28))*HLOOKUP($U$30,$AV$24:$BF$34,M28+1))*V30</f>
        <v>5.6016912594309631E-2</v>
      </c>
      <c r="AJ28" s="28">
        <v>3</v>
      </c>
      <c r="AK28" s="213">
        <f>((($W$25)^M28)*((1-($W$25))^($U$31-M28))*HLOOKUP($U$31,$AV$24:$BF$34,M28+1))*V31</f>
        <v>7.1817208469643595E-2</v>
      </c>
      <c r="AL28" s="28">
        <v>3</v>
      </c>
      <c r="AM28" s="213">
        <f>((($W$25)^Q28)*((1-($W$25))^($U$32-Q28))*HLOOKUP($U$32,$AV$24:$BF$34,Q28+1))*V32</f>
        <v>5.5357567421695758E-2</v>
      </c>
      <c r="AN28" s="28">
        <v>3</v>
      </c>
      <c r="AO28" s="213">
        <f>((($W$25)^Q28)*((1-($W$25))^($U$33-Q28))*HLOOKUP($U$33,$AV$24:$BF$34,Q28+1))*V33</f>
        <v>2.5706328064044461E-2</v>
      </c>
      <c r="AP28" s="28">
        <v>3</v>
      </c>
      <c r="AQ28" s="213">
        <f>((($W$25)^Q28)*((1-($W$25))^($U$34-Q28))*HLOOKUP($U$34,$AV$24:$BF$34,Q28+1))*V34</f>
        <v>6.6985153803150663E-3</v>
      </c>
      <c r="AR28" s="28">
        <v>3</v>
      </c>
      <c r="AS28" s="213">
        <f>((($W$25)^Q28)*((1-($W$25))^($U$35-Q28))*HLOOKUP($U$35,$AV$24:$BF$34,Q28+1))*V35</f>
        <v>7.8843852444526123E-4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3.626431679721121E-6</v>
      </c>
      <c r="BQ28" s="31">
        <f>BQ22+1</f>
        <v>7</v>
      </c>
      <c r="BR28" s="31">
        <v>4</v>
      </c>
      <c r="BS28" s="107">
        <f t="shared" si="16"/>
        <v>1.711248424933369E-4</v>
      </c>
    </row>
    <row r="29" spans="1:71" x14ac:dyDescent="0.25">
      <c r="A29" s="26" t="s">
        <v>118</v>
      </c>
      <c r="B29" s="206">
        <f>1/(1+EXP(-3.1416*4*((B14/(B14+C13))-(3.1416/6))))</f>
        <v>0.77412977274966732</v>
      </c>
      <c r="C29" s="207">
        <f>1/(1+EXP(-3.1416*4*((C14/(C14+B13))-(3.1416/6))))</f>
        <v>6.8406405269441528E-2</v>
      </c>
      <c r="D29" s="204">
        <v>0.04</v>
      </c>
      <c r="E29" s="204">
        <v>0.04</v>
      </c>
      <c r="G29" s="87">
        <v>4</v>
      </c>
      <c r="H29" s="126">
        <f>J29*L25+J28*L26+J27*L27+J26*L28</f>
        <v>0.16781963498725916</v>
      </c>
      <c r="I29" s="138">
        <v>4</v>
      </c>
      <c r="J29" s="86">
        <f t="shared" si="17"/>
        <v>0.13794752287548845</v>
      </c>
      <c r="K29" s="138">
        <v>4</v>
      </c>
      <c r="L29" s="86"/>
      <c r="M29" s="85">
        <v>4</v>
      </c>
      <c r="N29" s="210">
        <f>(($B$24)^M29)*((1-($B$24))^($B$21-M29))*HLOOKUP($B$21,$AV$24:$BF$34,M29+1)</f>
        <v>0.22813645762451029</v>
      </c>
      <c r="O29" s="72">
        <v>4</v>
      </c>
      <c r="P29" s="210">
        <f t="shared" si="18"/>
        <v>0.22813645762451029</v>
      </c>
      <c r="Q29" s="28">
        <v>4</v>
      </c>
      <c r="R29" s="211">
        <f>P25*N29+P26*N28+P27*N27+P28*N26+P29*N25</f>
        <v>0.13905106131654682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0.13786309662033952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4.4851076924032921E-3</v>
      </c>
      <c r="AH29" s="28">
        <v>4</v>
      </c>
      <c r="AI29" s="213">
        <f>((($W$25)^M29)*((1-($W$25))^($U$30-M29))*HLOOKUP($U$30,$AV$24:$BF$34,M29+1))*V30</f>
        <v>2.0676414785801386E-2</v>
      </c>
      <c r="AJ29" s="28">
        <v>4</v>
      </c>
      <c r="AK29" s="213">
        <f>((($W$25)^M29)*((1-($W$25))^($U$31-M29))*HLOOKUP($U$31,$AV$24:$BF$34,M29+1))*V31</f>
        <v>3.9762698147011825E-2</v>
      </c>
      <c r="AL29" s="28">
        <v>4</v>
      </c>
      <c r="AM29" s="213">
        <f>((($W$25)^Q29)*((1-($W$25))^($U$32-Q29))*HLOOKUP($U$32,$AV$24:$BF$34,Q29+1))*V32</f>
        <v>4.0866087491591561E-2</v>
      </c>
      <c r="AN29" s="28">
        <v>4</v>
      </c>
      <c r="AO29" s="213">
        <f>((($W$25)^Q29)*((1-($W$25))^($U$33-Q29))*HLOOKUP($U$33,$AV$24:$BF$34,Q29+1))*V33</f>
        <v>2.372117085073263E-2</v>
      </c>
      <c r="AP29" s="28">
        <v>4</v>
      </c>
      <c r="AQ29" s="213">
        <f>((($W$25)^Q29)*((1-($W$25))^($U$34-Q29))*HLOOKUP($U$34,$AV$24:$BF$34,Q29+1))*V34</f>
        <v>7.4174714048699918E-3</v>
      </c>
      <c r="AR29" s="28">
        <v>4</v>
      </c>
      <c r="AS29" s="213">
        <f>((($W$25)^Q29)*((1-($W$25))^($U$35-Q29))*HLOOKUP($U$35,$AV$24:$BF$34,Q29+1))*V35</f>
        <v>1.0185725030777588E-3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2.5147034157780245E-7</v>
      </c>
      <c r="BQ29" s="31">
        <f>BQ23+1</f>
        <v>7</v>
      </c>
      <c r="BR29" s="31">
        <v>5</v>
      </c>
      <c r="BS29" s="107">
        <f t="shared" si="16"/>
        <v>4.1694488542097094E-5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7.9190817062899446E-2</v>
      </c>
      <c r="I30" s="138">
        <v>5</v>
      </c>
      <c r="J30" s="86">
        <f t="shared" si="17"/>
        <v>5.3282322091141011E-2</v>
      </c>
      <c r="K30" s="138">
        <v>5</v>
      </c>
      <c r="L30" s="86"/>
      <c r="M30" s="85">
        <v>5</v>
      </c>
      <c r="N30" s="210">
        <f>(($B$24)^M30)*((1-($B$24))^($B$21-M30))*HLOOKUP($B$21,$AV$24:$BF$34,M30+1)</f>
        <v>6.0757274103506183E-2</v>
      </c>
      <c r="O30" s="72">
        <v>5</v>
      </c>
      <c r="P30" s="210">
        <f t="shared" si="18"/>
        <v>6.0757274103506183E-2</v>
      </c>
      <c r="Q30" s="28">
        <v>5</v>
      </c>
      <c r="R30" s="211">
        <f>P25*N30+P26*N29+P27*N28+P28*N27+P29*N26+P30*N25</f>
        <v>0.22219237209419737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0.22094553861361005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3.0527503826616419E-3</v>
      </c>
      <c r="AJ30" s="28">
        <v>5</v>
      </c>
      <c r="AK30" s="213">
        <f>((($W$25)^M30)*((1-($W$25))^($U$31-M30))*HLOOKUP($U$31,$AV$24:$BF$34,M30+1))*V31</f>
        <v>1.1741454525985412E-2</v>
      </c>
      <c r="AL30" s="28">
        <v>5</v>
      </c>
      <c r="AM30" s="213">
        <f>((($W$25)^Q30)*((1-($W$25))^($U$32-Q30))*HLOOKUP($U$32,$AV$24:$BF$34,Q30+1))*V32</f>
        <v>1.8100908526004645E-2</v>
      </c>
      <c r="AN30" s="28">
        <v>5</v>
      </c>
      <c r="AO30" s="213">
        <f>((($W$25)^Q30)*((1-($W$25))^($U$33-Q30))*HLOOKUP($U$33,$AV$24:$BF$34,Q30+1))*V33</f>
        <v>1.4009162447540741E-2</v>
      </c>
      <c r="AP30" s="28">
        <v>5</v>
      </c>
      <c r="AQ30" s="213">
        <f>((($W$25)^Q30)*((1-($W$25))^($U$34-Q30))*HLOOKUP($U$34,$AV$24:$BF$34,Q30+1))*V34</f>
        <v>5.4757289656300091E-3</v>
      </c>
      <c r="AR30" s="28">
        <v>5</v>
      </c>
      <c r="AS30" s="213">
        <f>((($W$25)^Q30)*((1-($W$25))^($U$35-Q30))*HLOOKUP($U$35,$AV$24:$BF$34,Q30+1))*V35</f>
        <v>9.023172433185653E-4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1.2205604033017591E-8</v>
      </c>
      <c r="BQ30" s="31">
        <f>BM10+1</f>
        <v>7</v>
      </c>
      <c r="BR30" s="31">
        <v>6</v>
      </c>
      <c r="BS30" s="107">
        <f t="shared" si="16"/>
        <v>7.6177061894448306E-6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0.42469897374422483</v>
      </c>
      <c r="C31" s="61">
        <f>(C25*E25)+(C26*E26)+(C27*E27)+(C28*E28)+(C29*E29)+(C30*E30)/(C25+C26+C27+C28+C29+C30)</f>
        <v>0.18470119008904248</v>
      </c>
      <c r="G31" s="87">
        <v>6</v>
      </c>
      <c r="H31" s="126">
        <f>J31*L25+J30*L26+J29*L27+J28*L28</f>
        <v>2.7391992377792312E-2</v>
      </c>
      <c r="I31" s="138">
        <v>6</v>
      </c>
      <c r="J31" s="86">
        <f t="shared" si="17"/>
        <v>1.431966299661565E-2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0.2465593581505853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0.24618945310232104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1.4446302775622854E-3</v>
      </c>
      <c r="AL31" s="28">
        <v>6</v>
      </c>
      <c r="AM31" s="213">
        <f>((($W$25)^Q31)*((1-($W$25))^($U$32-Q31))*HLOOKUP($U$32,$AV$24:$BF$34,Q31+1))*V32</f>
        <v>4.4541535207891182E-3</v>
      </c>
      <c r="AN31" s="28">
        <v>6</v>
      </c>
      <c r="AO31" s="213">
        <f>((($W$25)^Q31)*((1-($W$25))^($U$33-Q31))*HLOOKUP($U$33,$AV$24:$BF$34,Q31+1))*V33</f>
        <v>5.1709249966134224E-3</v>
      </c>
      <c r="AP31" s="28">
        <v>6</v>
      </c>
      <c r="AQ31" s="213">
        <f>((($W$25)^Q31)*((1-($W$25))^($U$34-Q31))*HLOOKUP($U$34,$AV$24:$BF$34,Q31+1))*V34</f>
        <v>2.6948633452413043E-3</v>
      </c>
      <c r="AR31" s="28">
        <v>6</v>
      </c>
      <c r="AS31" s="213">
        <f>((($W$25)^Q31)*((1-($W$25))^($U$35-Q31))*HLOOKUP($U$35,$AV$24:$BF$34,Q31+1))*V35</f>
        <v>5.5509085640951985E-4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6.1687816163994774E-3</v>
      </c>
      <c r="BQ31" s="31">
        <f t="shared" ref="BQ31:BQ37" si="23">BQ24+1</f>
        <v>8</v>
      </c>
      <c r="BR31" s="31">
        <v>0</v>
      </c>
      <c r="BS31" s="107">
        <f t="shared" ref="BS31:BS38" si="24">$H$33*H39</f>
        <v>4.2237805171898841E-4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7.0318782189389044E-3</v>
      </c>
      <c r="I32" s="138">
        <v>7</v>
      </c>
      <c r="J32" s="86">
        <f t="shared" si="17"/>
        <v>2.6471484817563603E-3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0.1876104536221499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0.1884884415659783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4.6973530696986998E-4</v>
      </c>
      <c r="AN32" s="28">
        <v>7</v>
      </c>
      <c r="AO32" s="213">
        <f>((($W$25)^Q32)*((1-($W$25))^($U$33-Q32))*HLOOKUP($U$33,$AV$24:$BF$34,Q32+1))*V33</f>
        <v>1.0906521426643835E-3</v>
      </c>
      <c r="AP32" s="28">
        <v>7</v>
      </c>
      <c r="AQ32" s="213">
        <f>((($W$25)^Q32)*((1-($W$25))^($U$34-Q32))*HLOOKUP($U$34,$AV$24:$BF$34,Q32+1))*V34</f>
        <v>8.5260136733758584E-4</v>
      </c>
      <c r="AR32" s="28">
        <v>7</v>
      </c>
      <c r="AS32" s="213">
        <f>((($W$25)^Q32)*((1-($W$25))^($U$35-Q32))*HLOOKUP($U$35,$AV$24:$BF$34,Q32+1))*V35</f>
        <v>2.341596647845213E-4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1.5030207810632868E-3</v>
      </c>
      <c r="BQ32" s="31">
        <f t="shared" si="23"/>
        <v>8</v>
      </c>
      <c r="BR32" s="31">
        <v>1</v>
      </c>
      <c r="BS32" s="107">
        <f t="shared" si="24"/>
        <v>4.97490835046191E-4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1.3405232217640858E-3</v>
      </c>
      <c r="I33" s="138">
        <v>8</v>
      </c>
      <c r="J33" s="86">
        <f t="shared" si="17"/>
        <v>3.2281769398021605E-4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9.3683237935427974E-2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9.5089516755194503E-2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1.0064271237184623E-4</v>
      </c>
      <c r="AP33" s="28">
        <v>8</v>
      </c>
      <c r="AQ33" s="213">
        <f>((($W$25)^Q33)*((1-($W$25))^($U$34-Q33))*HLOOKUP($U$34,$AV$24:$BF$34,Q33+1))*V34</f>
        <v>1.5735193802705329E-4</v>
      </c>
      <c r="AR33" s="28">
        <v>8</v>
      </c>
      <c r="AS33" s="213">
        <f>((($W$25)^Q33)*((1-($W$25))^($U$35-Q33))*HLOOKUP($U$35,$AV$24:$BF$34,Q33+1))*V35</f>
        <v>6.4823043581316493E-5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2.7460633544430877E-4</v>
      </c>
      <c r="BQ33" s="31">
        <f t="shared" si="23"/>
        <v>8</v>
      </c>
      <c r="BR33" s="31">
        <v>2</v>
      </c>
      <c r="BS33" s="107">
        <f t="shared" si="24"/>
        <v>2.7309682499096532E-4</v>
      </c>
    </row>
    <row r="34" spans="1:71" x14ac:dyDescent="0.25">
      <c r="A34" s="40" t="s">
        <v>123</v>
      </c>
      <c r="B34" s="56">
        <f>B23*2</f>
        <v>5.7110985738030742</v>
      </c>
      <c r="C34" s="57">
        <f>C23*2</f>
        <v>4.2889014261969258</v>
      </c>
      <c r="G34" s="87">
        <v>9</v>
      </c>
      <c r="H34" s="126">
        <f>J34*L25+J33*L26+J32*L27+J31*L28</f>
        <v>1.8773379851071459E-4</v>
      </c>
      <c r="I34" s="138">
        <v>9</v>
      </c>
      <c r="J34" s="86">
        <f t="shared" si="17"/>
        <v>2.354086743807453E-5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2.7721898577790588E-2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2.8713408240856393E-2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1.290671290079698E-5</v>
      </c>
      <c r="AR34" s="28">
        <v>9</v>
      </c>
      <c r="AS34" s="213">
        <f>((($W$25)^Q34)*((1-($W$25))^($U$35-Q34))*HLOOKUP($U$35,$AV$24:$BF$34,Q34+1))*V35</f>
        <v>1.063415453727755E-5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3.6713793208699907E-5</v>
      </c>
      <c r="BQ34" s="31">
        <f t="shared" si="23"/>
        <v>8</v>
      </c>
      <c r="BR34" s="31">
        <v>3</v>
      </c>
      <c r="BS34" s="107">
        <f t="shared" si="24"/>
        <v>1.0532013754551734E-4</v>
      </c>
    </row>
    <row r="35" spans="1:71" ht="15.75" thickBot="1" x14ac:dyDescent="0.3">
      <c r="G35" s="88">
        <v>10</v>
      </c>
      <c r="H35" s="127">
        <f>J35*L25+J34*L26+J33*L27+J32*L28</f>
        <v>1.8834855335769646E-5</v>
      </c>
      <c r="I35" s="94">
        <v>10</v>
      </c>
      <c r="J35" s="89">
        <f t="shared" si="17"/>
        <v>7.8503501862542189E-7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3.6914463564885831E-3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4.1122254313414874E-3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7.8503501862542189E-7</v>
      </c>
      <c r="BI35" s="31">
        <f t="shared" si="21"/>
        <v>3</v>
      </c>
      <c r="BJ35" s="31">
        <v>8</v>
      </c>
      <c r="BK35" s="107">
        <f t="shared" si="22"/>
        <v>3.5550122498866624E-6</v>
      </c>
      <c r="BQ35" s="31">
        <f t="shared" si="23"/>
        <v>8</v>
      </c>
      <c r="BR35" s="31">
        <v>4</v>
      </c>
      <c r="BS35" s="107">
        <f t="shared" si="24"/>
        <v>3.2622411543648037E-5</v>
      </c>
    </row>
    <row r="36" spans="1:71" ht="15.75" x14ac:dyDescent="0.25">
      <c r="A36" s="109" t="s">
        <v>124</v>
      </c>
      <c r="B36" s="219">
        <f>SUM(BO4:BO14)</f>
        <v>0.15070709602057442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0.99999999999999978</v>
      </c>
      <c r="BI36" s="31">
        <f t="shared" si="21"/>
        <v>3</v>
      </c>
      <c r="BJ36" s="31">
        <v>9</v>
      </c>
      <c r="BK36" s="107">
        <f t="shared" si="22"/>
        <v>2.4651785108523528E-7</v>
      </c>
      <c r="BQ36" s="31">
        <f t="shared" si="23"/>
        <v>8</v>
      </c>
      <c r="BR36" s="31">
        <v>5</v>
      </c>
      <c r="BS36" s="107">
        <f t="shared" si="24"/>
        <v>7.9484354492549511E-6</v>
      </c>
    </row>
    <row r="37" spans="1:71" ht="16.5" thickBot="1" x14ac:dyDescent="0.3">
      <c r="A37" s="110" t="s">
        <v>125</v>
      </c>
      <c r="B37" s="219">
        <f>SUM(BK4:BK59)</f>
        <v>0.12746837605585412</v>
      </c>
      <c r="G37" s="158"/>
      <c r="H37" s="266">
        <f>SUM(H39:H49)</f>
        <v>0.99999999843919074</v>
      </c>
      <c r="I37" s="267"/>
      <c r="J37" s="266">
        <f>SUM(J39:J49)</f>
        <v>0.99999999999999989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1.0000000000000002</v>
      </c>
      <c r="S37" s="267"/>
      <c r="T37" s="266">
        <f>SUM(T39:T49)</f>
        <v>1</v>
      </c>
      <c r="U37" s="267"/>
      <c r="V37" s="208">
        <f>SUM(V39:V48)</f>
        <v>0.99974627984460462</v>
      </c>
      <c r="W37" s="158"/>
      <c r="X37" s="158"/>
      <c r="Y37" s="205">
        <f>SUM(Y39:Y49)</f>
        <v>3.6363510581871967E-3</v>
      </c>
      <c r="Z37" s="81"/>
      <c r="AA37" s="205">
        <f>SUM(AA39:AA49)</f>
        <v>2.7362965138965981E-2</v>
      </c>
      <c r="AB37" s="81"/>
      <c r="AC37" s="205">
        <f>SUM(AC39:AC49)</f>
        <v>9.269695996261347E-2</v>
      </c>
      <c r="AD37" s="81"/>
      <c r="AE37" s="205">
        <f>SUM(AE39:AE49)</f>
        <v>0.18620364457320007</v>
      </c>
      <c r="AF37" s="81"/>
      <c r="AG37" s="205">
        <f>SUM(AG39:AG49)</f>
        <v>0.24567250907734534</v>
      </c>
      <c r="AH37" s="81"/>
      <c r="AI37" s="205">
        <f>SUM(AI39:AI49)</f>
        <v>0.22255163423544669</v>
      </c>
      <c r="AJ37" s="81"/>
      <c r="AK37" s="205">
        <f>SUM(AK39:AK49)</f>
        <v>0.14029376983616174</v>
      </c>
      <c r="AL37" s="81"/>
      <c r="AM37" s="205">
        <f>SUM(AM39:AM49)</f>
        <v>6.0861887470921749E-2</v>
      </c>
      <c r="AN37" s="81"/>
      <c r="AO37" s="205">
        <f>SUM(AO39:AO49)</f>
        <v>1.7450030460532506E-2</v>
      </c>
      <c r="AP37" s="81"/>
      <c r="AQ37" s="205">
        <f>SUM(AQ39:AQ49)</f>
        <v>3.0165280312297585E-3</v>
      </c>
      <c r="AR37" s="81"/>
      <c r="AS37" s="205">
        <f>SUM(AS39:AS49)</f>
        <v>2.5372015539537601E-4</v>
      </c>
      <c r="BI37" s="31">
        <f t="shared" si="21"/>
        <v>3</v>
      </c>
      <c r="BJ37" s="31">
        <v>10</v>
      </c>
      <c r="BK37" s="107">
        <f t="shared" si="22"/>
        <v>1.1965225237051877E-8</v>
      </c>
      <c r="BQ37" s="31">
        <f t="shared" si="23"/>
        <v>8</v>
      </c>
      <c r="BR37" s="31">
        <v>6</v>
      </c>
      <c r="BS37" s="107">
        <f t="shared" si="24"/>
        <v>1.4522026300204794E-6</v>
      </c>
    </row>
    <row r="38" spans="1:71" ht="16.5" thickBot="1" x14ac:dyDescent="0.3">
      <c r="A38" s="111" t="s">
        <v>126</v>
      </c>
      <c r="B38" s="219">
        <f>SUM(BS4:BS47)</f>
        <v>0.72180434636020119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9.9506186402230508E-4</v>
      </c>
      <c r="BQ38" s="31">
        <f>BM11+1</f>
        <v>8</v>
      </c>
      <c r="BR38" s="31">
        <v>7</v>
      </c>
      <c r="BS38" s="107">
        <f t="shared" si="24"/>
        <v>1.9415381283697545E-7</v>
      </c>
    </row>
    <row r="39" spans="1:71" x14ac:dyDescent="0.25">
      <c r="G39" s="128">
        <v>0</v>
      </c>
      <c r="H39" s="129">
        <f>L39*J39</f>
        <v>0.31508447213853735</v>
      </c>
      <c r="I39" s="97">
        <v>0</v>
      </c>
      <c r="J39" s="98">
        <f t="shared" ref="J39:J49" si="28">Y39+AA39+AC39+AE39+AG39+AI39+AK39+AM39+AO39+AQ39+AS39</f>
        <v>0.43688938604537059</v>
      </c>
      <c r="K39" s="102">
        <v>0</v>
      </c>
      <c r="L39" s="98">
        <f>AH18</f>
        <v>0.72119964961981498</v>
      </c>
      <c r="M39" s="85">
        <v>0</v>
      </c>
      <c r="N39" s="210">
        <f>(1-$C$24)^$B$21</f>
        <v>6.0757274103506183E-2</v>
      </c>
      <c r="O39" s="72">
        <v>0</v>
      </c>
      <c r="P39" s="210">
        <f t="shared" ref="P39:P44" si="29">N39</f>
        <v>6.0757274103506183E-2</v>
      </c>
      <c r="Q39" s="28">
        <v>0</v>
      </c>
      <c r="R39" s="211">
        <f>P39*N39</f>
        <v>3.6914463564885831E-3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3.6363510581871967E-3</v>
      </c>
      <c r="W39" s="134">
        <f>C31</f>
        <v>0.18470119008904248</v>
      </c>
      <c r="X39" s="28">
        <v>0</v>
      </c>
      <c r="Y39" s="213">
        <f>V39</f>
        <v>3.6363510581871967E-3</v>
      </c>
      <c r="Z39" s="28">
        <v>0</v>
      </c>
      <c r="AA39" s="213">
        <f>((1-W39)^Z40)*V40</f>
        <v>2.2308992913433981E-2</v>
      </c>
      <c r="AB39" s="28">
        <v>0</v>
      </c>
      <c r="AC39" s="213">
        <f>(((1-$W$39)^AB41))*V41</f>
        <v>6.1616795503508542E-2</v>
      </c>
      <c r="AD39" s="28">
        <v>0</v>
      </c>
      <c r="AE39" s="213">
        <f>(((1-$W$39)^AB42))*V42</f>
        <v>0.10091102147480853</v>
      </c>
      <c r="AF39" s="28">
        <v>0</v>
      </c>
      <c r="AG39" s="213">
        <f>(((1-$W$39)^AB43))*V43</f>
        <v>0.10854849211418618</v>
      </c>
      <c r="AH39" s="28">
        <v>0</v>
      </c>
      <c r="AI39" s="213">
        <f>(((1-$W$39)^AB44))*V44</f>
        <v>8.0170543840121442E-2</v>
      </c>
      <c r="AJ39" s="28">
        <v>0</v>
      </c>
      <c r="AK39" s="213">
        <f>(((1-$W$39)^AB45))*V45</f>
        <v>4.1203986445228734E-2</v>
      </c>
      <c r="AL39" s="28">
        <v>0</v>
      </c>
      <c r="AM39" s="213">
        <f>(((1-$W$39)^AB46))*V46</f>
        <v>1.4573473494632238E-2</v>
      </c>
      <c r="AN39" s="28">
        <v>0</v>
      </c>
      <c r="AO39" s="213">
        <f>(((1-$W$39)^AB47))*V47</f>
        <v>3.4066746316564027E-3</v>
      </c>
      <c r="AP39" s="28">
        <v>0</v>
      </c>
      <c r="AQ39" s="213">
        <f>(((1-$W$39)^AB48))*V48</f>
        <v>4.8012977665511867E-4</v>
      </c>
      <c r="AR39" s="28">
        <v>0</v>
      </c>
      <c r="AS39" s="213">
        <f>(((1-$W$39)^AB49))*V49</f>
        <v>3.2924792952260682E-5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1.8180074118884901E-4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5.9152004806311035E-5</v>
      </c>
    </row>
    <row r="40" spans="1:71" x14ac:dyDescent="0.25">
      <c r="G40" s="91">
        <v>1</v>
      </c>
      <c r="H40" s="130">
        <f>L39*J40+L40*J39</f>
        <v>0.37111690940460468</v>
      </c>
      <c r="I40" s="138">
        <v>1</v>
      </c>
      <c r="J40" s="86">
        <f t="shared" si="28"/>
        <v>0.37707469764352375</v>
      </c>
      <c r="K40" s="95">
        <v>1</v>
      </c>
      <c r="L40" s="86">
        <f>AI18</f>
        <v>0.22699285620387871</v>
      </c>
      <c r="M40" s="85">
        <v>1</v>
      </c>
      <c r="N40" s="210">
        <f>(($C$24)^M26)*((1-($C$24))^($B$21-M26))*HLOOKUP($B$21,$AV$24:$BF$34,M26+1)</f>
        <v>0.22813645762451029</v>
      </c>
      <c r="O40" s="72">
        <v>1</v>
      </c>
      <c r="P40" s="210">
        <f t="shared" si="29"/>
        <v>0.22813645762451029</v>
      </c>
      <c r="Q40" s="28">
        <v>1</v>
      </c>
      <c r="R40" s="211">
        <f>P40*N39+P39*N40</f>
        <v>2.7721898577790588E-2</v>
      </c>
      <c r="S40" s="72">
        <v>1</v>
      </c>
      <c r="T40" s="212">
        <f t="shared" ref="T40:T49" si="32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2.7362965138965981E-2</v>
      </c>
      <c r="W40" s="214"/>
      <c r="X40" s="28">
        <v>1</v>
      </c>
      <c r="Y40" s="211"/>
      <c r="Z40" s="28">
        <v>1</v>
      </c>
      <c r="AA40" s="213">
        <f>(1-((1-W39)^Z40))*V40</f>
        <v>5.0539722255319988E-3</v>
      </c>
      <c r="AB40" s="28">
        <v>1</v>
      </c>
      <c r="AC40" s="213">
        <f>((($W$39)^M40)*((1-($W$39))^($U$27-M40))*HLOOKUP($U$27,$AV$24:$BF$34,M40+1))*V41</f>
        <v>2.7917851272747783E-2</v>
      </c>
      <c r="AD40" s="28">
        <v>1</v>
      </c>
      <c r="AE40" s="213">
        <f>((($W$39)^M40)*((1-($W$39))^($U$28-M40))*HLOOKUP($U$28,$AV$24:$BF$34,M40+1))*V42</f>
        <v>6.8582410030257404E-2</v>
      </c>
      <c r="AF40" s="28">
        <v>1</v>
      </c>
      <c r="AG40" s="213">
        <f>((($W$39)^M40)*((1-($W$39))^($U$29-M40))*HLOOKUP($U$29,$AV$24:$BF$34,M40+1))*V43</f>
        <v>9.8364111082418396E-2</v>
      </c>
      <c r="AH40" s="28">
        <v>1</v>
      </c>
      <c r="AI40" s="213">
        <f>((($W$39)^M40)*((1-($W$39))^($U$30-M40))*HLOOKUP($U$30,$AV$24:$BF$34,M40+1))*V44</f>
        <v>9.0810845528974754E-2</v>
      </c>
      <c r="AJ40" s="28">
        <v>1</v>
      </c>
      <c r="AK40" s="213">
        <f>((($W$39)^M40)*((1-($W$39))^($U$31-M40))*HLOOKUP($U$31,$AV$24:$BF$34,M40+1))*V45</f>
        <v>5.6007136821487766E-2</v>
      </c>
      <c r="AL40" s="28">
        <v>1</v>
      </c>
      <c r="AM40" s="213">
        <f>((($W$39)^Q40)*((1-($W$39))^($U$32-Q40))*HLOOKUP($U$32,$AV$24:$BF$34,Q40+1))*V46</f>
        <v>2.3110747934718165E-2</v>
      </c>
      <c r="AN40" s="28">
        <v>1</v>
      </c>
      <c r="AO40" s="213">
        <f>((($W$39)^Q40)*((1-($W$39))^($U$33-Q40))*HLOOKUP($U$33,$AV$24:$BF$34,Q40+1))*V47</f>
        <v>6.1740981447703349E-3</v>
      </c>
      <c r="AP40" s="28">
        <v>1</v>
      </c>
      <c r="AQ40" s="213">
        <f>((($W$39)^Q40)*((1-($W$39))^($U$34-Q40))*HLOOKUP($U$34,$AV$24:$BF$34,Q40+1))*V48</f>
        <v>9.7893540454897267E-4</v>
      </c>
      <c r="AR40" s="28">
        <v>1</v>
      </c>
      <c r="AS40" s="213">
        <f>((($W$39)^Q40)*((1-($W$39))^($U$35-Q40))*HLOOKUP($U$35,$AV$24:$BF$34,Q40+1))*V49</f>
        <v>7.4589198068154028E-5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2.4306048170361343E-5</v>
      </c>
      <c r="BQ40" s="31">
        <f t="shared" si="30"/>
        <v>9</v>
      </c>
      <c r="BR40" s="31">
        <v>1</v>
      </c>
      <c r="BS40" s="107">
        <f t="shared" si="31"/>
        <v>6.9671187094083177E-5</v>
      </c>
    </row>
    <row r="41" spans="1:71" x14ac:dyDescent="0.25">
      <c r="G41" s="91">
        <v>2</v>
      </c>
      <c r="H41" s="130">
        <f>L39*J41+J40*L40+J39*L41</f>
        <v>0.20372405382995054</v>
      </c>
      <c r="I41" s="138">
        <v>2</v>
      </c>
      <c r="J41" s="86">
        <f t="shared" si="28"/>
        <v>0.14655595634854063</v>
      </c>
      <c r="K41" s="95">
        <v>2</v>
      </c>
      <c r="L41" s="86">
        <f>AJ18</f>
        <v>2.8461865265084207E-2</v>
      </c>
      <c r="M41" s="85">
        <v>2</v>
      </c>
      <c r="N41" s="210">
        <f>(($C$24)^M27)*((1-($C$24))^($B$21-M27))*HLOOKUP($B$21,$AV$24:$BF$34,M27+1)</f>
        <v>0.34265028552001148</v>
      </c>
      <c r="O41" s="72">
        <v>2</v>
      </c>
      <c r="P41" s="210">
        <f t="shared" si="29"/>
        <v>0.34265028552001148</v>
      </c>
      <c r="Q41" s="28">
        <v>2</v>
      </c>
      <c r="R41" s="211">
        <f>P41*N39+P40*N40+P39*N41</f>
        <v>9.3683237935427974E-2</v>
      </c>
      <c r="S41" s="72">
        <v>2</v>
      </c>
      <c r="T41" s="212">
        <f t="shared" si="32"/>
        <v>7.4625000000000011E-5</v>
      </c>
      <c r="U41" s="138">
        <v>2</v>
      </c>
      <c r="V41" s="86">
        <f>R41*T39+T40*R40+R39*T41</f>
        <v>9.269695996261347E-2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3.1623131863571384E-3</v>
      </c>
      <c r="AD41" s="28">
        <v>2</v>
      </c>
      <c r="AE41" s="213">
        <f>((($W$39)^M41)*((1-($W$39))^($U$28-M41))*HLOOKUP($U$28,$AV$24:$BF$34,M41+1))*V42</f>
        <v>1.5536944979898444E-2</v>
      </c>
      <c r="AF41" s="28">
        <v>2</v>
      </c>
      <c r="AG41" s="213">
        <f>((($W$39)^M41)*((1-($W$39))^($U$29-M41))*HLOOKUP($U$29,$AV$24:$BF$34,M41+1))*V43</f>
        <v>3.342572347362617E-2</v>
      </c>
      <c r="AH41" s="28">
        <v>2</v>
      </c>
      <c r="AI41" s="213">
        <f>((($W$39)^M41)*((1-($W$39))^($U$30-M41))*HLOOKUP($U$30,$AV$24:$BF$34,M41+1))*V44</f>
        <v>4.1145334785968067E-2</v>
      </c>
      <c r="AJ41" s="28">
        <v>2</v>
      </c>
      <c r="AK41" s="213">
        <f>((($W$39)^M41)*((1-($W$39))^($U$31-M41))*HLOOKUP($U$31,$AV$24:$BF$34,M41+1))*V45</f>
        <v>3.1720225451875743E-2</v>
      </c>
      <c r="AL41" s="28">
        <v>2</v>
      </c>
      <c r="AM41" s="213">
        <f>((($W$39)^Q41)*((1-($W$39))^($U$32-Q41))*HLOOKUP($U$32,$AV$24:$BF$34,Q41+1))*V46</f>
        <v>1.5706815447908667E-2</v>
      </c>
      <c r="AN41" s="28">
        <v>2</v>
      </c>
      <c r="AO41" s="213">
        <f>((($W$39)^Q41)*((1-($W$39))^($U$33-Q41))*HLOOKUP($U$33,$AV$24:$BF$34,Q41+1))*V47</f>
        <v>4.89547073319733E-3</v>
      </c>
      <c r="AP41" s="28">
        <v>2</v>
      </c>
      <c r="AQ41" s="213">
        <f>((($W$39)^Q41)*((1-($W$39))^($U$34-Q41))*HLOOKUP($U$34,$AV$24:$BF$34,Q41+1))*V48</f>
        <v>8.8708842472241887E-4</v>
      </c>
      <c r="AR41" s="28">
        <v>2</v>
      </c>
      <c r="AS41" s="213">
        <f>((($W$39)^Q41)*((1-($W$39))^($U$35-Q41))*HLOOKUP($U$35,$AV$24:$BF$34,Q41+1))*V49</f>
        <v>7.6039864986629735E-5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2.3535650075921349E-6</v>
      </c>
      <c r="BQ41" s="31">
        <f t="shared" si="30"/>
        <v>9</v>
      </c>
      <c r="BR41" s="31">
        <v>2</v>
      </c>
      <c r="BS41" s="107">
        <f t="shared" si="31"/>
        <v>3.8245890473497908E-5</v>
      </c>
    </row>
    <row r="42" spans="1:71" ht="15" customHeight="1" x14ac:dyDescent="0.25">
      <c r="G42" s="91">
        <v>3</v>
      </c>
      <c r="H42" s="130">
        <f>J42*L39+J41*L40+L42*J39+L41*J40</f>
        <v>7.8566440204534016E-2</v>
      </c>
      <c r="I42" s="138">
        <v>3</v>
      </c>
      <c r="J42" s="86">
        <f t="shared" si="28"/>
        <v>3.3787562668761852E-2</v>
      </c>
      <c r="K42" s="95">
        <v>3</v>
      </c>
      <c r="L42" s="86">
        <f>AK18</f>
        <v>2.3345628911222105E-2</v>
      </c>
      <c r="M42" s="85">
        <v>3</v>
      </c>
      <c r="N42" s="210">
        <f>(($C$24)^M28)*((1-($C$24))^($B$21-M28))*HLOOKUP($B$21,$AV$24:$BF$34,M28+1)</f>
        <v>0.25732234862739289</v>
      </c>
      <c r="O42" s="72">
        <v>3</v>
      </c>
      <c r="P42" s="210">
        <f t="shared" si="29"/>
        <v>0.25732234862739289</v>
      </c>
      <c r="Q42" s="28">
        <v>3</v>
      </c>
      <c r="R42" s="211">
        <f>P42*N39+P41*N40+P40*N41+P39*N42</f>
        <v>0.1876104536221499</v>
      </c>
      <c r="S42" s="72">
        <v>3</v>
      </c>
      <c r="T42" s="212">
        <f t="shared" si="32"/>
        <v>1.2500000000000002E-7</v>
      </c>
      <c r="U42" s="138">
        <v>3</v>
      </c>
      <c r="V42" s="86">
        <f>R42*T39+R41*T40+R40*T41+R39*T42</f>
        <v>0.1862036445732001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1.1732680882357023E-3</v>
      </c>
      <c r="AF42" s="28">
        <v>3</v>
      </c>
      <c r="AG42" s="213">
        <f>((($W$39)^M42)*((1-($W$39))^($U$29-M42))*HLOOKUP($U$29,$AV$24:$BF$34,M42+1))*V43</f>
        <v>5.0482684631419673E-3</v>
      </c>
      <c r="AH42" s="28">
        <v>3</v>
      </c>
      <c r="AI42" s="213">
        <f>((($W$39)^M42)*((1-($W$39))^($U$30-M42))*HLOOKUP($U$30,$AV$24:$BF$34,M42+1))*V44</f>
        <v>9.3212356122663355E-3</v>
      </c>
      <c r="AJ42" s="28">
        <v>3</v>
      </c>
      <c r="AK42" s="213">
        <f>((($W$39)^M42)*((1-($W$39))^($U$31-M42))*HLOOKUP($U$31,$AV$24:$BF$34,M42+1))*V45</f>
        <v>9.5813760871208235E-3</v>
      </c>
      <c r="AL42" s="28">
        <v>3</v>
      </c>
      <c r="AM42" s="213">
        <f>((($W$39)^Q42)*((1-($W$39))^($U$32-Q42))*HLOOKUP($U$32,$AV$24:$BF$34,Q42+1))*V46</f>
        <v>5.9304790474192862E-3</v>
      </c>
      <c r="AN42" s="28">
        <v>3</v>
      </c>
      <c r="AO42" s="213">
        <f>((($W$39)^Q42)*((1-($W$39))^($U$33-Q42))*HLOOKUP($U$33,$AV$24:$BF$34,Q42+1))*V47</f>
        <v>2.2180806827532991E-3</v>
      </c>
      <c r="AP42" s="28">
        <v>3</v>
      </c>
      <c r="AQ42" s="213">
        <f>((($W$39)^Q42)*((1-($W$39))^($U$34-Q42))*HLOOKUP($U$34,$AV$24:$BF$34,Q42+1))*V48</f>
        <v>4.6891765341362958E-4</v>
      </c>
      <c r="AR42" s="28">
        <v>3</v>
      </c>
      <c r="AS42" s="213">
        <f>((($W$39)^Q42)*((1-($W$39))^($U$35-Q42))*HLOOKUP($U$35,$AV$24:$BF$34,Q42+1))*V49</f>
        <v>4.5937034410813565E-5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1.6320500388698121E-7</v>
      </c>
      <c r="BQ42" s="31">
        <f t="shared" si="30"/>
        <v>9</v>
      </c>
      <c r="BR42" s="31">
        <v>3</v>
      </c>
      <c r="BS42" s="107">
        <f t="shared" si="31"/>
        <v>1.4749576255062096E-5</v>
      </c>
    </row>
    <row r="43" spans="1:71" ht="15" customHeight="1" x14ac:dyDescent="0.25">
      <c r="G43" s="91">
        <v>4</v>
      </c>
      <c r="H43" s="130">
        <f>J43*L39+J42*L40+J41*L41+J40*L42</f>
        <v>2.4335581073126049E-2</v>
      </c>
      <c r="I43" s="138">
        <v>4</v>
      </c>
      <c r="J43" s="86">
        <f t="shared" si="28"/>
        <v>5.118893047629281E-3</v>
      </c>
      <c r="K43" s="95">
        <v>4</v>
      </c>
      <c r="L43" s="86"/>
      <c r="M43" s="85">
        <v>4</v>
      </c>
      <c r="N43" s="210">
        <f>(($C$24)^M29)*((1-($C$24))^($B$21-M29))*HLOOKUP($B$21,$AV$24:$BF$34,M29+1)</f>
        <v>9.6621532071144975E-2</v>
      </c>
      <c r="O43" s="72">
        <v>4</v>
      </c>
      <c r="P43" s="210">
        <f t="shared" si="29"/>
        <v>9.6621532071144975E-2</v>
      </c>
      <c r="Q43" s="28">
        <v>4</v>
      </c>
      <c r="R43" s="211">
        <f>P43*N39+P42*N40+P41*N41+P40*N42+P39*N43</f>
        <v>0.2465593581505853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0.24567250907734536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2.8591394397262061E-4</v>
      </c>
      <c r="AH43" s="28">
        <v>4</v>
      </c>
      <c r="AI43" s="213">
        <f>((($W$39)^M43)*((1-($W$39))^($U$30-M43))*HLOOKUP($U$30,$AV$24:$BF$34,M43+1))*V44</f>
        <v>1.0558357805489657E-3</v>
      </c>
      <c r="AJ43" s="28">
        <v>4</v>
      </c>
      <c r="AK43" s="213">
        <f>((($W$39)^M43)*((1-($W$39))^($U$31-M43))*HLOOKUP($U$31,$AV$24:$BF$34,M43+1))*V45</f>
        <v>1.627953651289383E-3</v>
      </c>
      <c r="AL43" s="28">
        <v>4</v>
      </c>
      <c r="AM43" s="213">
        <f>((($W$39)^Q43)*((1-($W$39))^($U$32-Q43))*HLOOKUP($U$32,$AV$24:$BF$34,Q43+1))*V46</f>
        <v>1.3435154381938855E-3</v>
      </c>
      <c r="AN43" s="28">
        <v>4</v>
      </c>
      <c r="AO43" s="213">
        <f>((($W$39)^Q43)*((1-($W$39))^($U$33-Q43))*HLOOKUP($U$33,$AV$24:$BF$34,Q43+1))*V47</f>
        <v>6.2811655192835595E-4</v>
      </c>
      <c r="AP43" s="28">
        <v>4</v>
      </c>
      <c r="AQ43" s="213">
        <f>((($W$39)^Q43)*((1-($W$39))^($U$34-Q43))*HLOOKUP($U$34,$AV$24:$BF$34,Q43+1))*V48</f>
        <v>1.5934583907104732E-4</v>
      </c>
      <c r="AR43" s="28">
        <v>4</v>
      </c>
      <c r="AS43" s="213">
        <f>((($W$39)^Q43)*((1-($W$39))^($U$35-Q43))*HLOOKUP($U$35,$AV$24:$BF$34,Q43+1))*V49</f>
        <v>1.8211842625023717E-5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7.921473527069114E-9</v>
      </c>
      <c r="BQ43" s="31">
        <f t="shared" si="30"/>
        <v>9</v>
      </c>
      <c r="BR43" s="31">
        <v>4</v>
      </c>
      <c r="BS43" s="107">
        <f t="shared" si="31"/>
        <v>4.5686110738234054E-6</v>
      </c>
    </row>
    <row r="44" spans="1:71" ht="15" customHeight="1" thickBot="1" x14ac:dyDescent="0.3">
      <c r="G44" s="91">
        <v>5</v>
      </c>
      <c r="H44" s="130">
        <f>J44*L39+J43*L40+J42*L41+J41*L42</f>
        <v>5.9293530467865105E-3</v>
      </c>
      <c r="I44" s="138">
        <v>5</v>
      </c>
      <c r="J44" s="86">
        <f t="shared" si="28"/>
        <v>5.3286612874724334E-4</v>
      </c>
      <c r="K44" s="95">
        <v>5</v>
      </c>
      <c r="L44" s="86"/>
      <c r="M44" s="85">
        <v>5</v>
      </c>
      <c r="N44" s="210">
        <f>(($C$24)^M30)*((1-($C$24))^($B$21-M30))*HLOOKUP($B$21,$AV$24:$BF$34,M30+1)</f>
        <v>1.4512102053434273E-2</v>
      </c>
      <c r="O44" s="72">
        <v>5</v>
      </c>
      <c r="P44" s="210">
        <f t="shared" si="29"/>
        <v>1.4512102053434273E-2</v>
      </c>
      <c r="Q44" s="28">
        <v>5</v>
      </c>
      <c r="R44" s="211">
        <f>P44*N39+P43*N40+P42*N41+P41*N42+P40*N43+P39*N44</f>
        <v>0.22219237209419737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0.22255163423544674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4.7838687567147421E-5</v>
      </c>
      <c r="AJ44" s="28">
        <v>5</v>
      </c>
      <c r="AK44" s="213">
        <f>((($W$39)^M44)*((1-($W$39))^($U$31-M44))*HLOOKUP($U$31,$AV$24:$BF$34,M44+1))*V45</f>
        <v>1.4752136181128011E-4</v>
      </c>
      <c r="AL44" s="28">
        <v>5</v>
      </c>
      <c r="AM44" s="213">
        <f>((($W$39)^Q44)*((1-($W$39))^($U$32-Q44))*HLOOKUP($U$32,$AV$24:$BF$34,Q44+1))*V46</f>
        <v>1.8261935181618637E-4</v>
      </c>
      <c r="AN44" s="28">
        <v>5</v>
      </c>
      <c r="AO44" s="213">
        <f>((($W$39)^Q44)*((1-($W$39))^($U$33-Q44))*HLOOKUP($U$33,$AV$24:$BF$34,Q44+1))*V47</f>
        <v>1.1383691303900086E-4</v>
      </c>
      <c r="AP44" s="28">
        <v>5</v>
      </c>
      <c r="AQ44" s="213">
        <f>((($W$39)^Q44)*((1-($W$39))^($U$34-Q44))*HLOOKUP($U$34,$AV$24:$BF$34,Q44+1))*V48</f>
        <v>3.6098870444044709E-5</v>
      </c>
      <c r="AR44" s="28">
        <v>5</v>
      </c>
      <c r="AS44" s="213">
        <f>((($W$39)^Q44)*((1-($W$39))^($U$35-Q44))*HLOOKUP($U$35,$AV$24:$BF$34,Q44+1))*V49</f>
        <v>4.9509440695839157E-6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8.57882287640459E-5</v>
      </c>
      <c r="BQ44" s="31">
        <f t="shared" si="30"/>
        <v>9</v>
      </c>
      <c r="BR44" s="31">
        <v>5</v>
      </c>
      <c r="BS44" s="107">
        <f t="shared" si="31"/>
        <v>1.1131399701843105E-6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1.0833103123043457E-3</v>
      </c>
      <c r="I45" s="138">
        <v>6</v>
      </c>
      <c r="J45" s="86">
        <f t="shared" si="28"/>
        <v>3.8641676646431938E-5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0.13905106131654682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0.14029376983616176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5.5700173480108224E-6</v>
      </c>
      <c r="AL45" s="28">
        <v>6</v>
      </c>
      <c r="AM45" s="213">
        <f>((($W$39)^Q45)*((1-($W$39))^($U$32-Q45))*HLOOKUP($U$32,$AV$24:$BF$34,Q45+1))*V46</f>
        <v>1.3790449670603174E-5</v>
      </c>
      <c r="AN45" s="28">
        <v>6</v>
      </c>
      <c r="AO45" s="213">
        <f>((($W$39)^Q45)*((1-($W$39))^($U$33-Q45))*HLOOKUP($U$33,$AV$24:$BF$34,Q45+1))*V47</f>
        <v>1.2894544342989184E-5</v>
      </c>
      <c r="AP45" s="28">
        <v>6</v>
      </c>
      <c r="AQ45" s="213">
        <f>((($W$39)^Q45)*((1-($W$39))^($U$34-Q45))*HLOOKUP($U$34,$AV$24:$BF$34,Q45+1))*V48</f>
        <v>5.4519923663434991E-6</v>
      </c>
      <c r="AR45" s="28">
        <v>6</v>
      </c>
      <c r="AS45" s="213">
        <f>((($W$39)^Q45)*((1-($W$39))^($U$35-Q45))*HLOOKUP($U$35,$AV$24:$BF$34,Q45+1))*V49</f>
        <v>9.3467291848525558E-7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1.146955071334316E-5</v>
      </c>
      <c r="BQ45" s="31">
        <f t="shared" si="30"/>
        <v>9</v>
      </c>
      <c r="BR45" s="31">
        <v>6</v>
      </c>
      <c r="BS45" s="107">
        <f t="shared" si="31"/>
        <v>2.0337395989472333E-7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1.4483435250116385E-4</v>
      </c>
      <c r="I46" s="138">
        <v>7</v>
      </c>
      <c r="J46" s="86">
        <f t="shared" si="28"/>
        <v>1.9312633672225954E-6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5.9670910945257574E-2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6.0861887470921749E-2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4.4630656270878367E-7</v>
      </c>
      <c r="AN46" s="28">
        <v>7</v>
      </c>
      <c r="AO46" s="213">
        <f>((($W$39)^Q46)*((1-($W$39))^($U$33-Q46))*HLOOKUP($U$33,$AV$24:$BF$34,Q46+1))*V47</f>
        <v>8.3462394640881671E-7</v>
      </c>
      <c r="AP46" s="28">
        <v>7</v>
      </c>
      <c r="AQ46" s="213">
        <f>((($W$39)^Q46)*((1-($W$39))^($U$34-Q46))*HLOOKUP($U$34,$AV$24:$BF$34,Q46+1))*V48</f>
        <v>5.2933588774647998E-7</v>
      </c>
      <c r="AR46" s="28">
        <v>7</v>
      </c>
      <c r="AS46" s="213">
        <f>((($W$39)^Q46)*((1-($W$39))^($U$35-Q46))*HLOOKUP($U$35,$AV$24:$BF$34,Q46+1))*V49</f>
        <v>1.2099697035851509E-7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1.1106014857916971E-6</v>
      </c>
      <c r="BQ46" s="31">
        <f t="shared" si="30"/>
        <v>9</v>
      </c>
      <c r="BR46" s="31">
        <v>7</v>
      </c>
      <c r="BS46" s="107">
        <f t="shared" si="31"/>
        <v>2.7190303149883308E-8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1.4024372105032984E-5</v>
      </c>
      <c r="I47" s="138">
        <v>8</v>
      </c>
      <c r="J47" s="86">
        <f t="shared" si="28"/>
        <v>6.3893572090830095E-8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1.6804296827595534E-2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1.7450030460532506E-2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2.3634898380901254E-8</v>
      </c>
      <c r="AP47" s="28">
        <v>8</v>
      </c>
      <c r="AQ47" s="213">
        <f>((($W$39)^Q47)*((1-($W$39))^($U$34-Q47))*HLOOKUP($U$34,$AV$24:$BF$34,Q47+1))*V48</f>
        <v>2.9979489493641127E-8</v>
      </c>
      <c r="AR47" s="28">
        <v>8</v>
      </c>
      <c r="AS47" s="213">
        <f>((($W$39)^Q47)*((1-($W$39))^($U$35-Q47))*HLOOKUP($U$35,$AV$24:$BF$34,Q47+1))*V49</f>
        <v>1.0279184216287719E-8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7.7013262527623401E-8</v>
      </c>
      <c r="BQ47" s="31">
        <f>BM12+1</f>
        <v>9</v>
      </c>
      <c r="BR47" s="31">
        <v>8</v>
      </c>
      <c r="BS47" s="107">
        <f t="shared" si="31"/>
        <v>2.6328486470055487E-9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9.7250243631725042E-7</v>
      </c>
      <c r="I48" s="138">
        <v>9</v>
      </c>
      <c r="J48" s="86">
        <f t="shared" si="28"/>
        <v>1.2721174385598171E-9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2.8043630679512569E-3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3.0165280312297593E-3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7.5463094299843414E-10</v>
      </c>
      <c r="AR48" s="28">
        <v>9</v>
      </c>
      <c r="AS48" s="213">
        <f>((($W$39)^Q48)*((1-($W$39))^($U$35-Q48))*HLOOKUP($U$35,$AV$24:$BF$34,Q48+1))*V49</f>
        <v>5.1748649556138281E-10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3.7379890678367651E-9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4.7202304591298334E-8</v>
      </c>
      <c r="I49" s="94">
        <v>10</v>
      </c>
      <c r="J49" s="89">
        <f t="shared" si="28"/>
        <v>1.1723354728756955E-11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2.1060110600929126E-4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2.5372015539537607E-4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1.1723354728756955E-11</v>
      </c>
      <c r="BI49" s="31">
        <f>BQ14+1</f>
        <v>6</v>
      </c>
      <c r="BJ49" s="31">
        <v>0</v>
      </c>
      <c r="BK49" s="107">
        <f>$H$31*H39</f>
        <v>8.63079145917953E-3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5"/>
      <c r="J50" s="295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5"/>
      <c r="X50" s="158"/>
      <c r="Y50" s="158"/>
      <c r="BI50" s="31">
        <f>BI45+1</f>
        <v>6</v>
      </c>
      <c r="BJ50" s="31">
        <v>7</v>
      </c>
      <c r="BK50" s="107">
        <f>$H$31*H46</f>
        <v>3.9673014797543651E-6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3.8415549380438661E-7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2.6638779322986577E-8</v>
      </c>
    </row>
    <row r="53" spans="1:63" x14ac:dyDescent="0.25">
      <c r="BI53" s="31">
        <f>BI48+1</f>
        <v>6</v>
      </c>
      <c r="BJ53" s="31">
        <v>10</v>
      </c>
      <c r="BK53" s="107">
        <f>$H$31*H49</f>
        <v>1.2929651675790749E-9</v>
      </c>
    </row>
    <row r="54" spans="1:63" x14ac:dyDescent="0.25">
      <c r="BI54" s="31">
        <f>BI51+1</f>
        <v>7</v>
      </c>
      <c r="BJ54" s="31">
        <v>8</v>
      </c>
      <c r="BK54" s="107">
        <f>$H$32*H47</f>
        <v>9.8617676739675789E-8</v>
      </c>
    </row>
    <row r="55" spans="1:63" x14ac:dyDescent="0.25">
      <c r="BI55" s="31">
        <f>BI52+1</f>
        <v>7</v>
      </c>
      <c r="BJ55" s="31">
        <v>9</v>
      </c>
      <c r="BK55" s="107">
        <f>$H$32*H48</f>
        <v>6.838518699804292E-9</v>
      </c>
    </row>
    <row r="56" spans="1:63" x14ac:dyDescent="0.25">
      <c r="BI56" s="31">
        <f>BI53+1</f>
        <v>7</v>
      </c>
      <c r="BJ56" s="31">
        <v>10</v>
      </c>
      <c r="BK56" s="107">
        <f>$H$32*H49</f>
        <v>3.3192085753927058E-10</v>
      </c>
    </row>
    <row r="57" spans="1:63" x14ac:dyDescent="0.25">
      <c r="BI57" s="31">
        <f>BI55+1</f>
        <v>8</v>
      </c>
      <c r="BJ57" s="31">
        <v>9</v>
      </c>
      <c r="BK57" s="107">
        <f>$H$33*H48</f>
        <v>1.3036620991054233E-9</v>
      </c>
    </row>
    <row r="58" spans="1:63" x14ac:dyDescent="0.25">
      <c r="BI58" s="31">
        <f>BI56+1</f>
        <v>8</v>
      </c>
      <c r="BJ58" s="31">
        <v>10</v>
      </c>
      <c r="BK58" s="107">
        <f>$H$33*H49</f>
        <v>6.3275785425416937E-11</v>
      </c>
    </row>
    <row r="59" spans="1:63" x14ac:dyDescent="0.25">
      <c r="BI59" s="31">
        <f>BI58+1</f>
        <v>9</v>
      </c>
      <c r="BJ59" s="31">
        <v>10</v>
      </c>
      <c r="BK59" s="107">
        <f>$H$34*H49</f>
        <v>8.8614679393841803E-12</v>
      </c>
    </row>
  </sheetData>
  <mergeCells count="2">
    <mergeCell ref="Q1:R1"/>
    <mergeCell ref="B3:C3"/>
  </mergeCells>
  <conditionalFormatting sqref="H49">
    <cfRule type="cellIs" dxfId="153" priority="1" operator="greaterThan">
      <formula>0.15</formula>
    </cfRule>
  </conditionalFormatting>
  <conditionalFormatting sqref="H39:H49">
    <cfRule type="cellIs" dxfId="152" priority="2" operator="greaterThan">
      <formula>0.15</formula>
    </cfRule>
  </conditionalFormatting>
  <conditionalFormatting sqref="H49">
    <cfRule type="cellIs" dxfId="151" priority="3" operator="greaterThan">
      <formula>0.15</formula>
    </cfRule>
  </conditionalFormatting>
  <conditionalFormatting sqref="H39:H49">
    <cfRule type="cellIs" dxfId="150" priority="4" operator="greaterThan">
      <formula>0.15</formula>
    </cfRule>
  </conditionalFormatting>
  <conditionalFormatting sqref="H35">
    <cfRule type="cellIs" dxfId="149" priority="5" operator="greaterThan">
      <formula>0.15</formula>
    </cfRule>
  </conditionalFormatting>
  <conditionalFormatting sqref="H25:H35">
    <cfRule type="cellIs" dxfId="148" priority="6" operator="greaterThan">
      <formula>0.15</formula>
    </cfRule>
  </conditionalFormatting>
  <conditionalFormatting sqref="H35">
    <cfRule type="cellIs" dxfId="147" priority="7" operator="greaterThan">
      <formula>0.15</formula>
    </cfRule>
  </conditionalFormatting>
  <conditionalFormatting sqref="H25:H35">
    <cfRule type="cellIs" dxfId="146" priority="8" operator="greaterThan">
      <formula>0.15</formula>
    </cfRule>
  </conditionalFormatting>
  <conditionalFormatting sqref="V49">
    <cfRule type="cellIs" dxfId="145" priority="9" operator="greaterThan">
      <formula>0.15</formula>
    </cfRule>
  </conditionalFormatting>
  <conditionalFormatting sqref="V35">
    <cfRule type="cellIs" dxfId="144" priority="10" operator="greaterThan">
      <formula>0.15</formula>
    </cfRule>
  </conditionalFormatting>
  <conditionalFormatting sqref="V25:V35 V39:V49">
    <cfRule type="cellIs" dxfId="143" priority="11" operator="greaterThan">
      <formula>0.15</formula>
    </cfRule>
  </conditionalFormatting>
  <conditionalFormatting sqref="V49">
    <cfRule type="cellIs" dxfId="142" priority="12" operator="greaterThan">
      <formula>0.15</formula>
    </cfRule>
  </conditionalFormatting>
  <conditionalFormatting sqref="V35">
    <cfRule type="cellIs" dxfId="141" priority="13" operator="greaterThan">
      <formula>0.15</formula>
    </cfRule>
  </conditionalFormatting>
  <conditionalFormatting sqref="V25:V35 V39:V49">
    <cfRule type="cellIs" dxfId="14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R59"/>
  <sheetViews>
    <sheetView zoomScale="80" workbookViewId="0">
      <selection activeCell="O16" sqref="O1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4" t="s">
        <v>156</v>
      </c>
      <c r="Q1" s="304"/>
      <c r="R1" s="150">
        <v>-0.12364059050405626</v>
      </c>
      <c r="S1" s="151">
        <f>1+R1</f>
        <v>0.87635940949594371</v>
      </c>
      <c r="U1" s="156" t="s">
        <v>153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3" t="s">
        <v>145</v>
      </c>
      <c r="B2" t="s">
        <v>0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58" t="str">
        <f>IF(M1&lt;&gt;0,"SI","NO")</f>
        <v>NO</v>
      </c>
      <c r="O2" t="s">
        <v>3</v>
      </c>
      <c r="P2" s="160" t="s">
        <v>147</v>
      </c>
      <c r="R2" s="150">
        <v>7.3959748117051499E-2</v>
      </c>
      <c r="S2" s="151">
        <f>1+R2</f>
        <v>1.0739597481170515</v>
      </c>
      <c r="Y2" t="s">
        <v>3</v>
      </c>
      <c r="Z2" s="159" t="s">
        <v>147</v>
      </c>
    </row>
    <row r="3" spans="1:70" x14ac:dyDescent="0.25">
      <c r="A3" s="157" t="s">
        <v>4</v>
      </c>
      <c r="B3" s="305" t="s">
        <v>130</v>
      </c>
      <c r="C3" s="305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0" t="s">
        <v>148</v>
      </c>
      <c r="Q3" t="s">
        <v>8</v>
      </c>
      <c r="R3" s="160" t="s">
        <v>149</v>
      </c>
      <c r="Y3" t="s">
        <v>7</v>
      </c>
      <c r="Z3" s="159" t="s">
        <v>148</v>
      </c>
      <c r="AA3" t="s">
        <v>8</v>
      </c>
      <c r="AB3" s="159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3" t="s">
        <v>159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COUNTIF(J5:J18,"IMP")*0.017</f>
        <v>0</v>
      </c>
      <c r="Z5" s="144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COUNTIF(F14:F18,"IMP")*0.017</f>
        <v>0</v>
      </c>
      <c r="P6" s="16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COUNTIF(J14:J18,"IMP")*0.017</f>
        <v>0</v>
      </c>
      <c r="Z6" s="144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v>0</v>
      </c>
      <c r="P7" s="142">
        <v>0.5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151</v>
      </c>
      <c r="X7" s="15" t="s">
        <v>152</v>
      </c>
      <c r="Y7" s="69">
        <v>0</v>
      </c>
      <c r="Z7" s="144">
        <v>0.5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COUNTIF(J6:J18,"IMP")*0.01</f>
        <v>0</v>
      </c>
      <c r="Z8" s="144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COUNTIF(J6:J13,"IMP")*0.025</f>
        <v>0</v>
      </c>
      <c r="P9" s="142">
        <v>0.5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COUNTIF(F6:F13,"IMP")*0.025</f>
        <v>0</v>
      </c>
      <c r="Z9" s="144">
        <v>0.5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COUNTIF(J14:J18,"RAP")*0.085</f>
        <v>8.5000000000000006E-2</v>
      </c>
      <c r="Z10" s="144" t="str">
        <f>AB3</f>
        <v>0,72</v>
      </c>
      <c r="AA10" s="19">
        <f t="shared" si="4"/>
        <v>6.1200000000000004E-2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IF(COUNTA(F16:F18)=0,0,COUNTIF(F14:F15,"RAP")*0.085)+IF(COUNTA(F17:F18)=0,0,COUNTIF(F16,"RAP")*0.085)+IF(COUNTA(F16:F17)=0,0,COUNTIF(F18,"RAP")*0.085)+IF(COUNTA(F16,F18)=0,0,COUNTIF(F17,"RAP")*0.085)</f>
        <v>0</v>
      </c>
      <c r="P11" s="16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IF(COUNTA(J16:J18)=0,0,COUNTIF(J14:J15,"RAP")*0.085)+IF(COUNTA(J17:J18)=0,0,COUNTIF(J16,"RAP")*0.085)+IF(COUNTA(J16:J17)=0,0,COUNTIF(J18,"RAP")*0.085)+IF(COUNTA(J16,J18)=0,0,COUNTIF(J17,"RAP")*0.085)</f>
        <v>0</v>
      </c>
      <c r="Z11" s="144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42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44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11.75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>
        <v>0.125</v>
      </c>
      <c r="Z13" s="19" t="str">
        <f>Z2</f>
        <v>0,4</v>
      </c>
      <c r="AA13" s="19">
        <f t="shared" si="4"/>
        <v>0.05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9.25</v>
      </c>
      <c r="C14" s="164">
        <v>10.75</v>
      </c>
      <c r="E14" s="187" t="s">
        <v>64</v>
      </c>
      <c r="F14" s="162"/>
      <c r="G14" s="162"/>
      <c r="H14" s="10"/>
      <c r="I14" s="10"/>
      <c r="J14" s="161" t="s">
        <v>160</v>
      </c>
      <c r="K14" s="161"/>
      <c r="L14" s="10"/>
      <c r="M14" s="10"/>
      <c r="O14" s="67">
        <f>COUNTIF(F6:F18,"CAB")*0.095</f>
        <v>0</v>
      </c>
      <c r="P14" s="142">
        <v>0.95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COUNTIF(J6:J18,"CAB")*0.095</f>
        <v>0</v>
      </c>
      <c r="Z14" s="145">
        <v>0.95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42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44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>COUNTA(L6:L13)*0.03</f>
        <v>0</v>
      </c>
      <c r="P16" s="142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>
        <f>COUNTA(H6:H13)*0.03</f>
        <v>0</v>
      </c>
      <c r="Z16" s="144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(0.02*2)*IF(COUNTBLANK(F14:F15)&lt;&gt;0,(2-COUNTBLANK(F14:F15))/2,1)</f>
        <v>0</v>
      </c>
      <c r="P17" s="16" t="str">
        <f>P3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(0.02*2)*IF(COUNTBLANK(J14:J15)&lt;&gt;0,(2-COUNTBLANK(J14:J15))/2,1)</f>
        <v>0.02</v>
      </c>
      <c r="Z17" s="144" t="str">
        <f>Z3</f>
        <v>0,6</v>
      </c>
      <c r="AA17" s="19">
        <f t="shared" si="4"/>
        <v>1.2E-2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>
        <v>0</v>
      </c>
      <c r="P18" s="142">
        <v>0.5</v>
      </c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>
        <v>0</v>
      </c>
      <c r="Z18" s="144">
        <v>0.5</v>
      </c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155</v>
      </c>
      <c r="L19" s="13" t="s">
        <v>155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COUNTIF(J14:J18,"TEC")*0.06*IF(COUNTIF(F6:F13,"CAB")&lt;&gt;0,1,0)</f>
        <v>0</v>
      </c>
      <c r="Z19" s="144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 t="e">
        <f>1-T21-U21-V21</f>
        <v>#DIV/0!</v>
      </c>
      <c r="T21" s="178" t="e">
        <f>T20*V1</f>
        <v>#DIV/0!</v>
      </c>
      <c r="U21" s="178" t="e">
        <f>U20*V1</f>
        <v>#DIV/0!</v>
      </c>
      <c r="V21" s="178" t="e">
        <f>V20*V1</f>
        <v>#DIV/0!</v>
      </c>
      <c r="W21" s="21"/>
      <c r="X21" s="22"/>
      <c r="Y21" s="22"/>
      <c r="Z21" s="22"/>
      <c r="AA21" s="22"/>
      <c r="AB21" s="23"/>
      <c r="AC21" s="180" t="e">
        <f>1-AD21-AE21-AF21</f>
        <v>#DIV/0!</v>
      </c>
      <c r="AD21" s="178" t="e">
        <f>AD20*V1</f>
        <v>#DIV/0!</v>
      </c>
      <c r="AE21" s="178" t="e">
        <f>AE20*V1</f>
        <v>#DIV/0!</v>
      </c>
      <c r="AF21" s="178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0.22523141403777475</v>
      </c>
      <c r="C29" s="118">
        <f>1/(1+EXP(-3.1416*4*((C14/(C14+B13))-(3.1416/6))))</f>
        <v>0.35989489168508015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4" t="s">
        <v>156</v>
      </c>
      <c r="Q1" s="304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145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306" t="s">
        <v>161</v>
      </c>
      <c r="C3" s="306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148</v>
      </c>
      <c r="Q3" t="s">
        <v>8</v>
      </c>
      <c r="R3" s="16" t="s">
        <v>149</v>
      </c>
      <c r="Y3" t="s">
        <v>7</v>
      </c>
      <c r="Z3" s="19" t="s">
        <v>148</v>
      </c>
      <c r="AA3" t="s">
        <v>8</v>
      </c>
      <c r="AB3" s="19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159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151</v>
      </c>
      <c r="X7" s="15" t="s">
        <v>152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155</v>
      </c>
      <c r="L19" s="13" t="s">
        <v>155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27" priority="1" operator="greaterThan">
      <formula>0.15</formula>
    </cfRule>
  </conditionalFormatting>
  <conditionalFormatting sqref="H38:H48">
    <cfRule type="cellIs" dxfId="26" priority="2" operator="greaterThan">
      <formula>0.15</formula>
    </cfRule>
  </conditionalFormatting>
  <conditionalFormatting sqref="H48">
    <cfRule type="cellIs" dxfId="25" priority="3" operator="greaterThan">
      <formula>0.15</formula>
    </cfRule>
  </conditionalFormatting>
  <conditionalFormatting sqref="H38:H48">
    <cfRule type="cellIs" dxfId="24" priority="4" operator="greaterThan">
      <formula>0.15</formula>
    </cfRule>
  </conditionalFormatting>
  <conditionalFormatting sqref="H34">
    <cfRule type="cellIs" dxfId="23" priority="5" operator="greaterThan">
      <formula>0.15</formula>
    </cfRule>
  </conditionalFormatting>
  <conditionalFormatting sqref="H24:H34">
    <cfRule type="cellIs" dxfId="22" priority="6" operator="greaterThan">
      <formula>0.15</formula>
    </cfRule>
  </conditionalFormatting>
  <conditionalFormatting sqref="H34">
    <cfRule type="cellIs" dxfId="21" priority="7" operator="greaterThan">
      <formula>0.15</formula>
    </cfRule>
  </conditionalFormatting>
  <conditionalFormatting sqref="H24:H34">
    <cfRule type="cellIs" dxfId="20" priority="8" operator="greaterThan">
      <formula>0.15</formula>
    </cfRule>
  </conditionalFormatting>
  <conditionalFormatting sqref="V48">
    <cfRule type="cellIs" dxfId="19" priority="9" operator="greaterThan">
      <formula>0.15</formula>
    </cfRule>
  </conditionalFormatting>
  <conditionalFormatting sqref="V34">
    <cfRule type="cellIs" dxfId="18" priority="10" operator="greaterThan">
      <formula>0.15</formula>
    </cfRule>
  </conditionalFormatting>
  <conditionalFormatting sqref="V24:V34 V38:V48">
    <cfRule type="cellIs" dxfId="17" priority="11" operator="greaterThan">
      <formula>0.15</formula>
    </cfRule>
  </conditionalFormatting>
  <conditionalFormatting sqref="V48">
    <cfRule type="cellIs" dxfId="16" priority="12" operator="greaterThan">
      <formula>0.15</formula>
    </cfRule>
  </conditionalFormatting>
  <conditionalFormatting sqref="V34">
    <cfRule type="cellIs" dxfId="15" priority="13" operator="greaterThan">
      <formula>0.15</formula>
    </cfRule>
  </conditionalFormatting>
  <conditionalFormatting sqref="V24:V34 V38:V48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7F1-1CAE-4DA9-AB72-A92AC76E9BE6}">
  <sheetPr>
    <tabColor theme="9" tint="-0.249977111117893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2"/>
      <c r="R1" s="30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5" t="s">
        <v>189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0.61132796257796262</v>
      </c>
      <c r="U2" s="256">
        <f t="shared" si="0"/>
        <v>0.61556133056133056</v>
      </c>
      <c r="V2" s="158"/>
      <c r="W2" s="158"/>
      <c r="X2" s="290">
        <f t="shared" ref="X2:Y2" si="1">SUM(X4:X15)</f>
        <v>0.32720839397089391</v>
      </c>
      <c r="Y2" s="291">
        <f t="shared" si="1"/>
        <v>0.33820259875259878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4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3" t="s">
        <v>5</v>
      </c>
      <c r="C3" s="303"/>
      <c r="D3" s="31" t="str">
        <f>IF(B3="Sol","SI",IF(B3="Lluvia","SI","NO"))</f>
        <v>SI</v>
      </c>
      <c r="E3" s="248"/>
      <c r="F3" s="249"/>
      <c r="G3" s="279" t="s">
        <v>37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2</v>
      </c>
      <c r="F4" s="279" t="s">
        <v>162</v>
      </c>
      <c r="G4" s="279" t="s">
        <v>1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1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3.7499999999999999E-2</v>
      </c>
      <c r="U4" s="265">
        <f t="shared" ref="U4:U9" si="5">IF(S4=0,0,IF(P4=0,S4*Q4/L4,S4*Q4/(L4*2)))</f>
        <v>7.4999999999999997E-2</v>
      </c>
      <c r="V4" s="255">
        <f>$G$17</f>
        <v>0.56999999999999995</v>
      </c>
      <c r="W4" s="253">
        <f>$H$17</f>
        <v>0.56999999999999995</v>
      </c>
      <c r="X4" s="288">
        <f>V4*T4</f>
        <v>2.1374999999999998E-2</v>
      </c>
      <c r="Y4" s="289">
        <f>W4*U4</f>
        <v>4.2749999999999996E-2</v>
      </c>
      <c r="Z4" s="227"/>
      <c r="AA4" s="281">
        <f t="shared" ref="AA4:AA14" si="6">X5</f>
        <v>2.4937499999999998E-2</v>
      </c>
      <c r="AB4" s="282">
        <f t="shared" ref="AB4:AB15" si="7">(1-AA4)</f>
        <v>0.97506250000000005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4.2749999999999996E-2</v>
      </c>
      <c r="AH4" s="284">
        <f t="shared" ref="AH4:AH15" si="8">(1-AG4)</f>
        <v>0.95725000000000005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5.7610778543419908E-2</v>
      </c>
      <c r="BM4" s="31">
        <v>0</v>
      </c>
      <c r="BN4" s="31">
        <v>0</v>
      </c>
      <c r="BO4" s="107">
        <f>H25*H39</f>
        <v>2.293973436514574E-2</v>
      </c>
      <c r="BQ4" s="31">
        <v>1</v>
      </c>
      <c r="BR4" s="31">
        <v>0</v>
      </c>
      <c r="BS4" s="107">
        <f>$H$26*H39</f>
        <v>3.4233383364159931E-2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144</v>
      </c>
      <c r="G5" s="279" t="s">
        <v>2</v>
      </c>
      <c r="H5" s="279" t="s">
        <v>162</v>
      </c>
      <c r="I5" s="279" t="s">
        <v>162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1</v>
      </c>
      <c r="Q5" s="251">
        <f>COUNTIF(E10:I11,"IMP")</f>
        <v>0</v>
      </c>
      <c r="R5" s="258">
        <f t="shared" si="2"/>
        <v>0.35</v>
      </c>
      <c r="S5" s="258">
        <f t="shared" si="3"/>
        <v>0.35</v>
      </c>
      <c r="T5" s="263">
        <f t="shared" si="4"/>
        <v>4.3749999999999997E-2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2.4937499999999998E-2</v>
      </c>
      <c r="Y5" s="289">
        <f t="shared" si="11"/>
        <v>0</v>
      </c>
      <c r="Z5" s="236"/>
      <c r="AA5" s="281">
        <f t="shared" si="6"/>
        <v>7.7884615384615392E-3</v>
      </c>
      <c r="AB5" s="282">
        <f t="shared" si="7"/>
        <v>0.99221153846153842</v>
      </c>
      <c r="AC5" s="282">
        <f>AA5*PRODUCT(AB3:AB4)*PRODUCT(AB6:AB17)</f>
        <v>5.7267107733453013E-3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1.6717846991821587E-3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6.6535347672851478E-2</v>
      </c>
      <c r="BM5" s="31">
        <v>1</v>
      </c>
      <c r="BN5" s="31">
        <v>1</v>
      </c>
      <c r="BO5" s="107">
        <f>$H$26*H40</f>
        <v>8.5973614009286867E-2</v>
      </c>
      <c r="BQ5" s="31">
        <f>BQ4+1</f>
        <v>2</v>
      </c>
      <c r="BR5" s="31">
        <v>0</v>
      </c>
      <c r="BS5" s="107">
        <f>$H$27*H39</f>
        <v>2.3681325339393273E-2</v>
      </c>
    </row>
    <row r="6" spans="1:71" ht="15.75" x14ac:dyDescent="0.25">
      <c r="A6" s="2" t="s">
        <v>35</v>
      </c>
      <c r="B6" s="269">
        <v>9.75</v>
      </c>
      <c r="C6" s="270">
        <v>8.75</v>
      </c>
      <c r="E6" s="248"/>
      <c r="F6" s="279" t="s">
        <v>6</v>
      </c>
      <c r="G6" s="279" t="s">
        <v>162</v>
      </c>
      <c r="H6" s="279" t="s">
        <v>37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1</v>
      </c>
      <c r="Q6" s="251">
        <f>COUNTIF(E9:I11,"IMP")</f>
        <v>2</v>
      </c>
      <c r="R6" s="258">
        <f t="shared" si="2"/>
        <v>0.45</v>
      </c>
      <c r="S6" s="258">
        <f t="shared" si="3"/>
        <v>0.45</v>
      </c>
      <c r="T6" s="263">
        <f t="shared" si="4"/>
        <v>1.7307692307692309E-2</v>
      </c>
      <c r="U6" s="265">
        <f t="shared" si="5"/>
        <v>3.4615384615384617E-2</v>
      </c>
      <c r="V6" s="255">
        <f>$G$18</f>
        <v>0.45</v>
      </c>
      <c r="W6" s="253">
        <f>$H$18</f>
        <v>0.45</v>
      </c>
      <c r="X6" s="288">
        <f t="shared" si="11"/>
        <v>7.7884615384615392E-3</v>
      </c>
      <c r="Y6" s="289">
        <f t="shared" si="11"/>
        <v>1.5576923076923078E-2</v>
      </c>
      <c r="Z6" s="236"/>
      <c r="AA6" s="281">
        <f t="shared" si="6"/>
        <v>2.2500000000000003E-3</v>
      </c>
      <c r="AB6" s="282">
        <f t="shared" si="7"/>
        <v>0.99775000000000003</v>
      </c>
      <c r="AC6" s="282">
        <f>AA6*PRODUCT(AB3:AB5)*PRODUCT(AB7:AB17)</f>
        <v>1.6451997124126557E-3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4.765690897339923E-4</v>
      </c>
      <c r="AE6" s="220"/>
      <c r="AF6" s="234"/>
      <c r="AG6" s="283">
        <f t="shared" si="12"/>
        <v>1.5576923076923078E-2</v>
      </c>
      <c r="AH6" s="284">
        <f t="shared" si="8"/>
        <v>0.98442307692307696</v>
      </c>
      <c r="AI6" s="284">
        <f>AG6*PRODUCT(AH3:AH5)*PRODUCT(AH7:AH17)</f>
        <v>1.1120580169696515E-2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3.4220004368150491E-3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4.8192063144139111E-2</v>
      </c>
      <c r="BM6" s="31">
        <f>BI14+1</f>
        <v>2</v>
      </c>
      <c r="BN6" s="31">
        <v>2</v>
      </c>
      <c r="BO6" s="107">
        <f>$H$27*H41</f>
        <v>6.8686288591224873E-2</v>
      </c>
      <c r="BQ6" s="31">
        <f>BM5+1</f>
        <v>2</v>
      </c>
      <c r="BR6" s="31">
        <v>1</v>
      </c>
      <c r="BS6" s="107">
        <f>$H$27*H40</f>
        <v>5.947320784216921E-2</v>
      </c>
    </row>
    <row r="7" spans="1:71" ht="15.75" x14ac:dyDescent="0.25">
      <c r="A7" s="5" t="s">
        <v>40</v>
      </c>
      <c r="B7" s="269">
        <v>14.5</v>
      </c>
      <c r="C7" s="270">
        <v>14.75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2</v>
      </c>
      <c r="Q7" s="251">
        <f>COUNTIF(E4:I4,"IMP")+COUNTIF(F5:H5,"IMP")</f>
        <v>0</v>
      </c>
      <c r="R7" s="258">
        <f t="shared" si="2"/>
        <v>0.02</v>
      </c>
      <c r="S7" s="258">
        <f t="shared" si="3"/>
        <v>0.02</v>
      </c>
      <c r="T7" s="263">
        <f t="shared" si="4"/>
        <v>5.0000000000000001E-3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2.2500000000000003E-3</v>
      </c>
      <c r="Y7" s="289">
        <f t="shared" si="11"/>
        <v>0</v>
      </c>
      <c r="Z7" s="236"/>
      <c r="AA7" s="281">
        <f t="shared" si="6"/>
        <v>1.7812499999999998E-2</v>
      </c>
      <c r="AB7" s="282">
        <f t="shared" si="7"/>
        <v>0.98218749999999999</v>
      </c>
      <c r="AC7" s="282">
        <f>AA7*PRODUCT(AB3:AB6)*PRODUCT(AB8:AB17)</f>
        <v>1.3230867429477062E-2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3.5926693366208837E-3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2.5423827877629309E-2</v>
      </c>
      <c r="BM7" s="31">
        <f>BI23+1</f>
        <v>3</v>
      </c>
      <c r="BN7" s="31">
        <v>3</v>
      </c>
      <c r="BO7" s="107">
        <f>$H$28*H42</f>
        <v>2.2807161280575416E-2</v>
      </c>
      <c r="BQ7" s="31">
        <f>BQ5+1</f>
        <v>3</v>
      </c>
      <c r="BR7" s="31">
        <v>0</v>
      </c>
      <c r="BS7" s="107">
        <f>$H$28*H39</f>
        <v>1.0856356571301204E-2</v>
      </c>
    </row>
    <row r="8" spans="1:71" ht="15.75" x14ac:dyDescent="0.25">
      <c r="A8" s="5" t="s">
        <v>44</v>
      </c>
      <c r="B8" s="269">
        <v>13.5</v>
      </c>
      <c r="C8" s="270">
        <v>15.25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1</v>
      </c>
      <c r="Q8" s="251">
        <f>COUNTIF(E10:I11,"RAP")</f>
        <v>6</v>
      </c>
      <c r="R8" s="258">
        <f t="shared" si="2"/>
        <v>0.5</v>
      </c>
      <c r="S8" s="258">
        <f t="shared" si="3"/>
        <v>0.5</v>
      </c>
      <c r="T8" s="263">
        <f t="shared" si="4"/>
        <v>3.125E-2</v>
      </c>
      <c r="U8" s="265">
        <f t="shared" si="5"/>
        <v>0.1875</v>
      </c>
      <c r="V8" s="255">
        <f>$G$17</f>
        <v>0.56999999999999995</v>
      </c>
      <c r="W8" s="253">
        <f>$H$17</f>
        <v>0.56999999999999995</v>
      </c>
      <c r="X8" s="288">
        <f t="shared" si="11"/>
        <v>1.7812499999999998E-2</v>
      </c>
      <c r="Y8" s="289">
        <f t="shared" si="11"/>
        <v>0.106875</v>
      </c>
      <c r="Z8" s="236"/>
      <c r="AA8" s="281">
        <f t="shared" si="6"/>
        <v>1.7812499999999998E-2</v>
      </c>
      <c r="AB8" s="282">
        <f t="shared" si="7"/>
        <v>0.98218749999999999</v>
      </c>
      <c r="AC8" s="282">
        <f>AA8*PRODUCT(AB3:AB7)*PRODUCT(AB9:AB17)</f>
        <v>1.3230867429477062E-2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3.3527204204642841E-3</v>
      </c>
      <c r="AE8" s="220"/>
      <c r="AF8" s="234"/>
      <c r="AG8" s="283">
        <f t="shared" si="12"/>
        <v>0.106875</v>
      </c>
      <c r="AH8" s="284">
        <f t="shared" si="8"/>
        <v>0.89312499999999995</v>
      </c>
      <c r="AI8" s="284">
        <f>AG8*PRODUCT(AH3:AH7)*PRODUCT(AH9:AH17)</f>
        <v>8.4099117322514003E-2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1.5815149904806734E-2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1.0688585453963097E-2</v>
      </c>
      <c r="BM8" s="31">
        <f>BI31+1</f>
        <v>4</v>
      </c>
      <c r="BN8" s="31">
        <v>4</v>
      </c>
      <c r="BO8" s="107">
        <f>$H$29*H43</f>
        <v>4.299267881317975E-3</v>
      </c>
      <c r="BQ8" s="31">
        <f>BQ6+1</f>
        <v>3</v>
      </c>
      <c r="BR8" s="31">
        <v>1</v>
      </c>
      <c r="BS8" s="107">
        <f>$H$28*H40</f>
        <v>2.7264620603799288E-2</v>
      </c>
    </row>
    <row r="9" spans="1:71" ht="15.75" x14ac:dyDescent="0.25">
      <c r="A9" s="5" t="s">
        <v>47</v>
      </c>
      <c r="B9" s="269">
        <v>14.5</v>
      </c>
      <c r="C9" s="270">
        <v>14.75</v>
      </c>
      <c r="E9" s="280" t="s">
        <v>37</v>
      </c>
      <c r="F9" s="280" t="s">
        <v>162</v>
      </c>
      <c r="G9" s="280" t="s">
        <v>162</v>
      </c>
      <c r="H9" s="280" t="s">
        <v>162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1</v>
      </c>
      <c r="Q9" s="251">
        <f>COUNTIF(E10:I11,"RAP")</f>
        <v>6</v>
      </c>
      <c r="R9" s="258">
        <f t="shared" si="2"/>
        <v>0.5</v>
      </c>
      <c r="S9" s="258">
        <f t="shared" si="3"/>
        <v>0.5</v>
      </c>
      <c r="T9" s="263">
        <f t="shared" si="4"/>
        <v>3.125E-2</v>
      </c>
      <c r="U9" s="265">
        <f t="shared" si="5"/>
        <v>0.1875</v>
      </c>
      <c r="V9" s="255">
        <f>$G$17</f>
        <v>0.56999999999999995</v>
      </c>
      <c r="W9" s="253">
        <f>$H$17</f>
        <v>0.56999999999999995</v>
      </c>
      <c r="X9" s="288">
        <f t="shared" si="11"/>
        <v>1.7812499999999998E-2</v>
      </c>
      <c r="Y9" s="289">
        <f t="shared" si="11"/>
        <v>0.106875</v>
      </c>
      <c r="Z9" s="236"/>
      <c r="AA9" s="281">
        <f t="shared" si="6"/>
        <v>3.5574324324324315E-2</v>
      </c>
      <c r="AB9" s="282">
        <f t="shared" si="7"/>
        <v>0.96442567567567572</v>
      </c>
      <c r="AC9" s="282">
        <f>AA9*PRODUCT(AB3:AB8)*PRODUCT(AB10:AB17)</f>
        <v>2.6910746141869616E-2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5.8265766718096834E-3</v>
      </c>
      <c r="AE9" s="220"/>
      <c r="AF9" s="234"/>
      <c r="AG9" s="283">
        <f t="shared" si="12"/>
        <v>0.106875</v>
      </c>
      <c r="AH9" s="284">
        <f t="shared" si="8"/>
        <v>0.89312499999999995</v>
      </c>
      <c r="AI9" s="284">
        <f>AG9*PRODUCT(AH3:AH8)*PRODUCT(AH10:AH17)</f>
        <v>8.4099117322514003E-2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5.7515046548767884E-3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3.7087654084374706E-3</v>
      </c>
      <c r="BM9" s="31">
        <f>BI38+1</f>
        <v>5</v>
      </c>
      <c r="BN9" s="31">
        <v>5</v>
      </c>
      <c r="BO9" s="107">
        <f>$H$30*H44</f>
        <v>5.254175427747644E-4</v>
      </c>
      <c r="BQ9" s="31">
        <f>BM6+1</f>
        <v>3</v>
      </c>
      <c r="BR9" s="31">
        <v>2</v>
      </c>
      <c r="BS9" s="107">
        <f>$H$28*H41</f>
        <v>3.1488222463005935E-2</v>
      </c>
    </row>
    <row r="10" spans="1:71" ht="15.75" x14ac:dyDescent="0.25">
      <c r="A10" s="6" t="s">
        <v>50</v>
      </c>
      <c r="B10" s="269">
        <v>7.75</v>
      </c>
      <c r="C10" s="270">
        <v>13.5</v>
      </c>
      <c r="E10" s="280" t="s">
        <v>1</v>
      </c>
      <c r="F10" s="280" t="s">
        <v>1</v>
      </c>
      <c r="G10" s="280" t="s">
        <v>1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7.9054054054054038E-2</v>
      </c>
      <c r="U10" s="265">
        <f>S10*G14</f>
        <v>7.0945945945945957E-2</v>
      </c>
      <c r="V10" s="255">
        <f>$G$18</f>
        <v>0.45</v>
      </c>
      <c r="W10" s="253">
        <f>$H$18</f>
        <v>0.45</v>
      </c>
      <c r="X10" s="288">
        <f t="shared" si="11"/>
        <v>3.5574324324324315E-2</v>
      </c>
      <c r="Y10" s="289">
        <f t="shared" si="11"/>
        <v>3.1925675675675683E-2</v>
      </c>
      <c r="Z10" s="236"/>
      <c r="AA10" s="281">
        <f t="shared" si="6"/>
        <v>6.0608108108108107E-2</v>
      </c>
      <c r="AB10" s="282">
        <f t="shared" si="7"/>
        <v>0.93939189189189187</v>
      </c>
      <c r="AC10" s="282">
        <f>AA10*PRODUCT(AB3:AB9)*PRODUCT(AB11:AB17)</f>
        <v>4.7069736114973587E-2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7.1544313611635376E-3</v>
      </c>
      <c r="AE10" s="220"/>
      <c r="AF10" s="234"/>
      <c r="AG10" s="283">
        <f t="shared" si="12"/>
        <v>3.1925675675675683E-2</v>
      </c>
      <c r="AH10" s="284">
        <f t="shared" si="8"/>
        <v>0.96807432432432428</v>
      </c>
      <c r="AI10" s="284">
        <f>AG10*PRODUCT(AH3:AH9)*PRODUCT(AH11:AH17)</f>
        <v>2.317709237600973E-2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8.207253668042376E-4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1.0471780121476914E-3</v>
      </c>
      <c r="BM10" s="31">
        <f>BI44+1</f>
        <v>6</v>
      </c>
      <c r="BN10" s="31">
        <v>6</v>
      </c>
      <c r="BO10" s="107">
        <f>$H$31*H45</f>
        <v>4.1935762450378099E-5</v>
      </c>
      <c r="BQ10" s="31">
        <f>BQ7+1</f>
        <v>4</v>
      </c>
      <c r="BR10" s="31">
        <v>0</v>
      </c>
      <c r="BS10" s="107">
        <f>$H$29*H39</f>
        <v>3.8791980356670682E-3</v>
      </c>
    </row>
    <row r="11" spans="1:71" ht="15.75" x14ac:dyDescent="0.25">
      <c r="A11" s="6" t="s">
        <v>53</v>
      </c>
      <c r="B11" s="269">
        <v>8.25</v>
      </c>
      <c r="C11" s="270">
        <v>12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0</v>
      </c>
      <c r="R11" s="258">
        <f t="shared" si="2"/>
        <v>0.23</v>
      </c>
      <c r="S11" s="258">
        <f t="shared" si="3"/>
        <v>0.23</v>
      </c>
      <c r="T11" s="263">
        <f>IF(P11&gt;0,S11*G13,0)</f>
        <v>0.12121621621621621</v>
      </c>
      <c r="U11" s="265">
        <f>IF(Q11&gt;0,S11*G14,0)</f>
        <v>0</v>
      </c>
      <c r="V11" s="255">
        <f>IF(P11-Q11&gt;2,0.9,IF(P11-Q11&gt;1,0.75,IF(P11-Q11&gt;0,0.5,0.15)))</f>
        <v>0.5</v>
      </c>
      <c r="W11" s="253">
        <f>IF(Q11-P11&gt;2,0.9,IF(Q11-P11&gt;1,0.75,IF(Q11-P11&gt;0,0.5,0.15)))</f>
        <v>0.15</v>
      </c>
      <c r="X11" s="288">
        <f t="shared" si="11"/>
        <v>6.0608108108108107E-2</v>
      </c>
      <c r="Y11" s="289">
        <f t="shared" si="11"/>
        <v>0</v>
      </c>
      <c r="Z11" s="236"/>
      <c r="AA11" s="281">
        <f t="shared" si="6"/>
        <v>2.2500000000000003E-3</v>
      </c>
      <c r="AB11" s="282">
        <f t="shared" si="7"/>
        <v>0.99775000000000003</v>
      </c>
      <c r="AC11" s="282">
        <f>AA11*PRODUCT(AB3:AB10)*PRODUCT(AB12:AB17)</f>
        <v>1.6451997124126555E-3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2.4635441886105571E-4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2.3168570562260896E-4</v>
      </c>
      <c r="BM11" s="31">
        <f>BI50+1</f>
        <v>7</v>
      </c>
      <c r="BN11" s="31">
        <v>7</v>
      </c>
      <c r="BO11" s="107">
        <f>$H$32*H46</f>
        <v>2.0742746149039483E-6</v>
      </c>
      <c r="BQ11" s="31">
        <f>BQ8+1</f>
        <v>4</v>
      </c>
      <c r="BR11" s="31">
        <v>1</v>
      </c>
      <c r="BS11" s="107">
        <f>$H$29*H40</f>
        <v>9.7422060518033895E-3</v>
      </c>
    </row>
    <row r="12" spans="1:71" ht="15.75" x14ac:dyDescent="0.25">
      <c r="A12" s="6" t="s">
        <v>57</v>
      </c>
      <c r="B12" s="269">
        <v>9.75</v>
      </c>
      <c r="C12" s="270">
        <v>13.5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0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5.0000000000000001E-3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2.2500000000000003E-3</v>
      </c>
      <c r="Y12" s="289">
        <f t="shared" si="11"/>
        <v>0</v>
      </c>
      <c r="Z12" s="236"/>
      <c r="AA12" s="281">
        <f t="shared" si="6"/>
        <v>0.10259999999999998</v>
      </c>
      <c r="AB12" s="282">
        <f t="shared" si="7"/>
        <v>0.89739999999999998</v>
      </c>
      <c r="AC12" s="282">
        <f>AA12*PRODUCT(AB3:AB11)*PRODUCT(AB13:AB17)</f>
        <v>8.3410195448544167E-2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2.9536432846761339E-3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3.8546491109865902E-5</v>
      </c>
      <c r="BM12" s="31">
        <f>BI54+1</f>
        <v>8</v>
      </c>
      <c r="BN12" s="31">
        <v>8</v>
      </c>
      <c r="BO12" s="107">
        <f>$H$33*H47</f>
        <v>5.9566231729080522E-8</v>
      </c>
      <c r="BQ12" s="31">
        <f>BQ9+1</f>
        <v>4</v>
      </c>
      <c r="BR12" s="31">
        <v>2</v>
      </c>
      <c r="BS12" s="107">
        <f>$H$29*H41</f>
        <v>1.1251385298824978E-2</v>
      </c>
    </row>
    <row r="13" spans="1:71" ht="15.75" x14ac:dyDescent="0.25">
      <c r="A13" s="7" t="s">
        <v>60</v>
      </c>
      <c r="B13" s="269">
        <v>7</v>
      </c>
      <c r="C13" s="270">
        <v>12.5</v>
      </c>
      <c r="E13" s="247"/>
      <c r="F13" s="247" t="s">
        <v>163</v>
      </c>
      <c r="G13" s="254">
        <f>B22</f>
        <v>0.52702702702702697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1</v>
      </c>
      <c r="Q13" s="251">
        <f>COUNTIF(E10:I11,"CAB")</f>
        <v>0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0.18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0.10259999999999998</v>
      </c>
      <c r="Y13" s="289">
        <f t="shared" si="11"/>
        <v>0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2.5834302959730635E-2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4.6188908716958651E-6</v>
      </c>
      <c r="BM13" s="31">
        <f>BI57+1</f>
        <v>9</v>
      </c>
      <c r="BN13" s="31">
        <v>9</v>
      </c>
      <c r="BO13" s="107">
        <f>$H$34*H48</f>
        <v>9.3145891154441994E-10</v>
      </c>
      <c r="BQ13" s="31">
        <f>BM7+1</f>
        <v>4</v>
      </c>
      <c r="BR13" s="31">
        <v>3</v>
      </c>
      <c r="BS13" s="107">
        <f>$H$29*H42</f>
        <v>8.1494647543753317E-3</v>
      </c>
    </row>
    <row r="14" spans="1:71" ht="15.75" x14ac:dyDescent="0.25">
      <c r="A14" s="7" t="s">
        <v>63</v>
      </c>
      <c r="B14" s="269">
        <v>6</v>
      </c>
      <c r="C14" s="270">
        <v>11.5</v>
      </c>
      <c r="E14" s="247"/>
      <c r="F14" s="247" t="s">
        <v>164</v>
      </c>
      <c r="G14" s="252">
        <f>C22</f>
        <v>0.47297297297297303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2.4886651201878753E-2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9.9291911052515808E-2</v>
      </c>
      <c r="BM14" s="31">
        <f>BQ39+1</f>
        <v>10</v>
      </c>
      <c r="BN14" s="31">
        <v>10</v>
      </c>
      <c r="BO14" s="107">
        <f>$H$35*H49</f>
        <v>7.3709758299279929E-12</v>
      </c>
      <c r="BQ14" s="31">
        <f>BQ10+1</f>
        <v>5</v>
      </c>
      <c r="BR14" s="31">
        <v>0</v>
      </c>
      <c r="BS14" s="107">
        <f>$H$30*H39</f>
        <v>1.1276458343299042E-3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1</v>
      </c>
      <c r="Q15" s="251">
        <f>COUNTIF(E10:I11,"TEC")</f>
        <v>0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7.1917893488329221E-2</v>
      </c>
      <c r="BQ15" s="31">
        <f>BQ11+1</f>
        <v>5</v>
      </c>
      <c r="BR15" s="31">
        <v>1</v>
      </c>
      <c r="BS15" s="107">
        <f>$H$30*H40</f>
        <v>2.831966290581646E-3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3.7940441352350036E-2</v>
      </c>
      <c r="BQ16" s="31">
        <f>BQ12+1</f>
        <v>5</v>
      </c>
      <c r="BR16" s="31">
        <v>2</v>
      </c>
      <c r="BS16" s="107">
        <f>$H$30*H41</f>
        <v>3.2706702895818904E-3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1.5950770730024426E-2</v>
      </c>
      <c r="BQ17" s="31">
        <f>BQ13+1</f>
        <v>5</v>
      </c>
      <c r="BR17" s="31">
        <v>3</v>
      </c>
      <c r="BS17" s="107">
        <f>$H$30*H42</f>
        <v>2.3689716012937332E-3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0.72955467247098982</v>
      </c>
      <c r="AC18" s="176">
        <f>SUM(AC3:AC17)</f>
        <v>0.21870382572224276</v>
      </c>
      <c r="AD18" s="176">
        <f>SUM(AD3:AD17)</f>
        <v>2.5274749282511728E-2</v>
      </c>
      <c r="AE18" s="176">
        <f>1-AB18-AC18-AD18</f>
        <v>2.6466752524255698E-2</v>
      </c>
      <c r="AF18" s="234"/>
      <c r="AG18" s="158"/>
      <c r="AH18" s="179">
        <f>PRODUCT(AH3:AH17)</f>
        <v>0.70279320850217852</v>
      </c>
      <c r="AI18" s="176">
        <f>SUM(AI3:AI17)</f>
        <v>0.22738255839261298</v>
      </c>
      <c r="AJ18" s="176">
        <f>SUM(AJ3:AJ17)</f>
        <v>2.5809380363302808E-2</v>
      </c>
      <c r="AK18" s="176">
        <f>1-AH18-AI18-AJ18</f>
        <v>4.4014852741905683E-2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5.5346581618521936E-3</v>
      </c>
      <c r="BQ18" s="31">
        <f>BM8+1</f>
        <v>5</v>
      </c>
      <c r="BR18" s="31">
        <v>4</v>
      </c>
      <c r="BS18" s="107">
        <f>$H$30*H43</f>
        <v>1.2497561280608597E-3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1.5627228183966418E-3</v>
      </c>
      <c r="BQ19" s="31">
        <f>BQ15+1</f>
        <v>6</v>
      </c>
      <c r="BR19" s="31">
        <v>1</v>
      </c>
      <c r="BS19" s="107">
        <f>$H$31*H40</f>
        <v>6.5141675396397061E-4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3.457487978860599E-4</v>
      </c>
      <c r="BQ20" s="31">
        <f>BQ16+1</f>
        <v>6</v>
      </c>
      <c r="BR20" s="31">
        <v>2</v>
      </c>
      <c r="BS20" s="107">
        <f>$H$31*H41</f>
        <v>7.5232866662697663E-4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5.7523630679532441E-5</v>
      </c>
      <c r="BQ21" s="31">
        <f>BQ17+1</f>
        <v>6</v>
      </c>
      <c r="BR21" s="31">
        <v>3</v>
      </c>
      <c r="BS21" s="107">
        <f>$H$31*H42</f>
        <v>5.4491742923629366E-4</v>
      </c>
    </row>
    <row r="22" spans="1:71" x14ac:dyDescent="0.25">
      <c r="A22" s="26" t="s">
        <v>87</v>
      </c>
      <c r="B22" s="206">
        <f>(B6)/((B6)+(C6))</f>
        <v>0.52702702702702697</v>
      </c>
      <c r="C22" s="207">
        <f>1-B22</f>
        <v>0.47297297297297303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6.8928549655844651E-6</v>
      </c>
      <c r="BQ22" s="31">
        <f>BQ18+1</f>
        <v>6</v>
      </c>
      <c r="BR22" s="31">
        <v>4</v>
      </c>
      <c r="BS22" s="107">
        <f>$H$31*H43</f>
        <v>2.874723766647584E-4</v>
      </c>
    </row>
    <row r="23" spans="1:71" ht="15.75" thickBot="1" x14ac:dyDescent="0.3">
      <c r="A23" s="40" t="s">
        <v>88</v>
      </c>
      <c r="B23" s="56">
        <f>((B22^2.8)/((B22^2.8)+(C22^2.8)))*B21</f>
        <v>2.8758762389624968</v>
      </c>
      <c r="C23" s="57">
        <f>B21-B23</f>
        <v>2.1241237610375032</v>
      </c>
      <c r="D23" s="149">
        <f>SUM(D25:D30)</f>
        <v>1</v>
      </c>
      <c r="E23" s="149">
        <f>SUM(E25:E30)</f>
        <v>1</v>
      </c>
      <c r="H23" s="266">
        <f>SUM(H25:H35)</f>
        <v>0.99999998294080539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</v>
      </c>
      <c r="V23" s="208">
        <f>SUM(V25:V34)</f>
        <v>0.99574280971258788</v>
      </c>
      <c r="Y23" s="205">
        <f>SUM(Y25:Y35)</f>
        <v>1.8955894771421124E-4</v>
      </c>
      <c r="Z23" s="81"/>
      <c r="AA23" s="205">
        <f>SUM(AA25:AA35)</f>
        <v>2.5683660888130076E-3</v>
      </c>
      <c r="AB23" s="81"/>
      <c r="AC23" s="205">
        <f>SUM(AC25:AC35)</f>
        <v>1.5662226526498495E-2</v>
      </c>
      <c r="AD23" s="81"/>
      <c r="AE23" s="205">
        <f>SUM(AE25:AE35)</f>
        <v>5.6611467382075523E-2</v>
      </c>
      <c r="AF23" s="81"/>
      <c r="AG23" s="205">
        <f>SUM(AG25:AG35)</f>
        <v>0.13432741261899853</v>
      </c>
      <c r="AH23" s="81"/>
      <c r="AI23" s="205">
        <f>SUM(AI25:AI35)</f>
        <v>0.21866424789164601</v>
      </c>
      <c r="AJ23" s="81"/>
      <c r="AK23" s="205">
        <f>SUM(AK25:AK35)</f>
        <v>0.24737922395714823</v>
      </c>
      <c r="AL23" s="81"/>
      <c r="AM23" s="205">
        <f>SUM(AM25:AM35)</f>
        <v>0.19216572209828292</v>
      </c>
      <c r="AN23" s="81"/>
      <c r="AO23" s="205">
        <f>SUM(AO25:AO35)</f>
        <v>9.8224552121266989E-2</v>
      </c>
      <c r="AP23" s="81"/>
      <c r="AQ23" s="205">
        <f>SUM(AQ25:AQ35)</f>
        <v>2.9950032080143844E-2</v>
      </c>
      <c r="AR23" s="81"/>
      <c r="AS23" s="205">
        <f>SUM(AS25:AS35)</f>
        <v>4.257190287412115E-3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4.975000616515167E-2</v>
      </c>
      <c r="BQ23" s="31">
        <f>BM9+1</f>
        <v>6</v>
      </c>
      <c r="BR23" s="31">
        <v>5</v>
      </c>
      <c r="BS23" s="107">
        <f>$H$31*H44</f>
        <v>1.2085800291067947E-4</v>
      </c>
    </row>
    <row r="24" spans="1:71" ht="15.75" thickBot="1" x14ac:dyDescent="0.3">
      <c r="A24" s="26" t="s">
        <v>89</v>
      </c>
      <c r="B24" s="64">
        <f>B23/B21</f>
        <v>0.5751752477924994</v>
      </c>
      <c r="C24" s="65">
        <f>C23/B21</f>
        <v>0.42482475220750066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2.6245724111681579E-2</v>
      </c>
      <c r="BQ24" s="31">
        <f>BI49+1</f>
        <v>7</v>
      </c>
      <c r="BR24" s="31">
        <v>0</v>
      </c>
      <c r="BS24" s="107">
        <f t="shared" ref="BS24:BS30" si="16">$H$32*H39</f>
        <v>4.5439560527699949E-5</v>
      </c>
    </row>
    <row r="25" spans="1:71" x14ac:dyDescent="0.25">
      <c r="A25" s="26" t="s">
        <v>114</v>
      </c>
      <c r="B25" s="209">
        <f>1/(1+EXP(-3.1416*4*((B11/(B11+C8))-(3.1416/6))))</f>
        <v>0.10264652763673558</v>
      </c>
      <c r="C25" s="207">
        <f>1/(1+EXP(-3.1416*4*((C11/(C11+B8))-(3.1416/6))))</f>
        <v>0.33935563523733447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0.23642152728184598</v>
      </c>
      <c r="I25" s="97">
        <v>0</v>
      </c>
      <c r="J25" s="98">
        <f t="shared" ref="J25:J35" si="17">Y25+AA25+AC25+AE25+AG25+AI25+AK25+AM25+AO25+AQ25+AS25</f>
        <v>0.32406279639206492</v>
      </c>
      <c r="K25" s="97">
        <v>0</v>
      </c>
      <c r="L25" s="98">
        <f>AB18</f>
        <v>0.72955467247098982</v>
      </c>
      <c r="M25" s="85">
        <v>0</v>
      </c>
      <c r="N25" s="210">
        <f>(1-$B$24)^$B$21</f>
        <v>1.3837226943569748E-2</v>
      </c>
      <c r="O25" s="72">
        <v>0</v>
      </c>
      <c r="P25" s="210">
        <f t="shared" ref="P25:P30" si="18">N25</f>
        <v>1.3837226943569748E-2</v>
      </c>
      <c r="Q25" s="28">
        <v>0</v>
      </c>
      <c r="R25" s="211">
        <f>P25*N25</f>
        <v>1.9146884948785257E-4</v>
      </c>
      <c r="S25" s="72">
        <v>0</v>
      </c>
      <c r="T25" s="212">
        <f>(1-$B$33)^(INT(C23*2*(1-C31)))</f>
        <v>0.99002500000000004</v>
      </c>
      <c r="U25" s="138">
        <v>0</v>
      </c>
      <c r="V25" s="86">
        <f>R25*T25</f>
        <v>1.8955894771421124E-4</v>
      </c>
      <c r="W25" s="134">
        <f>B31</f>
        <v>0.18498708331416641</v>
      </c>
      <c r="X25" s="28">
        <v>0</v>
      </c>
      <c r="Y25" s="213">
        <f>V25</f>
        <v>1.8955894771421124E-4</v>
      </c>
      <c r="Z25" s="28">
        <v>0</v>
      </c>
      <c r="AA25" s="213">
        <f>((1-W25)^Z26)*V26</f>
        <v>2.0932515371604758E-3</v>
      </c>
      <c r="AB25" s="28">
        <v>0</v>
      </c>
      <c r="AC25" s="213">
        <f>(((1-$W$25)^AB27))*V27</f>
        <v>1.0403572172793541E-2</v>
      </c>
      <c r="AD25" s="28">
        <v>0</v>
      </c>
      <c r="AE25" s="213">
        <f>(((1-$W$25)^AB28))*V28</f>
        <v>3.0647699948207732E-2</v>
      </c>
      <c r="AF25" s="28">
        <v>0</v>
      </c>
      <c r="AG25" s="213">
        <f>(((1-$W$25)^AB29))*V29</f>
        <v>5.9268319898344572E-2</v>
      </c>
      <c r="AH25" s="28">
        <v>0</v>
      </c>
      <c r="AI25" s="213">
        <f>(((1-$W$25)^AB30))*V30</f>
        <v>7.8632166040795703E-2</v>
      </c>
      <c r="AJ25" s="28">
        <v>0</v>
      </c>
      <c r="AK25" s="213">
        <f>(((1-$W$25)^AB31))*V31</f>
        <v>7.2502031043311807E-2</v>
      </c>
      <c r="AL25" s="28">
        <v>0</v>
      </c>
      <c r="AM25" s="213">
        <f>(((1-$W$25)^AB32))*V32</f>
        <v>4.5901551372506295E-2</v>
      </c>
      <c r="AN25" s="28">
        <v>0</v>
      </c>
      <c r="AO25" s="213">
        <f>(((1-$W$25)^AB33))*V33</f>
        <v>1.9122117862018076E-2</v>
      </c>
      <c r="AP25" s="28">
        <v>0</v>
      </c>
      <c r="AQ25" s="213">
        <f>(((1-$W$25)^AB34))*V34</f>
        <v>4.7520140615241587E-3</v>
      </c>
      <c r="AR25" s="28">
        <v>0</v>
      </c>
      <c r="AS25" s="213">
        <f>(((1-$W$25)^AB35))*V35</f>
        <v>5.5051350768837927E-4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1.1034123827422904E-2</v>
      </c>
      <c r="BQ25" s="31">
        <f>BQ19+1</f>
        <v>7</v>
      </c>
      <c r="BR25" s="31">
        <v>1</v>
      </c>
      <c r="BS25" s="107">
        <f t="shared" si="16"/>
        <v>1.1411677297576306E-4</v>
      </c>
    </row>
    <row r="26" spans="1:71" x14ac:dyDescent="0.25">
      <c r="A26" s="40" t="s">
        <v>115</v>
      </c>
      <c r="B26" s="206">
        <f>1/(1+EXP(-3.1416*4*((B10/(B10+C9))-(3.1416/6))))</f>
        <v>9.5233909743018694E-2</v>
      </c>
      <c r="C26" s="207">
        <f>1/(1+EXP(-3.1416*4*((C10/(C10+B9))-(3.1416/6))))</f>
        <v>0.37262613520965243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0.35281615079539785</v>
      </c>
      <c r="I26" s="138">
        <v>1</v>
      </c>
      <c r="J26" s="86">
        <f t="shared" si="17"/>
        <v>0.38645818893225758</v>
      </c>
      <c r="K26" s="138">
        <v>1</v>
      </c>
      <c r="L26" s="86">
        <f>AC18</f>
        <v>0.21870382572224276</v>
      </c>
      <c r="M26" s="85">
        <v>1</v>
      </c>
      <c r="N26" s="210">
        <f>(($B$24)^M26)*((1-($B$24))^($B$21-M26))*HLOOKUP($B$21,$AV$24:$BF$34,M26+1)</f>
        <v>9.3671924654491215E-2</v>
      </c>
      <c r="O26" s="72">
        <v>1</v>
      </c>
      <c r="P26" s="210">
        <f t="shared" si="18"/>
        <v>9.3671924654491215E-2</v>
      </c>
      <c r="Q26" s="28">
        <v>1</v>
      </c>
      <c r="R26" s="211">
        <f>N26*P25+P26*N25</f>
        <v>2.5923193593703222E-3</v>
      </c>
      <c r="S26" s="72">
        <v>1</v>
      </c>
      <c r="T26" s="212">
        <f t="shared" ref="T26:T35" si="19">(($B$33)^S26)*((1-($B$33))^(INT($C$23*2*(1-$C$31))-S26))*HLOOKUP(INT($C$23*2*(1-$C$31)),$AV$24:$BF$34,S26+1)</f>
        <v>9.9500000000000005E-3</v>
      </c>
      <c r="U26" s="138">
        <v>1</v>
      </c>
      <c r="V26" s="86">
        <f>R26*T25+T26*R25</f>
        <v>2.5683660888130076E-3</v>
      </c>
      <c r="W26" s="214"/>
      <c r="X26" s="28">
        <v>1</v>
      </c>
      <c r="Y26" s="211"/>
      <c r="Z26" s="28">
        <v>1</v>
      </c>
      <c r="AA26" s="213">
        <f>(1-((1-W25)^Z26))*V26</f>
        <v>4.7511455165253171E-4</v>
      </c>
      <c r="AB26" s="28">
        <v>1</v>
      </c>
      <c r="AC26" s="213">
        <f>((($W$25)^M26)*((1-($W$25))^($U$27-M26))*HLOOKUP($U$27,$AV$24:$BF$34,M26+1))*V27</f>
        <v>4.722689500724458E-3</v>
      </c>
      <c r="AD26" s="28">
        <v>1</v>
      </c>
      <c r="AE26" s="213">
        <f>((($W$25)^M26)*((1-($W$25))^($U$28-M26))*HLOOKUP($U$28,$AV$24:$BF$34,M26+1))*V28</f>
        <v>2.0868731676403955E-2</v>
      </c>
      <c r="AF26" s="28">
        <v>1</v>
      </c>
      <c r="AG26" s="213">
        <f>((($W$25)^M26)*((1-($W$25))^($U$29-M26))*HLOOKUP($U$29,$AV$24:$BF$34,M26+1))*V29</f>
        <v>5.3809569917047211E-2</v>
      </c>
      <c r="AH26" s="28">
        <v>1</v>
      </c>
      <c r="AI26" s="213">
        <f>((($W$25)^M26)*((1-($W$25))^($U$30-M26))*HLOOKUP($U$30,$AV$24:$BF$34,M26+1))*V30</f>
        <v>8.9237451043792021E-2</v>
      </c>
      <c r="AJ26" s="28">
        <v>1</v>
      </c>
      <c r="AK26" s="213">
        <f>((($W$25)^M26)*((1-($W$25))^($U$31-M26))*HLOOKUP($U$31,$AV$24:$BF$34,M26+1))*V31</f>
        <v>9.8736638272632613E-2</v>
      </c>
      <c r="AL26" s="28">
        <v>1</v>
      </c>
      <c r="AM26" s="213">
        <f>((($W$25)^Q26)*((1-($W$25))^($U$32-Q26))*HLOOKUP($U$32,$AV$24:$BF$34,Q26+1))*V32</f>
        <v>7.2929345706160303E-2</v>
      </c>
      <c r="AN26" s="28">
        <v>1</v>
      </c>
      <c r="AO26" s="213">
        <f>((($W$25)^Q26)*((1-($W$25))^($U$33-Q26))*HLOOKUP($U$33,$AV$24:$BF$34,Q26+1))*V33</f>
        <v>3.4721852747744884E-2</v>
      </c>
      <c r="AP26" s="28">
        <v>1</v>
      </c>
      <c r="AQ26" s="213">
        <f>((($W$25)^Q26)*((1-($W$25))^($U$34-Q26))*HLOOKUP($U$34,$AV$24:$BF$34,Q26+1))*V34</f>
        <v>9.7072706800216749E-3</v>
      </c>
      <c r="AR26" s="28">
        <v>1</v>
      </c>
      <c r="AS26" s="213">
        <f>((($W$25)^Q26)*((1-($W$25))^($U$35-Q26))*HLOOKUP($U$35,$AV$24:$BF$34,Q26+1))*V35</f>
        <v>1.2495248360779056E-3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3.8286616072651949E-3</v>
      </c>
      <c r="BQ26" s="31">
        <f>BQ20+1</f>
        <v>7</v>
      </c>
      <c r="BR26" s="31">
        <v>2</v>
      </c>
      <c r="BS26" s="107">
        <f t="shared" si="16"/>
        <v>1.3179476752815864E-4</v>
      </c>
    </row>
    <row r="27" spans="1:71" x14ac:dyDescent="0.25">
      <c r="A27" s="26" t="s">
        <v>116</v>
      </c>
      <c r="B27" s="206">
        <f>1/(1+EXP(-3.1416*4*((B12/(B12+C7))-(3.1416/6))))</f>
        <v>0.17095802136127952</v>
      </c>
      <c r="C27" s="207">
        <f>1/(1+EXP(-3.1416*4*((C12/(C12+B7))-(3.1416/6))))</f>
        <v>0.37262613520965243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0.24406451337572266</v>
      </c>
      <c r="I27" s="138">
        <v>2</v>
      </c>
      <c r="J27" s="86">
        <f t="shared" si="17"/>
        <v>0.20746083707656335</v>
      </c>
      <c r="K27" s="138">
        <v>2</v>
      </c>
      <c r="L27" s="86">
        <f>AD18</f>
        <v>2.5274749282511728E-2</v>
      </c>
      <c r="M27" s="85">
        <v>2</v>
      </c>
      <c r="N27" s="210">
        <f>(($B$24)^M27)*((1-($B$24))^($B$21-M27))*HLOOKUP($B$21,$AV$24:$BF$34,M27+1)</f>
        <v>0.25364704949221678</v>
      </c>
      <c r="O27" s="72">
        <v>2</v>
      </c>
      <c r="P27" s="210">
        <f t="shared" si="18"/>
        <v>0.25364704949221678</v>
      </c>
      <c r="Q27" s="28">
        <v>2</v>
      </c>
      <c r="R27" s="211">
        <f>P25*N27+P26*N26+P27*N25</f>
        <v>1.5793973043258022E-2</v>
      </c>
      <c r="S27" s="72">
        <v>2</v>
      </c>
      <c r="T27" s="212">
        <f t="shared" si="19"/>
        <v>2.5000000000000001E-5</v>
      </c>
      <c r="U27" s="138">
        <v>2</v>
      </c>
      <c r="V27" s="86">
        <f>R27*T25+T26*R26+R25*T27</f>
        <v>1.5662226526498495E-2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5.3596485298049504E-4</v>
      </c>
      <c r="AD27" s="28">
        <v>2</v>
      </c>
      <c r="AE27" s="213">
        <f>((($W$25)^M27)*((1-($W$25))^($U$28-M27))*HLOOKUP($U$28,$AV$24:$BF$34,M27+1))*V28</f>
        <v>4.7366682493598126E-3</v>
      </c>
      <c r="AF27" s="28">
        <v>2</v>
      </c>
      <c r="AG27" s="213">
        <f>((($W$25)^M27)*((1-($W$25))^($U$29-M27))*HLOOKUP($U$29,$AV$24:$BF$34,M27+1))*V29</f>
        <v>1.8320093809963474E-2</v>
      </c>
      <c r="AH27" s="28">
        <v>2</v>
      </c>
      <c r="AI27" s="213">
        <f>((($W$25)^M27)*((1-($W$25))^($U$30-M27))*HLOOKUP($U$30,$AV$24:$BF$34,M27+1))*V30</f>
        <v>4.0509237223157094E-2</v>
      </c>
      <c r="AJ27" s="28">
        <v>2</v>
      </c>
      <c r="AK27" s="213">
        <f>((($W$25)^M27)*((1-($W$25))^($U$31-M27))*HLOOKUP($U$31,$AV$24:$BF$34,M27+1))*V31</f>
        <v>5.6026727786637302E-2</v>
      </c>
      <c r="AL27" s="28">
        <v>2</v>
      </c>
      <c r="AM27" s="213">
        <f>((($W$25)^Q27)*((1-($W$25))^($U$32-Q27))*HLOOKUP($U$32,$AV$24:$BF$34,Q27+1))*V32</f>
        <v>4.9659287628420062E-2</v>
      </c>
      <c r="AN27" s="28">
        <v>2</v>
      </c>
      <c r="AO27" s="213">
        <f>((($W$25)^Q27)*((1-($W$25))^($U$33-Q27))*HLOOKUP($U$33,$AV$24:$BF$34,Q27+1))*V33</f>
        <v>2.7583403249801904E-2</v>
      </c>
      <c r="AP27" s="28">
        <v>2</v>
      </c>
      <c r="AQ27" s="213">
        <f>((($W$25)^Q27)*((1-($W$25))^($U$34-Q27))*HLOOKUP($U$34,$AV$24:$BF$34,Q27+1))*V34</f>
        <v>8.8132084941202858E-3</v>
      </c>
      <c r="AR27" s="28">
        <v>2</v>
      </c>
      <c r="AS27" s="213">
        <f>((($W$25)^Q27)*((1-($W$25))^($U$35-Q27))*HLOOKUP($U$35,$AV$24:$BF$34,Q27+1))*V35</f>
        <v>1.2762457821229112E-3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1.0810309657119281E-3</v>
      </c>
      <c r="BQ27" s="31">
        <f>BQ21+1</f>
        <v>7</v>
      </c>
      <c r="BR27" s="31">
        <v>3</v>
      </c>
      <c r="BS27" s="107">
        <f t="shared" si="16"/>
        <v>9.5459961974103479E-5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0.11188779959035192</v>
      </c>
      <c r="I28" s="138">
        <v>3</v>
      </c>
      <c r="J28" s="86">
        <f t="shared" si="17"/>
        <v>6.6027672748844843E-2</v>
      </c>
      <c r="K28" s="138">
        <v>3</v>
      </c>
      <c r="L28" s="86">
        <f>AE18</f>
        <v>2.6466752524255698E-2</v>
      </c>
      <c r="M28" s="85">
        <v>3</v>
      </c>
      <c r="N28" s="210">
        <f>(($B$24)^M28)*((1-($B$24))^($B$21-M28))*HLOOKUP($B$21,$AV$24:$BF$34,M28+1)</f>
        <v>0.3434157350423479</v>
      </c>
      <c r="O28" s="72">
        <v>3</v>
      </c>
      <c r="P28" s="210">
        <f t="shared" si="18"/>
        <v>0.3434157350423479</v>
      </c>
      <c r="Q28" s="28">
        <v>3</v>
      </c>
      <c r="R28" s="211">
        <f>P25*N28+P26*N27+P27*N26+P28*N25</f>
        <v>5.7023057541285442E-2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5.661146738207553E-2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3.5836750810402663E-4</v>
      </c>
      <c r="AF28" s="28">
        <v>3</v>
      </c>
      <c r="AG28" s="213">
        <f>((($W$25)^M28)*((1-($W$25))^($U$29-M28))*HLOOKUP($U$29,$AV$24:$BF$34,M28+1))*V29</f>
        <v>2.7721284334388217E-3</v>
      </c>
      <c r="AH28" s="28">
        <v>3</v>
      </c>
      <c r="AI28" s="213">
        <f>((($W$25)^M28)*((1-($W$25))^($U$30-M28))*HLOOKUP($U$30,$AV$24:$BF$34,M28+1))*V30</f>
        <v>9.194560586433153E-3</v>
      </c>
      <c r="AJ28" s="28">
        <v>3</v>
      </c>
      <c r="AK28" s="213">
        <f>((($W$25)^M28)*((1-($W$25))^($U$31-M28))*HLOOKUP($U$31,$AV$24:$BF$34,M28+1))*V31</f>
        <v>1.6955511990381433E-2</v>
      </c>
      <c r="AL28" s="28">
        <v>3</v>
      </c>
      <c r="AM28" s="213">
        <f>((($W$25)^Q28)*((1-($W$25))^($U$32-Q28))*HLOOKUP($U$32,$AV$24:$BF$34,Q28+1))*V32</f>
        <v>1.8785646602992812E-2</v>
      </c>
      <c r="AN28" s="28">
        <v>3</v>
      </c>
      <c r="AO28" s="213">
        <f>((($W$25)^Q28)*((1-($W$25))^($U$33-Q28))*HLOOKUP($U$33,$AV$24:$BF$34,Q28+1))*V33</f>
        <v>1.2521453858200051E-2</v>
      </c>
      <c r="AP28" s="28">
        <v>3</v>
      </c>
      <c r="AQ28" s="213">
        <f>((($W$25)^Q28)*((1-($W$25))^($U$34-Q28))*HLOOKUP($U$34,$AV$24:$BF$34,Q28+1))*V34</f>
        <v>4.6675367159314972E-3</v>
      </c>
      <c r="AR28" s="28">
        <v>3</v>
      </c>
      <c r="AS28" s="213">
        <f>((($W$25)^Q28)*((1-($W$25))^($U$35-Q28))*HLOOKUP($U$35,$AV$24:$BF$34,Q28+1))*V35</f>
        <v>7.7246705336305116E-4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2.3917559305622075E-4</v>
      </c>
      <c r="BQ28" s="31">
        <f>BQ22+1</f>
        <v>7</v>
      </c>
      <c r="BR28" s="31">
        <v>4</v>
      </c>
      <c r="BS28" s="107">
        <f t="shared" si="16"/>
        <v>5.0360110858416338E-5</v>
      </c>
    </row>
    <row r="29" spans="1:71" x14ac:dyDescent="0.25">
      <c r="A29" s="26" t="s">
        <v>118</v>
      </c>
      <c r="B29" s="206">
        <f>1/(1+EXP(-3.1416*4*((B14/(B14+C13))-(3.1416/6))))</f>
        <v>7.5565815647523946E-2</v>
      </c>
      <c r="C29" s="207">
        <f>1/(1+EXP(-3.1416*4*((C14/(C14+B13))-(3.1416/6))))</f>
        <v>0.77412977274966732</v>
      </c>
      <c r="D29" s="204">
        <v>0.04</v>
      </c>
      <c r="E29" s="204">
        <v>0.04</v>
      </c>
      <c r="G29" s="87">
        <v>4</v>
      </c>
      <c r="H29" s="126">
        <f>J29*L25+J28*L26+J27*L27+J26*L28</f>
        <v>3.9979797046587051E-2</v>
      </c>
      <c r="I29" s="138">
        <v>4</v>
      </c>
      <c r="J29" s="86">
        <f t="shared" si="17"/>
        <v>1.3799484675065898E-2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0.2324773091403434</v>
      </c>
      <c r="O29" s="72">
        <v>4</v>
      </c>
      <c r="P29" s="210">
        <f t="shared" si="18"/>
        <v>0.2324773091403434</v>
      </c>
      <c r="Q29" s="28">
        <v>4</v>
      </c>
      <c r="R29" s="211">
        <f>P25*N29+P26*N28+P27*N27+P28*N26+P29*N25</f>
        <v>0.13510733400382482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0.13432741261899853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1.5730056020443146E-4</v>
      </c>
      <c r="AH29" s="28">
        <v>4</v>
      </c>
      <c r="AI29" s="213">
        <f>((($W$25)^M29)*((1-($W$25))^($U$30-M29))*HLOOKUP($U$30,$AV$24:$BF$34,M29+1))*V30</f>
        <v>1.0434650239385739E-3</v>
      </c>
      <c r="AJ29" s="28">
        <v>4</v>
      </c>
      <c r="AK29" s="213">
        <f>((($W$25)^M29)*((1-($W$25))^($U$31-M29))*HLOOKUP($U$31,$AV$24:$BF$34,M29+1))*V31</f>
        <v>2.8863506132701857E-3</v>
      </c>
      <c r="AL29" s="28">
        <v>4</v>
      </c>
      <c r="AM29" s="213">
        <f>((($W$25)^Q29)*((1-($W$25))^($U$32-Q29))*HLOOKUP($U$32,$AV$24:$BF$34,Q29+1))*V32</f>
        <v>4.2638612249109673E-3</v>
      </c>
      <c r="AN29" s="28">
        <v>4</v>
      </c>
      <c r="AO29" s="213">
        <f>((($W$25)^Q29)*((1-($W$25))^($U$33-Q29))*HLOOKUP($U$33,$AV$24:$BF$34,Q29+1))*V33</f>
        <v>3.5525621445062021E-3</v>
      </c>
      <c r="AP29" s="28">
        <v>4</v>
      </c>
      <c r="AQ29" s="213">
        <f>((($W$25)^Q29)*((1-($W$25))^($U$34-Q29))*HLOOKUP($U$34,$AV$24:$BF$34,Q29+1))*V34</f>
        <v>1.5891171520072645E-3</v>
      </c>
      <c r="AR29" s="28">
        <v>4</v>
      </c>
      <c r="AS29" s="213">
        <f>((($W$25)^Q29)*((1-($W$25))^($U$35-Q29))*HLOOKUP($U$35,$AV$24:$BF$34,Q29+1))*V35</f>
        <v>3.0682795622827416E-4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3.9792614078901764E-5</v>
      </c>
      <c r="BQ29" s="31">
        <f>BQ23+1</f>
        <v>7</v>
      </c>
      <c r="BR29" s="31">
        <v>5</v>
      </c>
      <c r="BS29" s="107">
        <f t="shared" si="16"/>
        <v>2.1172199205095883E-5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1.1621745314991737E-2</v>
      </c>
      <c r="I30" s="138">
        <v>5</v>
      </c>
      <c r="J30" s="86">
        <f t="shared" si="17"/>
        <v>1.9794235719896255E-3</v>
      </c>
      <c r="K30" s="138">
        <v>5</v>
      </c>
      <c r="L30" s="86"/>
      <c r="M30" s="85">
        <v>5</v>
      </c>
      <c r="N30" s="210">
        <f>(($B$24)^M30)*((1-($B$24))^($B$21-M30))*HLOOKUP($B$21,$AV$24:$BF$34,M30+1)</f>
        <v>6.2950754727031016E-2</v>
      </c>
      <c r="O30" s="72">
        <v>5</v>
      </c>
      <c r="P30" s="210">
        <f t="shared" si="18"/>
        <v>6.2950754727031016E-2</v>
      </c>
      <c r="Q30" s="28">
        <v>5</v>
      </c>
      <c r="R30" s="211">
        <f>P25*N30+P26*N29+P27*N28+P28*N27+P29*N26+P30*N25</f>
        <v>0.2195080976155849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0.21866424789164604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4.736797352946758E-5</v>
      </c>
      <c r="AJ30" s="28">
        <v>5</v>
      </c>
      <c r="AK30" s="213">
        <f>((($W$25)^M30)*((1-($W$25))^($U$31-M30))*HLOOKUP($U$31,$AV$24:$BF$34,M30+1))*V31</f>
        <v>2.6205110149277611E-4</v>
      </c>
      <c r="AL30" s="28">
        <v>5</v>
      </c>
      <c r="AM30" s="213">
        <f>((($W$25)^Q30)*((1-($W$25))^($U$32-Q30))*HLOOKUP($U$32,$AV$24:$BF$34,Q30+1))*V32</f>
        <v>5.8067245475818278E-4</v>
      </c>
      <c r="AN30" s="28">
        <v>5</v>
      </c>
      <c r="AO30" s="213">
        <f>((($W$25)^Q30)*((1-($W$25))^($U$33-Q30))*HLOOKUP($U$33,$AV$24:$BF$34,Q30+1))*V33</f>
        <v>6.4507258321928917E-4</v>
      </c>
      <c r="AP30" s="28">
        <v>5</v>
      </c>
      <c r="AQ30" s="213">
        <f>((($W$25)^Q30)*((1-($W$25))^($U$34-Q30))*HLOOKUP($U$34,$AV$24:$BF$34,Q30+1))*V34</f>
        <v>3.606889424399823E-4</v>
      </c>
      <c r="AR30" s="28">
        <v>5</v>
      </c>
      <c r="AS30" s="213">
        <f>((($W$25)^Q30)*((1-($W$25))^($U$35-Q30))*HLOOKUP($U$35,$AV$24:$BF$34,Q30+1))*V35</f>
        <v>8.3570516549927548E-5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4.7682094177156642E-6</v>
      </c>
      <c r="BQ30" s="31">
        <f>BM10+1</f>
        <v>7</v>
      </c>
      <c r="BR30" s="31">
        <v>6</v>
      </c>
      <c r="BS30" s="107">
        <f t="shared" si="16"/>
        <v>7.3464089678295465E-6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0.18498708331416641</v>
      </c>
      <c r="C31" s="61">
        <f>(C25*E25)+(C26*E26)+(C27*E27)+(C28*E28)+(C29*E29)+(C30*E30)/(C25+C26+C27+C28+C29+C30)</f>
        <v>0.42121462185482461</v>
      </c>
      <c r="G31" s="87">
        <v>6</v>
      </c>
      <c r="H31" s="126">
        <f>J31*L25+J30*L26+J29*L27+J28*L28</f>
        <v>2.6732661450334584E-3</v>
      </c>
      <c r="I31" s="138">
        <v>6</v>
      </c>
      <c r="J31" s="86">
        <f t="shared" si="17"/>
        <v>1.9743831787177797E-4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0.24766217085681985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0.24737922395714826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9.9131494221253616E-6</v>
      </c>
      <c r="AL31" s="28">
        <v>6</v>
      </c>
      <c r="AM31" s="213">
        <f>((($W$25)^Q31)*((1-($W$25))^($U$32-Q31))*HLOOKUP($U$32,$AV$24:$BF$34,Q31+1))*V32</f>
        <v>4.3932597699757254E-5</v>
      </c>
      <c r="AN31" s="28">
        <v>6</v>
      </c>
      <c r="AO31" s="213">
        <f>((($W$25)^Q31)*((1-($W$25))^($U$33-Q31))*HLOOKUP($U$33,$AV$24:$BF$34,Q31+1))*V33</f>
        <v>7.3207487422969193E-5</v>
      </c>
      <c r="AP31" s="28">
        <v>6</v>
      </c>
      <c r="AQ31" s="213">
        <f>((($W$25)^Q31)*((1-($W$25))^($U$34-Q31))*HLOOKUP($U$34,$AV$24:$BF$34,Q31+1))*V34</f>
        <v>5.4578108787907297E-5</v>
      </c>
      <c r="AR31" s="28">
        <v>6</v>
      </c>
      <c r="AS31" s="213">
        <f>((($W$25)^Q31)*((1-($W$25))^($U$35-Q31))*HLOOKUP($U$35,$AV$24:$BF$34,Q31+1))*V35</f>
        <v>1.5806974539018867E-5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1.2031967609280471E-2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5.8977895478092036E-6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4.6830927193722342E-4</v>
      </c>
      <c r="I32" s="138">
        <v>7</v>
      </c>
      <c r="J32" s="86">
        <f t="shared" si="17"/>
        <v>1.3531235538395008E-5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0.19160727839783562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0.19216572209828298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1.4245108345627229E-6</v>
      </c>
      <c r="AN32" s="28">
        <v>7</v>
      </c>
      <c r="AO32" s="213">
        <f>((($W$25)^Q32)*((1-($W$25))^($U$33-Q32))*HLOOKUP($U$33,$AV$24:$BF$34,Q32+1))*V33</f>
        <v>4.7474934087819779E-6</v>
      </c>
      <c r="AP32" s="28">
        <v>7</v>
      </c>
      <c r="AQ32" s="213">
        <f>((($W$25)^Q32)*((1-($W$25))^($U$34-Q32))*HLOOKUP($U$34,$AV$24:$BF$34,Q32+1))*V34</f>
        <v>5.3090719444582164E-6</v>
      </c>
      <c r="AR32" s="28">
        <v>7</v>
      </c>
      <c r="AS32" s="213">
        <f>((($W$25)^Q32)*((1-($W$25))^($U$35-Q32))*HLOOKUP($U$35,$AV$24:$BF$34,Q32+1))*V35</f>
        <v>2.0501593505920913E-6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5.058432372580331E-3</v>
      </c>
      <c r="BQ32" s="31">
        <f t="shared" si="23"/>
        <v>8</v>
      </c>
      <c r="BR32" s="31">
        <v>1</v>
      </c>
      <c r="BS32" s="107">
        <f t="shared" si="24"/>
        <v>1.4811690585693232E-5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6.0783808142021656E-5</v>
      </c>
      <c r="I33" s="138">
        <v>8</v>
      </c>
      <c r="J33" s="86">
        <f t="shared" si="17"/>
        <v>6.1045097281028024E-7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9.728225867724262E-2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9.8224552121267003E-2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1.3469494482293289E-7</v>
      </c>
      <c r="AP33" s="28">
        <v>8</v>
      </c>
      <c r="AQ33" s="213">
        <f>((($W$25)^Q33)*((1-($W$25))^($U$34-Q33))*HLOOKUP($U$34,$AV$24:$BF$34,Q33+1))*V34</f>
        <v>3.0125588012274823E-7</v>
      </c>
      <c r="AR33" s="28">
        <v>8</v>
      </c>
      <c r="AS33" s="213">
        <f>((($W$25)^Q33)*((1-($W$25))^($U$35-Q33))*HLOOKUP($U$35,$AV$24:$BF$34,Q33+1))*V35</f>
        <v>1.7450014786459915E-7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1.7551938079318262E-3</v>
      </c>
      <c r="BQ33" s="31">
        <f t="shared" si="23"/>
        <v>8</v>
      </c>
      <c r="BR33" s="31">
        <v>2</v>
      </c>
      <c r="BS33" s="107">
        <f t="shared" si="24"/>
        <v>1.7106191022901227E-5</v>
      </c>
    </row>
    <row r="34" spans="1:71" x14ac:dyDescent="0.25">
      <c r="A34" s="40" t="s">
        <v>123</v>
      </c>
      <c r="B34" s="56">
        <f>B23*2</f>
        <v>5.7517524779249936</v>
      </c>
      <c r="C34" s="57">
        <f>C23*2</f>
        <v>4.2482475220750064</v>
      </c>
      <c r="G34" s="87">
        <v>9</v>
      </c>
      <c r="H34" s="126">
        <f>J34*L25+J33*L26+J32*L27+J31*L28</f>
        <v>5.7130216558480346E-6</v>
      </c>
      <c r="I34" s="138">
        <v>9</v>
      </c>
      <c r="J34" s="86">
        <f t="shared" si="17"/>
        <v>1.6399057530280641E-8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2.9269244134587848E-2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2.9950032080143844E-2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7.5974864875302784E-9</v>
      </c>
      <c r="AR34" s="28">
        <v>9</v>
      </c>
      <c r="AS34" s="213">
        <f>((($W$25)^Q34)*((1-($W$25))^($U$35-Q34))*HLOOKUP($U$35,$AV$24:$BF$34,Q34+1))*V35</f>
        <v>8.8015710427503622E-9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4.9558280460190913E-4</v>
      </c>
      <c r="BQ34" s="31">
        <f t="shared" si="23"/>
        <v>8</v>
      </c>
      <c r="BR34" s="31">
        <v>3</v>
      </c>
      <c r="BS34" s="107">
        <f t="shared" si="24"/>
        <v>1.2390145490556079E-5</v>
      </c>
    </row>
    <row r="35" spans="1:71" ht="15.75" thickBot="1" x14ac:dyDescent="0.3">
      <c r="G35" s="88">
        <v>10</v>
      </c>
      <c r="H35" s="127">
        <f>J35*L25+J34*L26+J33*L27+J32*L28</f>
        <v>3.7728913968242698E-7</v>
      </c>
      <c r="I35" s="94">
        <v>10</v>
      </c>
      <c r="J35" s="89">
        <f t="shared" si="17"/>
        <v>1.9977314744920003E-10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3.9627975207028182E-3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4.2571902874121159E-3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1.9977314744920003E-10</v>
      </c>
      <c r="BI35" s="31">
        <f t="shared" si="21"/>
        <v>3</v>
      </c>
      <c r="BJ35" s="31">
        <v>8</v>
      </c>
      <c r="BK35" s="107">
        <f t="shared" si="22"/>
        <v>1.0964654571302344E-4</v>
      </c>
      <c r="BQ35" s="31">
        <f t="shared" si="23"/>
        <v>8</v>
      </c>
      <c r="BR35" s="31">
        <v>4</v>
      </c>
      <c r="BS35" s="107">
        <f t="shared" si="24"/>
        <v>6.5364482402117721E-6</v>
      </c>
    </row>
    <row r="36" spans="1:71" ht="15.75" x14ac:dyDescent="0.25">
      <c r="A36" s="109" t="s">
        <v>124</v>
      </c>
      <c r="B36" s="219">
        <f>SUM(BO4:BO14)</f>
        <v>0.20527555421245253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0.99999999999999989</v>
      </c>
      <c r="BI36" s="31">
        <f t="shared" si="21"/>
        <v>3</v>
      </c>
      <c r="BJ36" s="31">
        <v>9</v>
      </c>
      <c r="BK36" s="107">
        <f t="shared" si="22"/>
        <v>1.8242340796108756E-5</v>
      </c>
      <c r="BQ36" s="31">
        <f t="shared" si="23"/>
        <v>8</v>
      </c>
      <c r="BR36" s="31">
        <v>5</v>
      </c>
      <c r="BS36" s="107">
        <f t="shared" si="24"/>
        <v>2.7480277917703141E-6</v>
      </c>
    </row>
    <row r="37" spans="1:71" ht="16.5" thickBot="1" x14ac:dyDescent="0.3">
      <c r="A37" s="110" t="s">
        <v>125</v>
      </c>
      <c r="B37" s="219">
        <f>SUM(BK4:BK59)</f>
        <v>0.56096488918077347</v>
      </c>
      <c r="G37" s="158"/>
      <c r="H37" s="266">
        <f>SUM(H39:H49)</f>
        <v>0.99999832622472029</v>
      </c>
      <c r="I37" s="267"/>
      <c r="J37" s="266">
        <f>SUM(J39:J49)</f>
        <v>0.99999999999999989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1.0000000000000007</v>
      </c>
      <c r="S37" s="267"/>
      <c r="T37" s="266">
        <f>SUM(T39:T49)</f>
        <v>1</v>
      </c>
      <c r="U37" s="267"/>
      <c r="V37" s="208">
        <f>SUM(V39:V48)</f>
        <v>0.99975469049604027</v>
      </c>
      <c r="W37" s="158"/>
      <c r="X37" s="158"/>
      <c r="Y37" s="205">
        <f>SUM(Y39:Y49)</f>
        <v>3.8841340109948557E-3</v>
      </c>
      <c r="Z37" s="81"/>
      <c r="AA37" s="205">
        <f>SUM(AA39:AA49)</f>
        <v>2.8766308067634628E-2</v>
      </c>
      <c r="AB37" s="81"/>
      <c r="AC37" s="205">
        <f>SUM(AC39:AC49)</f>
        <v>9.5928393692608263E-2</v>
      </c>
      <c r="AD37" s="81"/>
      <c r="AE37" s="205">
        <f>SUM(AE39:AE49)</f>
        <v>0.18972473297788353</v>
      </c>
      <c r="AF37" s="81"/>
      <c r="AG37" s="205">
        <f>SUM(AG39:AG49)</f>
        <v>0.24653536474950011</v>
      </c>
      <c r="AH37" s="81"/>
      <c r="AI37" s="205">
        <f>SUM(AI39:AI49)</f>
        <v>0.22005857071662599</v>
      </c>
      <c r="AJ37" s="81"/>
      <c r="AK37" s="205">
        <f>SUM(AK39:AK49)</f>
        <v>0.13678689833755509</v>
      </c>
      <c r="AL37" s="81"/>
      <c r="AM37" s="205">
        <f>SUM(AM39:AM49)</f>
        <v>5.858565928364546E-2</v>
      </c>
      <c r="AN37" s="81"/>
      <c r="AO37" s="205">
        <f>SUM(AO39:AO49)</f>
        <v>1.6624067722645568E-2</v>
      </c>
      <c r="AP37" s="81"/>
      <c r="AQ37" s="205">
        <f>SUM(AQ39:AQ49)</f>
        <v>2.8605609369467349E-3</v>
      </c>
      <c r="AR37" s="81"/>
      <c r="AS37" s="205">
        <f>SUM(AS39:AS49)</f>
        <v>2.4530950395973422E-4</v>
      </c>
      <c r="BI37" s="31">
        <f t="shared" si="21"/>
        <v>3</v>
      </c>
      <c r="BJ37" s="31">
        <v>10</v>
      </c>
      <c r="BK37" s="107">
        <f t="shared" si="22"/>
        <v>2.185915733324577E-6</v>
      </c>
      <c r="BQ37" s="31">
        <f t="shared" si="23"/>
        <v>8</v>
      </c>
      <c r="BR37" s="31">
        <v>6</v>
      </c>
      <c r="BS37" s="107">
        <f t="shared" si="24"/>
        <v>9.5352097426172092E-7</v>
      </c>
    </row>
    <row r="38" spans="1:71" ht="16.5" thickBot="1" x14ac:dyDescent="0.3">
      <c r="A38" s="111" t="s">
        <v>126</v>
      </c>
      <c r="B38" s="219">
        <f>SUM(BS4:BS47)</f>
        <v>0.23375748849119113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1.8074812479115568E-3</v>
      </c>
      <c r="BQ38" s="31">
        <f>BM11+1</f>
        <v>8</v>
      </c>
      <c r="BR38" s="31">
        <v>7</v>
      </c>
      <c r="BS38" s="107">
        <f t="shared" si="24"/>
        <v>2.6922872934937042E-7</v>
      </c>
    </row>
    <row r="39" spans="1:71" x14ac:dyDescent="0.25">
      <c r="G39" s="128">
        <v>0</v>
      </c>
      <c r="H39" s="129">
        <f>L39*J39</f>
        <v>9.7028957679469341E-2</v>
      </c>
      <c r="I39" s="97">
        <v>0</v>
      </c>
      <c r="J39" s="98">
        <f t="shared" ref="J39:J49" si="28">Y39+AA39+AC39+AE39+AG39+AI39+AK39+AM39+AO39+AQ39+AS39</f>
        <v>0.13806188862618834</v>
      </c>
      <c r="K39" s="102">
        <v>0</v>
      </c>
      <c r="L39" s="98">
        <f>AH18</f>
        <v>0.70279320850217852</v>
      </c>
      <c r="M39" s="85">
        <v>0</v>
      </c>
      <c r="N39" s="210">
        <f>(1-$C$24)^$B$21</f>
        <v>6.2950754727031016E-2</v>
      </c>
      <c r="O39" s="72">
        <v>0</v>
      </c>
      <c r="P39" s="210">
        <f t="shared" ref="P39:P44" si="29">N39</f>
        <v>6.2950754727031016E-2</v>
      </c>
      <c r="Q39" s="28">
        <v>0</v>
      </c>
      <c r="R39" s="211">
        <f>P39*N39</f>
        <v>3.9627975207028182E-3</v>
      </c>
      <c r="S39" s="72">
        <v>0</v>
      </c>
      <c r="T39" s="212">
        <f>(1-$C$33)^(INT(B23*2*(1-B31)))</f>
        <v>0.98014950062500006</v>
      </c>
      <c r="U39" s="138">
        <v>0</v>
      </c>
      <c r="V39" s="86">
        <f>R39*T39</f>
        <v>3.8841340109948557E-3</v>
      </c>
      <c r="W39" s="134">
        <f>C31</f>
        <v>0.42121462185482461</v>
      </c>
      <c r="X39" s="28">
        <v>0</v>
      </c>
      <c r="Y39" s="213">
        <f>V39</f>
        <v>3.8841340109948557E-3</v>
      </c>
      <c r="Z39" s="28">
        <v>0</v>
      </c>
      <c r="AA39" s="213">
        <f>((1-W39)^Z40)*V40</f>
        <v>1.6649518492766517E-2</v>
      </c>
      <c r="AB39" s="28">
        <v>0</v>
      </c>
      <c r="AC39" s="213">
        <f>(((1-$W$39)^AB41))*V41</f>
        <v>3.2135293762718585E-2</v>
      </c>
      <c r="AD39" s="28">
        <v>0</v>
      </c>
      <c r="AE39" s="213">
        <f>(((1-$W$39)^AB42))*V42</f>
        <v>3.6785494900331644E-2</v>
      </c>
      <c r="AF39" s="28">
        <v>0</v>
      </c>
      <c r="AG39" s="213">
        <f>(((1-$W$39)^AB43))*V43</f>
        <v>2.7666194787632312E-2</v>
      </c>
      <c r="AH39" s="28">
        <v>0</v>
      </c>
      <c r="AI39" s="213">
        <f>(((1-$W$39)^AB44))*V44</f>
        <v>1.429308718750171E-2</v>
      </c>
      <c r="AJ39" s="28">
        <v>0</v>
      </c>
      <c r="AK39" s="213">
        <f>(((1-$W$39)^AB45))*V45</f>
        <v>5.1422099929735888E-3</v>
      </c>
      <c r="AL39" s="28">
        <v>0</v>
      </c>
      <c r="AM39" s="213">
        <f>(((1-$W$39)^AB46))*V46</f>
        <v>1.2747181765448133E-3</v>
      </c>
      <c r="AN39" s="28">
        <v>0</v>
      </c>
      <c r="AO39" s="213">
        <f>(((1-$W$39)^AB47))*V47</f>
        <v>2.0935228599098358E-4</v>
      </c>
      <c r="AP39" s="28">
        <v>0</v>
      </c>
      <c r="AQ39" s="213">
        <f>(((1-$W$39)^AB48))*V48</f>
        <v>2.0850148994399563E-5</v>
      </c>
      <c r="AR39" s="28">
        <v>0</v>
      </c>
      <c r="AS39" s="213">
        <f>(((1-$W$39)^AB49))*V49</f>
        <v>1.0348797389245985E-6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6.2716661222634023E-4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5.5432853646717086E-7</v>
      </c>
    </row>
    <row r="40" spans="1:71" x14ac:dyDescent="0.25">
      <c r="G40" s="91">
        <v>1</v>
      </c>
      <c r="H40" s="130">
        <f>L39*J40+L40*J39</f>
        <v>0.24367822679167528</v>
      </c>
      <c r="I40" s="138">
        <v>1</v>
      </c>
      <c r="J40" s="86">
        <f t="shared" si="28"/>
        <v>0.30205949455853132</v>
      </c>
      <c r="K40" s="95">
        <v>1</v>
      </c>
      <c r="L40" s="86">
        <f>AI18</f>
        <v>0.22738255839261298</v>
      </c>
      <c r="M40" s="85">
        <v>1</v>
      </c>
      <c r="N40" s="210">
        <f>(($C$24)^M26)*((1-($C$24))^($B$21-M26))*HLOOKUP($B$21,$AV$24:$BF$34,M26+1)</f>
        <v>0.23247730914034342</v>
      </c>
      <c r="O40" s="72">
        <v>1</v>
      </c>
      <c r="P40" s="210">
        <f t="shared" si="29"/>
        <v>0.23247730914034342</v>
      </c>
      <c r="Q40" s="28">
        <v>1</v>
      </c>
      <c r="R40" s="211">
        <f>P40*N39+P39*N40</f>
        <v>2.9269244134587851E-2</v>
      </c>
      <c r="S40" s="72">
        <v>1</v>
      </c>
      <c r="T40" s="212">
        <f t="shared" ref="T40:T49" si="32">(($C$33)^S40)*((1-($C$33))^(INT($B$23*2*(1-$B$31))-S40))*HLOOKUP(INT($B$23*2*(1-$B$31)),$AV$24:$BF$34,S40+1)</f>
        <v>1.9701497500000002E-2</v>
      </c>
      <c r="U40" s="138">
        <v>1</v>
      </c>
      <c r="V40" s="86">
        <f>R40*T39+T40*R39</f>
        <v>2.8766308067634628E-2</v>
      </c>
      <c r="W40" s="214"/>
      <c r="X40" s="28">
        <v>1</v>
      </c>
      <c r="Y40" s="211"/>
      <c r="Z40" s="28">
        <v>1</v>
      </c>
      <c r="AA40" s="213">
        <f>(1-((1-W39)^Z40))*V40</f>
        <v>1.2116789574868111E-2</v>
      </c>
      <c r="AB40" s="28">
        <v>1</v>
      </c>
      <c r="AC40" s="213">
        <f>((($W$39)^M40)*((1-($W$39))^($U$27-M40))*HLOOKUP($U$27,$AV$24:$BF$34,M40+1))*V41</f>
        <v>4.6773315711033894E-2</v>
      </c>
      <c r="AD40" s="28">
        <v>1</v>
      </c>
      <c r="AE40" s="213">
        <f>((($W$39)^M40)*((1-($W$39))^($U$28-M40))*HLOOKUP($U$28,$AV$24:$BF$34,M40+1))*V42</f>
        <v>8.0312611077914806E-2</v>
      </c>
      <c r="AF40" s="28">
        <v>1</v>
      </c>
      <c r="AG40" s="213">
        <f>((($W$39)^M40)*((1-($W$39))^($U$29-M40))*HLOOKUP($U$29,$AV$24:$BF$34,M40+1))*V43</f>
        <v>8.0536974261374419E-2</v>
      </c>
      <c r="AH40" s="28">
        <v>1</v>
      </c>
      <c r="AI40" s="213">
        <f>((($W$39)^M40)*((1-($W$39))^($U$30-M40))*HLOOKUP($U$30,$AV$24:$BF$34,M40+1))*V44</f>
        <v>5.2009410933248165E-2</v>
      </c>
      <c r="AJ40" s="28">
        <v>1</v>
      </c>
      <c r="AK40" s="213">
        <f>((($W$39)^M40)*((1-($W$39))^($U$31-M40))*HLOOKUP($U$31,$AV$24:$BF$34,M40+1))*V45</f>
        <v>2.2453649862023823E-2</v>
      </c>
      <c r="AL40" s="28">
        <v>1</v>
      </c>
      <c r="AM40" s="213">
        <f>((($W$39)^Q40)*((1-($W$39))^($U$32-Q40))*HLOOKUP($U$32,$AV$24:$BF$34,Q40+1))*V46</f>
        <v>6.4937879995835479E-3</v>
      </c>
      <c r="AN40" s="28">
        <v>1</v>
      </c>
      <c r="AO40" s="213">
        <f>((($W$39)^Q40)*((1-($W$39))^($U$33-Q40))*HLOOKUP($U$33,$AV$24:$BF$34,Q40+1))*V47</f>
        <v>1.218859318951443E-3</v>
      </c>
      <c r="AP40" s="28">
        <v>1</v>
      </c>
      <c r="AQ40" s="213">
        <f>((($W$39)^Q40)*((1-($W$39))^($U$34-Q40))*HLOOKUP($U$34,$AV$24:$BF$34,Q40+1))*V48</f>
        <v>1.3656441852753421E-4</v>
      </c>
      <c r="AR40" s="28">
        <v>1</v>
      </c>
      <c r="AS40" s="213">
        <f>((($W$39)^Q40)*((1-($W$39))^($U$35-Q40))*HLOOKUP($U$35,$AV$24:$BF$34,Q40+1))*V49</f>
        <v>7.5314010055555839E-6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1.7708186254715869E-4</v>
      </c>
      <c r="BQ40" s="31">
        <f t="shared" si="30"/>
        <v>9</v>
      </c>
      <c r="BR40" s="31">
        <v>1</v>
      </c>
      <c r="BS40" s="107">
        <f t="shared" si="31"/>
        <v>1.3921389867194896E-6</v>
      </c>
    </row>
    <row r="41" spans="1:71" x14ac:dyDescent="0.25">
      <c r="G41" s="91">
        <v>2</v>
      </c>
      <c r="H41" s="130">
        <f>L39*J41+J40*L40+J39*L41</f>
        <v>0.28142677377061553</v>
      </c>
      <c r="I41" s="138">
        <v>2</v>
      </c>
      <c r="J41" s="86">
        <f t="shared" si="28"/>
        <v>0.29764149508459498</v>
      </c>
      <c r="K41" s="95">
        <v>2</v>
      </c>
      <c r="L41" s="86">
        <f>AJ18</f>
        <v>2.5809380363302808E-2</v>
      </c>
      <c r="M41" s="85">
        <v>2</v>
      </c>
      <c r="N41" s="210">
        <f>(($C$24)^M27)*((1-($C$24))^($B$21-M27))*HLOOKUP($B$21,$AV$24:$BF$34,M27+1)</f>
        <v>0.34341573504234801</v>
      </c>
      <c r="O41" s="72">
        <v>2</v>
      </c>
      <c r="P41" s="210">
        <f t="shared" si="29"/>
        <v>0.34341573504234801</v>
      </c>
      <c r="Q41" s="28">
        <v>2</v>
      </c>
      <c r="R41" s="211">
        <f>P41*N39+P40*N40+P39*N41</f>
        <v>9.7282258677242661E-2</v>
      </c>
      <c r="S41" s="72">
        <v>2</v>
      </c>
      <c r="T41" s="212">
        <f t="shared" si="32"/>
        <v>1.4850375000000001E-4</v>
      </c>
      <c r="U41" s="138">
        <v>2</v>
      </c>
      <c r="V41" s="86">
        <f>R41*T39+T40*R40+R39*T41</f>
        <v>9.5928393692608263E-2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1.7019784218855787E-2</v>
      </c>
      <c r="AD41" s="28">
        <v>2</v>
      </c>
      <c r="AE41" s="213">
        <f>((($W$39)^M41)*((1-($W$39))^($U$28-M41))*HLOOKUP($U$28,$AV$24:$BF$34,M41+1))*V42</f>
        <v>5.8447997103465661E-2</v>
      </c>
      <c r="AF41" s="28">
        <v>2</v>
      </c>
      <c r="AG41" s="213">
        <f>((($W$39)^M41)*((1-($W$39))^($U$29-M41))*HLOOKUP($U$29,$AV$24:$BF$34,M41+1))*V43</f>
        <v>8.7916918187058088E-2</v>
      </c>
      <c r="AH41" s="28">
        <v>2</v>
      </c>
      <c r="AI41" s="213">
        <f>((($W$39)^M41)*((1-($W$39))^($U$30-M41))*HLOOKUP($U$30,$AV$24:$BF$34,M41+1))*V44</f>
        <v>7.5700337936475626E-2</v>
      </c>
      <c r="AJ41" s="28">
        <v>2</v>
      </c>
      <c r="AK41" s="213">
        <f>((($W$39)^M41)*((1-($W$39))^($U$31-M41))*HLOOKUP($U$31,$AV$24:$BF$34,M41+1))*V45</f>
        <v>4.085195477036014E-2</v>
      </c>
      <c r="AL41" s="28">
        <v>2</v>
      </c>
      <c r="AM41" s="213">
        <f>((($W$39)^Q41)*((1-($W$39))^($U$32-Q41))*HLOOKUP($U$32,$AV$24:$BF$34,Q41+1))*V46</f>
        <v>1.4177682574233406E-2</v>
      </c>
      <c r="AN41" s="28">
        <v>2</v>
      </c>
      <c r="AO41" s="213">
        <f>((($W$39)^Q41)*((1-($W$39))^($U$33-Q41))*HLOOKUP($U$33,$AV$24:$BF$34,Q41+1))*V47</f>
        <v>3.1046133036407683E-3</v>
      </c>
      <c r="AP41" s="28">
        <v>2</v>
      </c>
      <c r="AQ41" s="213">
        <f>((($W$39)^Q41)*((1-($W$39))^($U$34-Q41))*HLOOKUP($U$34,$AV$24:$BF$34,Q41+1))*V48</f>
        <v>3.9754238500801231E-4</v>
      </c>
      <c r="AR41" s="28">
        <v>2</v>
      </c>
      <c r="AS41" s="213">
        <f>((($W$39)^Q41)*((1-($W$39))^($U$35-Q41))*HLOOKUP($U$35,$AV$24:$BF$34,Q41+1))*V49</f>
        <v>2.4664605497487093E-5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3.9178951239684654E-5</v>
      </c>
      <c r="BQ41" s="31">
        <f t="shared" si="30"/>
        <v>9</v>
      </c>
      <c r="BR41" s="31">
        <v>2</v>
      </c>
      <c r="BS41" s="107">
        <f t="shared" si="31"/>
        <v>1.6077972530869723E-6</v>
      </c>
    </row>
    <row r="42" spans="1:71" ht="15" customHeight="1" x14ac:dyDescent="0.25">
      <c r="G42" s="91">
        <v>3</v>
      </c>
      <c r="H42" s="130">
        <f>J42*L39+J41*L40+L42*J39+L41*J40</f>
        <v>0.20383957289425572</v>
      </c>
      <c r="I42" s="138">
        <v>3</v>
      </c>
      <c r="J42" s="86">
        <f t="shared" si="28"/>
        <v>0.17400331234586755</v>
      </c>
      <c r="K42" s="95">
        <v>3</v>
      </c>
      <c r="L42" s="86">
        <f>AK18</f>
        <v>4.4014852741905683E-2</v>
      </c>
      <c r="M42" s="85">
        <v>3</v>
      </c>
      <c r="N42" s="210">
        <f>(($C$24)^M28)*((1-($C$24))^($B$21-M28))*HLOOKUP($B$21,$AV$24:$BF$34,M28+1)</f>
        <v>0.25364704949221684</v>
      </c>
      <c r="O42" s="72">
        <v>3</v>
      </c>
      <c r="P42" s="210">
        <f t="shared" si="29"/>
        <v>0.25364704949221684</v>
      </c>
      <c r="Q42" s="28">
        <v>3</v>
      </c>
      <c r="R42" s="211">
        <f>P42*N39+P41*N40+P40*N41+P39*N42</f>
        <v>0.1916072783978357</v>
      </c>
      <c r="S42" s="72">
        <v>3</v>
      </c>
      <c r="T42" s="212">
        <f t="shared" si="32"/>
        <v>4.9750000000000011E-7</v>
      </c>
      <c r="U42" s="138">
        <v>3</v>
      </c>
      <c r="V42" s="86">
        <f>R42*T39+R41*T40+R40*T41+R39*T42</f>
        <v>0.1897247329778835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1.4178629896171406E-2</v>
      </c>
      <c r="AF42" s="28">
        <v>3</v>
      </c>
      <c r="AG42" s="213">
        <f>((($W$39)^M42)*((1-($W$39))^($U$29-M42))*HLOOKUP($U$29,$AV$24:$BF$34,M42+1))*V43</f>
        <v>4.2654718942023905E-2</v>
      </c>
      <c r="AH42" s="28">
        <v>3</v>
      </c>
      <c r="AI42" s="213">
        <f>((($W$39)^M42)*((1-($W$39))^($U$30-M42))*HLOOKUP($U$30,$AV$24:$BF$34,M42+1))*V44</f>
        <v>5.5091386932371852E-2</v>
      </c>
      <c r="AJ42" s="28">
        <v>3</v>
      </c>
      <c r="AK42" s="213">
        <f>((($W$39)^M42)*((1-($W$39))^($U$31-M42))*HLOOKUP($U$31,$AV$24:$BF$34,M42+1))*V45</f>
        <v>3.9640348749587891E-2</v>
      </c>
      <c r="AL42" s="28">
        <v>3</v>
      </c>
      <c r="AM42" s="213">
        <f>((($W$39)^Q42)*((1-($W$39))^($U$32-Q42))*HLOOKUP($U$32,$AV$24:$BF$34,Q42+1))*V46</f>
        <v>1.7196492948218987E-2</v>
      </c>
      <c r="AN42" s="28">
        <v>3</v>
      </c>
      <c r="AO42" s="213">
        <f>((($W$39)^Q42)*((1-($W$39))^($U$33-Q42))*HLOOKUP($U$33,$AV$24:$BF$34,Q42+1))*V47</f>
        <v>4.518802886449195E-3</v>
      </c>
      <c r="AP42" s="28">
        <v>3</v>
      </c>
      <c r="AQ42" s="213">
        <f>((($W$39)^Q42)*((1-($W$39))^($U$34-Q42))*HLOOKUP($U$34,$AV$24:$BF$34,Q42+1))*V48</f>
        <v>6.7506580842527559E-4</v>
      </c>
      <c r="AR42" s="28">
        <v>3</v>
      </c>
      <c r="AS42" s="213">
        <f>((($W$39)^Q42)*((1-($W$39))^($U$35-Q42))*HLOOKUP($U$35,$AV$24:$BF$34,Q42+1))*V49</f>
        <v>4.7866182619039051E-5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6.518361120277076E-6</v>
      </c>
      <c r="BQ42" s="31">
        <f t="shared" si="30"/>
        <v>9</v>
      </c>
      <c r="BR42" s="31">
        <v>3</v>
      </c>
      <c r="BS42" s="107">
        <f t="shared" si="31"/>
        <v>1.1645398942636969E-6</v>
      </c>
    </row>
    <row r="43" spans="1:71" ht="15" customHeight="1" x14ac:dyDescent="0.25">
      <c r="G43" s="91">
        <v>4</v>
      </c>
      <c r="H43" s="130">
        <f>J43*L39+J42*L40+J41*L41+J40*L42</f>
        <v>0.10753601065828797</v>
      </c>
      <c r="I43" s="138">
        <v>4</v>
      </c>
      <c r="J43" s="86">
        <f t="shared" si="28"/>
        <v>6.686696033620157E-2</v>
      </c>
      <c r="K43" s="95">
        <v>4</v>
      </c>
      <c r="L43" s="86"/>
      <c r="M43" s="85">
        <v>4</v>
      </c>
      <c r="N43" s="210">
        <f>(($C$24)^M29)*((1-($C$24))^($B$21-M29))*HLOOKUP($B$21,$AV$24:$BF$34,M29+1)</f>
        <v>9.3671924654491256E-2</v>
      </c>
      <c r="O43" s="72">
        <v>4</v>
      </c>
      <c r="P43" s="210">
        <f t="shared" si="29"/>
        <v>9.3671924654491256E-2</v>
      </c>
      <c r="Q43" s="28">
        <v>4</v>
      </c>
      <c r="R43" s="211">
        <f>P43*N39+P42*N40+P41*N41+P40*N42+P39*N43</f>
        <v>0.24766217085681999</v>
      </c>
      <c r="S43" s="72">
        <v>4</v>
      </c>
      <c r="T43" s="212">
        <f t="shared" si="32"/>
        <v>6.2500000000000001E-10</v>
      </c>
      <c r="U43" s="138">
        <v>4</v>
      </c>
      <c r="V43" s="86">
        <f>T43*R39+T42*R40+T41*R41+T40*R42+T39*R43</f>
        <v>0.24653536474950008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7.7605585714113617E-3</v>
      </c>
      <c r="AH43" s="28">
        <v>4</v>
      </c>
      <c r="AI43" s="213">
        <f>((($W$39)^M43)*((1-($W$39))^($U$30-M43))*HLOOKUP($U$30,$AV$24:$BF$34,M43+1))*V44</f>
        <v>2.0046547986874257E-2</v>
      </c>
      <c r="AJ43" s="28">
        <v>4</v>
      </c>
      <c r="AK43" s="213">
        <f>((($W$39)^M43)*((1-($W$39))^($U$31-M43))*HLOOKUP($U$31,$AV$24:$BF$34,M43+1))*V45</f>
        <v>2.1636380866591642E-2</v>
      </c>
      <c r="AL43" s="28">
        <v>4</v>
      </c>
      <c r="AM43" s="213">
        <f>((($W$39)^Q43)*((1-($W$39))^($U$32-Q43))*HLOOKUP($U$32,$AV$24:$BF$34,Q43+1))*V46</f>
        <v>1.2514853601910399E-2</v>
      </c>
      <c r="AN43" s="28">
        <v>4</v>
      </c>
      <c r="AO43" s="213">
        <f>((($W$39)^Q43)*((1-($W$39))^($U$33-Q43))*HLOOKUP($U$33,$AV$24:$BF$34,Q43+1))*V47</f>
        <v>4.1107332720462372E-3</v>
      </c>
      <c r="AP43" s="28">
        <v>4</v>
      </c>
      <c r="AQ43" s="213">
        <f>((($W$39)^Q43)*((1-($W$39))^($U$34-Q43))*HLOOKUP($U$34,$AV$24:$BF$34,Q43+1))*V48</f>
        <v>7.3692494651701019E-4</v>
      </c>
      <c r="AR43" s="28">
        <v>4</v>
      </c>
      <c r="AS43" s="213">
        <f>((($W$39)^Q43)*((1-($W$39))^($U$35-Q43))*HLOOKUP($U$35,$AV$24:$BF$34,Q43+1))*V49</f>
        <v>6.0961090850669098E-5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7.8107235730100048E-7</v>
      </c>
      <c r="BQ43" s="31">
        <f t="shared" si="30"/>
        <v>9</v>
      </c>
      <c r="BR43" s="31">
        <v>4</v>
      </c>
      <c r="BS43" s="107">
        <f t="shared" si="31"/>
        <v>6.1435555767430422E-7</v>
      </c>
    </row>
    <row r="44" spans="1:71" ht="15" customHeight="1" thickBot="1" x14ac:dyDescent="0.3">
      <c r="G44" s="91">
        <v>5</v>
      </c>
      <c r="H44" s="130">
        <f>J44*L39+J43*L40+J42*L41+J41*L42</f>
        <v>4.5209865517960544E-2</v>
      </c>
      <c r="I44" s="138">
        <v>5</v>
      </c>
      <c r="J44" s="86">
        <f t="shared" si="28"/>
        <v>1.7663689127555088E-2</v>
      </c>
      <c r="K44" s="95">
        <v>5</v>
      </c>
      <c r="L44" s="86"/>
      <c r="M44" s="85">
        <v>5</v>
      </c>
      <c r="N44" s="210">
        <f>(($C$24)^M30)*((1-($C$24))^($B$21-M30))*HLOOKUP($B$21,$AV$24:$BF$34,M30+1)</f>
        <v>1.3837226943569756E-2</v>
      </c>
      <c r="O44" s="72">
        <v>5</v>
      </c>
      <c r="P44" s="210">
        <f t="shared" si="29"/>
        <v>1.3837226943569756E-2</v>
      </c>
      <c r="Q44" s="28">
        <v>5</v>
      </c>
      <c r="R44" s="211">
        <f>P44*N39+P43*N40+P42*N41+P41*N42+P40*N43+P39*N44</f>
        <v>0.21950809761558504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0.22005857071662602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2.9177997401544139E-3</v>
      </c>
      <c r="AJ44" s="28">
        <v>5</v>
      </c>
      <c r="AK44" s="213">
        <f>((($W$39)^M44)*((1-($W$39))^($U$31-M44))*HLOOKUP($U$31,$AV$24:$BF$34,M44+1))*V45</f>
        <v>6.2984037462967329E-3</v>
      </c>
      <c r="AL44" s="28">
        <v>5</v>
      </c>
      <c r="AM44" s="213">
        <f>((($W$39)^Q44)*((1-($W$39))^($U$32-Q44))*HLOOKUP($U$32,$AV$24:$BF$34,Q44+1))*V46</f>
        <v>5.4646570489294104E-3</v>
      </c>
      <c r="AN44" s="28">
        <v>5</v>
      </c>
      <c r="AO44" s="213">
        <f>((($W$39)^Q44)*((1-($W$39))^($U$33-Q44))*HLOOKUP($U$33,$AV$24:$BF$34,Q44+1))*V47</f>
        <v>2.3932891549954716E-3</v>
      </c>
      <c r="AP44" s="28">
        <v>5</v>
      </c>
      <c r="AQ44" s="213">
        <f>((($W$39)^Q44)*((1-($W$39))^($U$34-Q44))*HLOOKUP($U$34,$AV$24:$BF$34,Q44+1))*V48</f>
        <v>5.3630166621916901E-4</v>
      </c>
      <c r="AR44" s="28">
        <v>5</v>
      </c>
      <c r="AS44" s="213">
        <f>((($W$39)^Q44)*((1-($W$39))^($U$35-Q44))*HLOOKUP($U$35,$AV$24:$BF$34,Q44+1))*V49</f>
        <v>5.3237770959890796E-5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1.8231134662508069E-4</v>
      </c>
      <c r="BQ44" s="31">
        <f t="shared" si="30"/>
        <v>9</v>
      </c>
      <c r="BR44" s="31">
        <v>5</v>
      </c>
      <c r="BS44" s="107">
        <f t="shared" si="31"/>
        <v>2.582849407620859E-7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1.5687088443583769E-2</v>
      </c>
      <c r="I45" s="138">
        <v>6</v>
      </c>
      <c r="J45" s="86">
        <f t="shared" si="28"/>
        <v>3.2529463985839554E-3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0.13510733400382491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0.13678689833755509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7.6395034972127115E-4</v>
      </c>
      <c r="AL45" s="28">
        <v>6</v>
      </c>
      <c r="AM45" s="213">
        <f>((($W$39)^Q45)*((1-($W$39))^($U$32-Q45))*HLOOKUP($U$32,$AV$24:$BF$34,Q45+1))*V46</f>
        <v>1.3256459356360071E-3</v>
      </c>
      <c r="AN45" s="28">
        <v>6</v>
      </c>
      <c r="AO45" s="213">
        <f>((($W$39)^Q45)*((1-($W$39))^($U$33-Q45))*HLOOKUP($U$33,$AV$24:$BF$34,Q45+1))*V47</f>
        <v>8.7086545762548088E-4</v>
      </c>
      <c r="AP45" s="28">
        <v>6</v>
      </c>
      <c r="AQ45" s="213">
        <f>((($W$39)^Q45)*((1-($W$39))^($U$34-Q45))*HLOOKUP($U$34,$AV$24:$BF$34,Q45+1))*V48</f>
        <v>2.6019789265185178E-4</v>
      </c>
      <c r="AR45" s="28">
        <v>6</v>
      </c>
      <c r="AS45" s="213">
        <f>((($W$39)^Q45)*((1-($W$39))^($U$35-Q45))*HLOOKUP($U$35,$AV$24:$BF$34,Q45+1))*V49</f>
        <v>3.2286762949344749E-5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5.1476006844890601E-5</v>
      </c>
      <c r="BQ45" s="31">
        <f t="shared" si="30"/>
        <v>9</v>
      </c>
      <c r="BR45" s="31">
        <v>6</v>
      </c>
      <c r="BS45" s="107">
        <f t="shared" si="31"/>
        <v>8.9620675995397509E-8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4.4292836789744435E-3</v>
      </c>
      <c r="I46" s="138">
        <v>7</v>
      </c>
      <c r="J46" s="86">
        <f t="shared" si="28"/>
        <v>4.1348168597238273E-4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5.7023057541285477E-2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5.8585659283645453E-2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1.378209985888878E-4</v>
      </c>
      <c r="AN46" s="28">
        <v>7</v>
      </c>
      <c r="AO46" s="213">
        <f>((($W$39)^Q46)*((1-($W$39))^($U$33-Q46))*HLOOKUP($U$33,$AV$24:$BF$34,Q46+1))*V47</f>
        <v>1.8107934219845613E-4</v>
      </c>
      <c r="AP46" s="28">
        <v>7</v>
      </c>
      <c r="AQ46" s="213">
        <f>((($W$39)^Q46)*((1-($W$39))^($U$34-Q46))*HLOOKUP($U$34,$AV$24:$BF$34,Q46+1))*V48</f>
        <v>8.1154550620179323E-5</v>
      </c>
      <c r="AR46" s="28">
        <v>7</v>
      </c>
      <c r="AS46" s="213">
        <f>((($W$39)^Q46)*((1-($W$39))^($U$35-Q46))*HLOOKUP($U$35,$AV$24:$BF$34,Q46+1))*V49</f>
        <v>1.3426794564859473E-5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1.1388947084586681E-5</v>
      </c>
      <c r="BQ46" s="31">
        <f t="shared" si="30"/>
        <v>9</v>
      </c>
      <c r="BR46" s="31">
        <v>7</v>
      </c>
      <c r="BS46" s="107">
        <f t="shared" si="31"/>
        <v>2.5304593577875251E-8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9.7996873756089355E-4</v>
      </c>
      <c r="I47" s="138">
        <v>8</v>
      </c>
      <c r="J47" s="86">
        <f t="shared" si="28"/>
        <v>3.4902168843737798E-5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1.5793973043258035E-2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1.6624067722645561E-2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1.647270074752814E-5</v>
      </c>
      <c r="AP47" s="28">
        <v>8</v>
      </c>
      <c r="AQ47" s="213">
        <f>((($W$39)^Q47)*((1-($W$39))^($U$34-Q47))*HLOOKUP($U$34,$AV$24:$BF$34,Q47+1))*V48</f>
        <v>1.4765180947048261E-5</v>
      </c>
      <c r="AR47" s="28">
        <v>8</v>
      </c>
      <c r="AS47" s="213">
        <f>((($W$39)^Q47)*((1-($W$39))^($U$35-Q47))*HLOOKUP($U$35,$AV$24:$BF$34,Q47+1))*V49</f>
        <v>3.6642871491613992E-6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1.894825346980378E-6</v>
      </c>
      <c r="BQ47" s="31">
        <f>BM12+1</f>
        <v>9</v>
      </c>
      <c r="BR47" s="31">
        <v>8</v>
      </c>
      <c r="BS47" s="107">
        <f t="shared" si="31"/>
        <v>5.5985826197394439E-9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1.6304137593998937E-4</v>
      </c>
      <c r="I48" s="138">
        <v>9</v>
      </c>
      <c r="J48" s="86">
        <f t="shared" si="28"/>
        <v>1.7865407094912941E-6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2.5923193593703252E-3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2.8605609369467344E-3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1.193939036254763E-6</v>
      </c>
      <c r="AR48" s="28">
        <v>9</v>
      </c>
      <c r="AS48" s="213">
        <f>((($W$39)^Q48)*((1-($W$39))^($U$35-Q48))*HLOOKUP($U$35,$AV$24:$BF$34,Q48+1))*V49</f>
        <v>5.9260167323653107E-7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2.2705027738272039E-7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1.9536676396602124E-5</v>
      </c>
      <c r="I49" s="94">
        <v>10</v>
      </c>
      <c r="J49" s="89">
        <f t="shared" si="28"/>
        <v>4.3126951565844863E-8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1.9146884948785281E-4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2.4530950395973417E-4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4.3126951565844863E-8</v>
      </c>
      <c r="BI49" s="31">
        <f>BQ14+1</f>
        <v>6</v>
      </c>
      <c r="BJ49" s="31">
        <v>0</v>
      </c>
      <c r="BK49" s="107">
        <f>$H$31*H39</f>
        <v>2.593842276524096E-4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5"/>
      <c r="J50" s="295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5"/>
      <c r="X50" s="158"/>
      <c r="Y50" s="158"/>
      <c r="BI50" s="31">
        <f>BI45+1</f>
        <v>6</v>
      </c>
      <c r="BJ50" s="31">
        <v>7</v>
      </c>
      <c r="BK50" s="107">
        <f>$H$31*H46</f>
        <v>1.1840654105751626E-5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2.6197172493127147E-6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4.3585299054004626E-7</v>
      </c>
    </row>
    <row r="53" spans="1:63" x14ac:dyDescent="0.25">
      <c r="BI53" s="31">
        <f>BI48+1</f>
        <v>6</v>
      </c>
      <c r="BJ53" s="31">
        <v>10</v>
      </c>
      <c r="BK53" s="107">
        <f>$H$31*H49</f>
        <v>5.2226735597510719E-8</v>
      </c>
    </row>
    <row r="54" spans="1:63" x14ac:dyDescent="0.25">
      <c r="BI54" s="31">
        <f>BI51+1</f>
        <v>7</v>
      </c>
      <c r="BJ54" s="31">
        <v>8</v>
      </c>
      <c r="BK54" s="107">
        <f>$H$32*H47</f>
        <v>4.5892844600838205E-7</v>
      </c>
    </row>
    <row r="55" spans="1:63" x14ac:dyDescent="0.25">
      <c r="BI55" s="31">
        <f>BI52+1</f>
        <v>7</v>
      </c>
      <c r="BJ55" s="31">
        <v>9</v>
      </c>
      <c r="BK55" s="107">
        <f>$H$32*H48</f>
        <v>7.6353788062099554E-8</v>
      </c>
    </row>
    <row r="56" spans="1:63" x14ac:dyDescent="0.25">
      <c r="BI56" s="31">
        <f>BI53+1</f>
        <v>7</v>
      </c>
      <c r="BJ56" s="31">
        <v>10</v>
      </c>
      <c r="BK56" s="107">
        <f>$H$32*H49</f>
        <v>9.1492066993658778E-9</v>
      </c>
    </row>
    <row r="57" spans="1:63" x14ac:dyDescent="0.25">
      <c r="BI57" s="31">
        <f>BI55+1</f>
        <v>8</v>
      </c>
      <c r="BJ57" s="31">
        <v>9</v>
      </c>
      <c r="BK57" s="107">
        <f>$H$33*H48</f>
        <v>9.9102757143475396E-9</v>
      </c>
    </row>
    <row r="58" spans="1:63" x14ac:dyDescent="0.25">
      <c r="BI58" s="31">
        <f>BI56+1</f>
        <v>8</v>
      </c>
      <c r="BJ58" s="31">
        <v>10</v>
      </c>
      <c r="BK58" s="107">
        <f>$H$33*H49</f>
        <v>1.1875135898238265E-9</v>
      </c>
    </row>
    <row r="59" spans="1:63" x14ac:dyDescent="0.25">
      <c r="BI59" s="31">
        <f>BI58+1</f>
        <v>9</v>
      </c>
      <c r="BJ59" s="31">
        <v>10</v>
      </c>
      <c r="BK59" s="107">
        <f>$H$34*H49</f>
        <v>1.1161345533708308E-10</v>
      </c>
    </row>
  </sheetData>
  <mergeCells count="2">
    <mergeCell ref="Q1:R1"/>
    <mergeCell ref="B3:C3"/>
  </mergeCells>
  <conditionalFormatting sqref="H49">
    <cfRule type="cellIs" dxfId="139" priority="1" operator="greaterThan">
      <formula>0.15</formula>
    </cfRule>
  </conditionalFormatting>
  <conditionalFormatting sqref="H39:H49">
    <cfRule type="cellIs" dxfId="138" priority="2" operator="greaterThan">
      <formula>0.15</formula>
    </cfRule>
  </conditionalFormatting>
  <conditionalFormatting sqref="H49">
    <cfRule type="cellIs" dxfId="137" priority="3" operator="greaterThan">
      <formula>0.15</formula>
    </cfRule>
  </conditionalFormatting>
  <conditionalFormatting sqref="H39:H49">
    <cfRule type="cellIs" dxfId="136" priority="4" operator="greaterThan">
      <formula>0.15</formula>
    </cfRule>
  </conditionalFormatting>
  <conditionalFormatting sqref="H35">
    <cfRule type="cellIs" dxfId="135" priority="5" operator="greaterThan">
      <formula>0.15</formula>
    </cfRule>
  </conditionalFormatting>
  <conditionalFormatting sqref="H25:H35">
    <cfRule type="cellIs" dxfId="134" priority="6" operator="greaterThan">
      <formula>0.15</formula>
    </cfRule>
  </conditionalFormatting>
  <conditionalFormatting sqref="H35">
    <cfRule type="cellIs" dxfId="133" priority="7" operator="greaterThan">
      <formula>0.15</formula>
    </cfRule>
  </conditionalFormatting>
  <conditionalFormatting sqref="H25:H35">
    <cfRule type="cellIs" dxfId="132" priority="8" operator="greaterThan">
      <formula>0.15</formula>
    </cfRule>
  </conditionalFormatting>
  <conditionalFormatting sqref="V49">
    <cfRule type="cellIs" dxfId="131" priority="9" operator="greaterThan">
      <formula>0.15</formula>
    </cfRule>
  </conditionalFormatting>
  <conditionalFormatting sqref="V35">
    <cfRule type="cellIs" dxfId="130" priority="10" operator="greaterThan">
      <formula>0.15</formula>
    </cfRule>
  </conditionalFormatting>
  <conditionalFormatting sqref="V25:V35 V39:V49">
    <cfRule type="cellIs" dxfId="129" priority="11" operator="greaterThan">
      <formula>0.15</formula>
    </cfRule>
  </conditionalFormatting>
  <conditionalFormatting sqref="V49">
    <cfRule type="cellIs" dxfId="128" priority="12" operator="greaterThan">
      <formula>0.15</formula>
    </cfRule>
  </conditionalFormatting>
  <conditionalFormatting sqref="V35">
    <cfRule type="cellIs" dxfId="127" priority="13" operator="greaterThan">
      <formula>0.15</formula>
    </cfRule>
  </conditionalFormatting>
  <conditionalFormatting sqref="V25:V35 V39:V49">
    <cfRule type="cellIs" dxfId="12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782A-6194-46F1-B8C6-DE0FD7BF32F2}">
  <sheetPr>
    <tabColor theme="9" tint="-0.249977111117893"/>
  </sheetPr>
  <dimension ref="A1:BS59"/>
  <sheetViews>
    <sheetView tabSelected="1" zoomScale="90" zoomScaleNormal="90" workbookViewId="0">
      <selection activeCell="C10" sqref="C10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301" t="s">
        <v>195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2"/>
      <c r="R1" s="30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301" t="s">
        <v>143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2.9750000000000001</v>
      </c>
      <c r="S2" s="198">
        <f>SUM(S4:S15)</f>
        <v>3.5750000000000002</v>
      </c>
      <c r="T2" s="256">
        <f t="shared" ref="T2:U2" si="0">SUM(T4:T15)</f>
        <v>0.8804644140614446</v>
      </c>
      <c r="U2" s="256">
        <f t="shared" si="0"/>
        <v>0.63354511740387487</v>
      </c>
      <c r="V2" s="158"/>
      <c r="W2" s="158"/>
      <c r="X2" s="290">
        <f t="shared" ref="X2:Y2" si="1">SUM(X4:X15)</f>
        <v>0.51803390459077514</v>
      </c>
      <c r="Y2" s="291">
        <f t="shared" si="1"/>
        <v>0.4037271254965008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300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3" t="s">
        <v>5</v>
      </c>
      <c r="C3" s="303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162</v>
      </c>
      <c r="F4" s="279" t="s">
        <v>162</v>
      </c>
      <c r="G4" s="279" t="s">
        <v>6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0.54075630252100848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0.18025210084033616</v>
      </c>
      <c r="V4" s="255">
        <f>$G$17</f>
        <v>0.56999999999999995</v>
      </c>
      <c r="W4" s="253">
        <f>$H$17</f>
        <v>0.65</v>
      </c>
      <c r="X4" s="288">
        <f>V4*T4</f>
        <v>0</v>
      </c>
      <c r="Y4" s="289">
        <f>W4*U4</f>
        <v>0.11716386554621851</v>
      </c>
      <c r="Z4" s="227"/>
      <c r="AA4" s="281">
        <f t="shared" ref="AA4:AA14" si="6">X5</f>
        <v>5.9933823529411762E-2</v>
      </c>
      <c r="AB4" s="282">
        <f t="shared" ref="AB4:AB15" si="7">(1-AA4)</f>
        <v>0.94006617647058821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0.11716386554621851</v>
      </c>
      <c r="AH4" s="284">
        <f t="shared" ref="AH4:AH15" si="8">(1-AG4)</f>
        <v>0.88283613445378151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8.2432380927035167E-3</v>
      </c>
      <c r="BM4" s="31">
        <v>0</v>
      </c>
      <c r="BN4" s="31">
        <v>0</v>
      </c>
      <c r="BO4" s="107">
        <f>H25*H39</f>
        <v>3.5119908338155795E-3</v>
      </c>
      <c r="BQ4" s="31">
        <v>1</v>
      </c>
      <c r="BR4" s="31">
        <v>0</v>
      </c>
      <c r="BS4" s="107">
        <f>$H$26*H39</f>
        <v>1.3495828842752175E-2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37</v>
      </c>
      <c r="F5" s="279" t="s">
        <v>162</v>
      </c>
      <c r="G5" s="279" t="s">
        <v>144</v>
      </c>
      <c r="H5" s="279" t="s">
        <v>37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2</v>
      </c>
      <c r="Q5" s="251">
        <f>COUNTIF(E10:I11,"IMP")</f>
        <v>0</v>
      </c>
      <c r="R5" s="258">
        <f t="shared" si="2"/>
        <v>0.35</v>
      </c>
      <c r="S5" s="258">
        <f t="shared" si="3"/>
        <v>0.42058823529411765</v>
      </c>
      <c r="T5" s="263">
        <f t="shared" si="4"/>
        <v>0.10514705882352941</v>
      </c>
      <c r="U5" s="265">
        <f t="shared" si="5"/>
        <v>0</v>
      </c>
      <c r="V5" s="255">
        <f>$G$17</f>
        <v>0.56999999999999995</v>
      </c>
      <c r="W5" s="253">
        <f>$H$17</f>
        <v>0.65</v>
      </c>
      <c r="X5" s="288">
        <f t="shared" ref="X5:Y15" si="11">V5*T5</f>
        <v>5.9933823529411762E-2</v>
      </c>
      <c r="Y5" s="289">
        <f t="shared" si="11"/>
        <v>0</v>
      </c>
      <c r="Z5" s="236"/>
      <c r="AA5" s="281">
        <f t="shared" si="6"/>
        <v>1.8718487394957985E-2</v>
      </c>
      <c r="AB5" s="282">
        <f t="shared" si="7"/>
        <v>0.98128151260504204</v>
      </c>
      <c r="AC5" s="282">
        <f>AA5*PRODUCT(AB3:AB4)*PRODUCT(AB6:AB17)</f>
        <v>1.1038920124784446E-2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5.4751227370474333E-3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8.6851863225650069E-3</v>
      </c>
      <c r="BM5" s="31">
        <v>1</v>
      </c>
      <c r="BN5" s="31">
        <v>1</v>
      </c>
      <c r="BO5" s="107">
        <f>$H$26*H40</f>
        <v>3.1676999079270213E-2</v>
      </c>
      <c r="BQ5" s="31">
        <f>BQ4+1</f>
        <v>2</v>
      </c>
      <c r="BR5" s="31">
        <v>0</v>
      </c>
      <c r="BS5" s="107">
        <f>$H$27*H39</f>
        <v>2.3870144131155895E-2</v>
      </c>
    </row>
    <row r="6" spans="1:71" ht="15.75" x14ac:dyDescent="0.25">
      <c r="A6" s="2" t="s">
        <v>35</v>
      </c>
      <c r="B6" s="269">
        <f>10.25*1.2</f>
        <v>12.299999999999999</v>
      </c>
      <c r="C6" s="270">
        <v>3.25</v>
      </c>
      <c r="E6" s="248"/>
      <c r="F6" s="279" t="s">
        <v>144</v>
      </c>
      <c r="G6" s="279" t="s">
        <v>162</v>
      </c>
      <c r="H6" s="279" t="s">
        <v>6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2</v>
      </c>
      <c r="R6" s="258">
        <f t="shared" si="2"/>
        <v>0.45</v>
      </c>
      <c r="S6" s="258">
        <f t="shared" si="3"/>
        <v>0.54075630252100848</v>
      </c>
      <c r="T6" s="263">
        <f t="shared" si="4"/>
        <v>4.159663865546219E-2</v>
      </c>
      <c r="U6" s="265">
        <f t="shared" si="5"/>
        <v>4.159663865546219E-2</v>
      </c>
      <c r="V6" s="255">
        <f>$G$18</f>
        <v>0.45</v>
      </c>
      <c r="W6" s="253">
        <f>$H$18</f>
        <v>0.55000000000000004</v>
      </c>
      <c r="X6" s="288">
        <f t="shared" si="11"/>
        <v>1.8718487394957985E-2</v>
      </c>
      <c r="Y6" s="289">
        <f t="shared" si="11"/>
        <v>2.2878151260504208E-2</v>
      </c>
      <c r="Z6" s="236"/>
      <c r="AA6" s="281">
        <f t="shared" si="6"/>
        <v>1.3518907563025212E-3</v>
      </c>
      <c r="AB6" s="282">
        <f t="shared" si="7"/>
        <v>0.99864810924369751</v>
      </c>
      <c r="AC6" s="282">
        <f>AA6*PRODUCT(AB3:AB5)*PRODUCT(AB7:AB17)</f>
        <v>7.8339098730359166E-4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3.8748854634080985E-4</v>
      </c>
      <c r="AE6" s="220"/>
      <c r="AF6" s="234"/>
      <c r="AG6" s="283">
        <f t="shared" si="12"/>
        <v>2.2878151260504208E-2</v>
      </c>
      <c r="AH6" s="284">
        <f t="shared" si="8"/>
        <v>0.97712184873949581</v>
      </c>
      <c r="AI6" s="284">
        <f>AG6*PRODUCT(AH3:AH5)*PRODUCT(AH7:AH17)</f>
        <v>1.5337903237156916E-2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4.4105262240701944E-3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6.0524387362478806E-3</v>
      </c>
      <c r="BM6" s="31">
        <f>BI14+1</f>
        <v>2</v>
      </c>
      <c r="BN6" s="31">
        <v>2</v>
      </c>
      <c r="BO6" s="107">
        <f>$H$27*H41</f>
        <v>5.9031090664986935E-2</v>
      </c>
      <c r="BQ6" s="31">
        <f>BM5+1</f>
        <v>2</v>
      </c>
      <c r="BR6" s="31">
        <v>1</v>
      </c>
      <c r="BS6" s="107">
        <f>$H$27*H40</f>
        <v>5.6027276462590037E-2</v>
      </c>
    </row>
    <row r="7" spans="1:71" ht="15.75" x14ac:dyDescent="0.25">
      <c r="A7" s="5" t="s">
        <v>40</v>
      </c>
      <c r="B7" s="269">
        <v>10.25</v>
      </c>
      <c r="C7" s="270">
        <v>21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2</v>
      </c>
      <c r="Q7" s="251">
        <f>COUNTIF(E4:I4,"IMP")+COUNTIF(F5:H5,"IMP")</f>
        <v>1</v>
      </c>
      <c r="R7" s="258">
        <f t="shared" si="2"/>
        <v>0.02</v>
      </c>
      <c r="S7" s="258">
        <f t="shared" si="3"/>
        <v>2.4033613445378153E-2</v>
      </c>
      <c r="T7" s="263">
        <f t="shared" si="4"/>
        <v>3.0042016806722692E-3</v>
      </c>
      <c r="U7" s="265">
        <f t="shared" si="5"/>
        <v>1.5021008403361346E-3</v>
      </c>
      <c r="V7" s="255">
        <f>$G$18</f>
        <v>0.45</v>
      </c>
      <c r="W7" s="253">
        <f>$H$18</f>
        <v>0.55000000000000004</v>
      </c>
      <c r="X7" s="288">
        <f t="shared" si="11"/>
        <v>1.3518907563025212E-3</v>
      </c>
      <c r="Y7" s="289">
        <f t="shared" si="11"/>
        <v>8.2615546218487411E-4</v>
      </c>
      <c r="Z7" s="236"/>
      <c r="AA7" s="281">
        <f t="shared" si="6"/>
        <v>2.1404936974789915E-2</v>
      </c>
      <c r="AB7" s="282">
        <f t="shared" si="7"/>
        <v>0.97859506302521004</v>
      </c>
      <c r="AC7" s="282">
        <f>AA7*PRODUCT(AB3:AB6)*PRODUCT(AB8:AB17)</f>
        <v>1.2657862956414596E-2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5.9840894478143331E-3</v>
      </c>
      <c r="AE7" s="220"/>
      <c r="AF7" s="234"/>
      <c r="AG7" s="283">
        <f t="shared" si="12"/>
        <v>8.2615546218487411E-4</v>
      </c>
      <c r="AH7" s="284">
        <f t="shared" si="8"/>
        <v>0.9991738445378151</v>
      </c>
      <c r="AI7" s="284">
        <f>AG7*PRODUCT(AH3:AH6)*PRODUCT(AH8:AH17)</f>
        <v>5.4164471821311927E-4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1.5530604640077186E-4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3.5136066851391042E-3</v>
      </c>
      <c r="BM7" s="31">
        <f>BI23+1</f>
        <v>3</v>
      </c>
      <c r="BN7" s="31">
        <v>3</v>
      </c>
      <c r="BO7" s="107">
        <f>$H$28*H42</f>
        <v>4.4990610522932184E-2</v>
      </c>
      <c r="BQ7" s="31">
        <f>BQ5+1</f>
        <v>3</v>
      </c>
      <c r="BR7" s="31">
        <v>0</v>
      </c>
      <c r="BS7" s="107">
        <f>$H$28*H39</f>
        <v>2.6106271975626545E-2</v>
      </c>
    </row>
    <row r="8" spans="1:71" ht="15.75" x14ac:dyDescent="0.25">
      <c r="A8" s="5" t="s">
        <v>44</v>
      </c>
      <c r="B8" s="269">
        <v>12.25</v>
      </c>
      <c r="C8" s="270">
        <v>20.25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1</v>
      </c>
      <c r="Q8" s="251">
        <f>COUNTIF(E10:I11,"RAP")</f>
        <v>4</v>
      </c>
      <c r="R8" s="258">
        <f t="shared" si="2"/>
        <v>0.5</v>
      </c>
      <c r="S8" s="258">
        <f t="shared" si="3"/>
        <v>0.60084033613445376</v>
      </c>
      <c r="T8" s="263">
        <f t="shared" si="4"/>
        <v>3.755252100840336E-2</v>
      </c>
      <c r="U8" s="265">
        <f t="shared" si="5"/>
        <v>0.15021008403361344</v>
      </c>
      <c r="V8" s="255">
        <f>$G$17</f>
        <v>0.56999999999999995</v>
      </c>
      <c r="W8" s="253">
        <f>$H$17</f>
        <v>0.65</v>
      </c>
      <c r="X8" s="288">
        <f t="shared" si="11"/>
        <v>2.1404936974789915E-2</v>
      </c>
      <c r="Y8" s="289">
        <f t="shared" si="11"/>
        <v>9.763655462184874E-2</v>
      </c>
      <c r="Z8" s="236"/>
      <c r="AA8" s="281">
        <f t="shared" si="6"/>
        <v>2.1404936974789915E-2</v>
      </c>
      <c r="AB8" s="282">
        <f t="shared" si="7"/>
        <v>0.97859506302521004</v>
      </c>
      <c r="AC8" s="282">
        <f>AA8*PRODUCT(AB3:AB7)*PRODUCT(AB9:AB17)</f>
        <v>1.2657862956414599E-2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5.7072223665723719E-3</v>
      </c>
      <c r="AE8" s="220"/>
      <c r="AF8" s="234"/>
      <c r="AG8" s="283">
        <f t="shared" si="12"/>
        <v>9.763655462184874E-2</v>
      </c>
      <c r="AH8" s="284">
        <f t="shared" si="8"/>
        <v>0.90236344537815127</v>
      </c>
      <c r="AI8" s="284">
        <f>AG8*PRODUCT(AH3:AH7)*PRODUCT(AH9:AH17)</f>
        <v>7.0880168750725628E-2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1.2654204890103059E-2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1.773483842055192E-3</v>
      </c>
      <c r="BM8" s="31">
        <f>BI31+1</f>
        <v>4</v>
      </c>
      <c r="BN8" s="31">
        <v>4</v>
      </c>
      <c r="BO8" s="107">
        <f>$H$29*H43</f>
        <v>2.012018976564391E-2</v>
      </c>
      <c r="BQ8" s="31">
        <f>BQ6+1</f>
        <v>3</v>
      </c>
      <c r="BR8" s="31">
        <v>1</v>
      </c>
      <c r="BS8" s="107">
        <f>$H$28*H40</f>
        <v>6.1275847743076303E-2</v>
      </c>
    </row>
    <row r="9" spans="1:71" ht="15.75" x14ac:dyDescent="0.25">
      <c r="A9" s="5" t="s">
        <v>47</v>
      </c>
      <c r="B9" s="269">
        <v>15.75</v>
      </c>
      <c r="C9" s="270">
        <v>21</v>
      </c>
      <c r="E9" s="280" t="s">
        <v>37</v>
      </c>
      <c r="F9" s="280" t="s">
        <v>162</v>
      </c>
      <c r="G9" s="280" t="s">
        <v>162</v>
      </c>
      <c r="H9" s="280" t="s">
        <v>162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1</v>
      </c>
      <c r="Q9" s="251">
        <f>COUNTIF(E10:I11,"RAP")</f>
        <v>4</v>
      </c>
      <c r="R9" s="258">
        <f t="shared" si="2"/>
        <v>0.5</v>
      </c>
      <c r="S9" s="258">
        <f t="shared" si="3"/>
        <v>0.60084033613445376</v>
      </c>
      <c r="T9" s="263">
        <f t="shared" si="4"/>
        <v>3.755252100840336E-2</v>
      </c>
      <c r="U9" s="265">
        <f t="shared" si="5"/>
        <v>0.15021008403361344</v>
      </c>
      <c r="V9" s="255">
        <f>$G$17</f>
        <v>0.56999999999999995</v>
      </c>
      <c r="W9" s="253">
        <f>$H$17</f>
        <v>0.65</v>
      </c>
      <c r="X9" s="288">
        <f t="shared" si="11"/>
        <v>2.1404936974789915E-2</v>
      </c>
      <c r="Y9" s="289">
        <f t="shared" si="11"/>
        <v>9.763655462184874E-2</v>
      </c>
      <c r="Z9" s="236"/>
      <c r="AA9" s="281">
        <f t="shared" si="6"/>
        <v>6.4160474479180732E-2</v>
      </c>
      <c r="AB9" s="282">
        <f t="shared" si="7"/>
        <v>0.93583952552081928</v>
      </c>
      <c r="AC9" s="282">
        <f>AA9*PRODUCT(AB3:AB8)*PRODUCT(AB10:AB17)</f>
        <v>3.9674881612626924E-2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1.5168671124774312E-2</v>
      </c>
      <c r="AE9" s="220"/>
      <c r="AF9" s="234"/>
      <c r="AG9" s="283">
        <f t="shared" si="12"/>
        <v>9.763655462184874E-2</v>
      </c>
      <c r="AH9" s="284">
        <f t="shared" si="8"/>
        <v>0.90236344537815127</v>
      </c>
      <c r="AI9" s="284">
        <f>AG9*PRODUCT(AH3:AH8)*PRODUCT(AH10:AH17)</f>
        <v>7.0880168750725614E-2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4.9849054484175388E-3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7.0260581747918257E-4</v>
      </c>
      <c r="BM9" s="31">
        <f>BI38+1</f>
        <v>5</v>
      </c>
      <c r="BN9" s="31">
        <v>5</v>
      </c>
      <c r="BO9" s="107">
        <f>$H$30*H44</f>
        <v>5.959058524196959E-3</v>
      </c>
      <c r="BQ9" s="31">
        <f>BM6+1</f>
        <v>3</v>
      </c>
      <c r="BR9" s="31">
        <v>2</v>
      </c>
      <c r="BS9" s="107">
        <f>$H$28*H41</f>
        <v>6.4561055829845643E-2</v>
      </c>
    </row>
    <row r="10" spans="1:71" ht="15.75" x14ac:dyDescent="0.25">
      <c r="A10" s="6" t="s">
        <v>50</v>
      </c>
      <c r="B10" s="269">
        <v>13.75</v>
      </c>
      <c r="C10" s="270">
        <v>15.5</v>
      </c>
      <c r="E10" s="280" t="s">
        <v>1</v>
      </c>
      <c r="F10" s="280" t="s">
        <v>196</v>
      </c>
      <c r="G10" s="280" t="s">
        <v>162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0.18025210084033613</v>
      </c>
      <c r="T10" s="263">
        <f>S10*G13</f>
        <v>0.14257883217595718</v>
      </c>
      <c r="U10" s="265">
        <f>S10*G14</f>
        <v>3.7673268664378937E-2</v>
      </c>
      <c r="V10" s="255">
        <f>$G$18</f>
        <v>0.45</v>
      </c>
      <c r="W10" s="253">
        <f>$H$18</f>
        <v>0.55000000000000004</v>
      </c>
      <c r="X10" s="288">
        <f t="shared" si="11"/>
        <v>6.4160474479180732E-2</v>
      </c>
      <c r="Y10" s="289">
        <f t="shared" si="11"/>
        <v>2.0720297765408416E-2</v>
      </c>
      <c r="Z10" s="236"/>
      <c r="AA10" s="281">
        <f t="shared" si="6"/>
        <v>0.16396565700235077</v>
      </c>
      <c r="AB10" s="282">
        <f t="shared" si="7"/>
        <v>0.83603434299764923</v>
      </c>
      <c r="AC10" s="282">
        <f>AA10*PRODUCT(AB3:AB9)*PRODUCT(AB11:AB17)</f>
        <v>0.11349539272613308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2.1132976353646485E-2</v>
      </c>
      <c r="AE10" s="220"/>
      <c r="AF10" s="234"/>
      <c r="AG10" s="283">
        <f t="shared" si="12"/>
        <v>2.0720297765408416E-2</v>
      </c>
      <c r="AH10" s="284">
        <f t="shared" si="8"/>
        <v>0.9792797022345916</v>
      </c>
      <c r="AI10" s="284">
        <f>AG10*PRODUCT(AH3:AH9)*PRODUCT(AH11:AH17)</f>
        <v>1.3860631908038447E-2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6.815261820894388E-4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1.9931347223366879E-4</v>
      </c>
      <c r="BM10" s="31">
        <f>BI44+1</f>
        <v>6</v>
      </c>
      <c r="BN10" s="31">
        <v>6</v>
      </c>
      <c r="BO10" s="107">
        <f>$H$31*H45</f>
        <v>1.1049534225939183E-3</v>
      </c>
      <c r="BQ10" s="31">
        <f>BQ7+1</f>
        <v>4</v>
      </c>
      <c r="BR10" s="31">
        <v>0</v>
      </c>
      <c r="BS10" s="107">
        <f>$H$29*H39</f>
        <v>2.0110936813285896E-2</v>
      </c>
    </row>
    <row r="11" spans="1:71" ht="15.75" x14ac:dyDescent="0.25">
      <c r="A11" s="6" t="s">
        <v>53</v>
      </c>
      <c r="B11" s="269">
        <v>16</v>
      </c>
      <c r="C11" s="270">
        <v>5.75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2</v>
      </c>
      <c r="Q11" s="251">
        <f>COUNTIF(E9:I11,"CAB")</f>
        <v>0</v>
      </c>
      <c r="R11" s="258">
        <f t="shared" si="2"/>
        <v>0.23</v>
      </c>
      <c r="S11" s="258">
        <f t="shared" si="3"/>
        <v>0.27638655462184875</v>
      </c>
      <c r="T11" s="263">
        <f>IF(P11&gt;0,S11*G13,0)</f>
        <v>0.21862087600313437</v>
      </c>
      <c r="U11" s="265">
        <f>IF(Q11&gt;0,S11*G14,0)</f>
        <v>0</v>
      </c>
      <c r="V11" s="255">
        <f>IF(P11-Q11&gt;2,0.9,IF(P11-Q11&gt;1,0.75,IF(P11-Q11&gt;0,0.5,0.15)))</f>
        <v>0.75</v>
      </c>
      <c r="W11" s="253">
        <f>IF(Q11-P11&gt;2,0.9,IF(Q11-P11&gt;1,0.75,IF(Q11-P11&gt;0,0.5,0.15)))</f>
        <v>0.15</v>
      </c>
      <c r="X11" s="288">
        <f t="shared" si="11"/>
        <v>0.16396565700235077</v>
      </c>
      <c r="Y11" s="289">
        <f t="shared" si="11"/>
        <v>0</v>
      </c>
      <c r="Z11" s="236"/>
      <c r="AA11" s="281">
        <f t="shared" si="6"/>
        <v>2.7037815126050423E-3</v>
      </c>
      <c r="AB11" s="282">
        <f t="shared" si="7"/>
        <v>0.99729621848739491</v>
      </c>
      <c r="AC11" s="282">
        <f>AA11*PRODUCT(AB3:AB10)*PRODUCT(AB12:AB17)</f>
        <v>1.5689058351306148E-3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2.8787864293520918E-4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3.8548271037255313E-5</v>
      </c>
      <c r="BM11" s="31">
        <f>BI50+1</f>
        <v>7</v>
      </c>
      <c r="BN11" s="31">
        <v>7</v>
      </c>
      <c r="BO11" s="107">
        <f>$H$32*H46</f>
        <v>1.1868874633140569E-4</v>
      </c>
      <c r="BQ11" s="31">
        <f>BQ8+1</f>
        <v>4</v>
      </c>
      <c r="BR11" s="31">
        <v>1</v>
      </c>
      <c r="BS11" s="107">
        <f>$H$29*H40</f>
        <v>4.7203779355859538E-2</v>
      </c>
    </row>
    <row r="12" spans="1:71" ht="15.75" x14ac:dyDescent="0.25">
      <c r="A12" s="6" t="s">
        <v>57</v>
      </c>
      <c r="B12" s="269">
        <v>13.25</v>
      </c>
      <c r="C12" s="270">
        <v>15.25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0</v>
      </c>
      <c r="R12" s="258">
        <f t="shared" si="2"/>
        <v>2.5000000000000001E-2</v>
      </c>
      <c r="S12" s="258">
        <f t="shared" si="3"/>
        <v>3.004201680672269E-2</v>
      </c>
      <c r="T12" s="263">
        <f>IF(S12=0,0,IF(Q12=0,S12*P12/L12,S12*P12/(L12*2)))</f>
        <v>6.0084033613445383E-3</v>
      </c>
      <c r="U12" s="265">
        <f>IF(S12=0,0,IF(P12=0,S12*Q12/L12,S12*Q12/(L12*2)))</f>
        <v>0</v>
      </c>
      <c r="V12" s="255">
        <f>$G$18</f>
        <v>0.45</v>
      </c>
      <c r="W12" s="253">
        <f>$H$18</f>
        <v>0.55000000000000004</v>
      </c>
      <c r="X12" s="288">
        <f t="shared" si="11"/>
        <v>2.7037815126050423E-3</v>
      </c>
      <c r="Y12" s="289">
        <f t="shared" si="11"/>
        <v>0</v>
      </c>
      <c r="Z12" s="236"/>
      <c r="AA12" s="281">
        <f t="shared" si="6"/>
        <v>0.12329243697478989</v>
      </c>
      <c r="AB12" s="282">
        <f t="shared" si="7"/>
        <v>0.87670756302521013</v>
      </c>
      <c r="AC12" s="282">
        <f>AA12*PRODUCT(AB3:AB11)*PRODUCT(AB13:AB17)</f>
        <v>8.1382521227442786E-2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3.487962940081463E-3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4.9100310296378923E-6</v>
      </c>
      <c r="BM12" s="31">
        <f>BI54+1</f>
        <v>8</v>
      </c>
      <c r="BN12" s="31">
        <v>8</v>
      </c>
      <c r="BO12" s="107">
        <f>$H$33*H47</f>
        <v>6.9266709898322893E-6</v>
      </c>
      <c r="BQ12" s="31">
        <f>BQ9+1</f>
        <v>4</v>
      </c>
      <c r="BR12" s="31">
        <v>2</v>
      </c>
      <c r="BS12" s="107">
        <f>$H$29*H41</f>
        <v>4.9734535655081326E-2</v>
      </c>
    </row>
    <row r="13" spans="1:71" ht="15.75" x14ac:dyDescent="0.25">
      <c r="A13" s="7" t="s">
        <v>60</v>
      </c>
      <c r="B13" s="269">
        <v>7.5</v>
      </c>
      <c r="C13" s="270">
        <v>13.75</v>
      </c>
      <c r="E13" s="247"/>
      <c r="F13" s="247" t="s">
        <v>163</v>
      </c>
      <c r="G13" s="254">
        <f>B22</f>
        <v>0.79099678456591638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2</v>
      </c>
      <c r="Q13" s="251">
        <f>COUNTIF(E10:I11,"CAB")</f>
        <v>0</v>
      </c>
      <c r="R13" s="258">
        <f t="shared" si="2"/>
        <v>0.18</v>
      </c>
      <c r="S13" s="258">
        <f t="shared" si="3"/>
        <v>0.21630252100840333</v>
      </c>
      <c r="T13" s="263">
        <f>IF((Q13+P13)=0,0,S13*P13/(Q13+P13))</f>
        <v>0.21630252100840333</v>
      </c>
      <c r="U13" s="265">
        <f>IF(P13+Q13=0,0,S13*Q13/(Q13+P13))</f>
        <v>0</v>
      </c>
      <c r="V13" s="255">
        <f>$G$17</f>
        <v>0.56999999999999995</v>
      </c>
      <c r="W13" s="253">
        <f>$H$17</f>
        <v>0.65</v>
      </c>
      <c r="X13" s="288">
        <f t="shared" si="11"/>
        <v>0.12329243697478989</v>
      </c>
      <c r="Y13" s="289">
        <f t="shared" si="11"/>
        <v>0</v>
      </c>
      <c r="Z13" s="236"/>
      <c r="AA13" s="281">
        <f t="shared" si="6"/>
        <v>4.1097478991596638E-2</v>
      </c>
      <c r="AB13" s="282">
        <f t="shared" si="7"/>
        <v>0.95890252100840334</v>
      </c>
      <c r="AC13" s="282">
        <f>AA13*PRODUCT(AB3:AB12)*PRODUCT(AB14:AB17)</f>
        <v>2.4802198449093295E-2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3.9717412309233747E-7</v>
      </c>
      <c r="BM13" s="31">
        <f>BI57+1</f>
        <v>9</v>
      </c>
      <c r="BN13" s="31">
        <v>9</v>
      </c>
      <c r="BO13" s="107">
        <f>$H$34*H48</f>
        <v>2.0483753004500481E-7</v>
      </c>
      <c r="BQ13" s="31">
        <f>BM7+1</f>
        <v>4</v>
      </c>
      <c r="BR13" s="31">
        <v>3</v>
      </c>
      <c r="BS13" s="107">
        <f>$H$29*H42</f>
        <v>3.4658465454684269E-2</v>
      </c>
    </row>
    <row r="14" spans="1:71" ht="15.75" x14ac:dyDescent="0.25">
      <c r="A14" s="7" t="s">
        <v>63</v>
      </c>
      <c r="B14" s="269">
        <v>6.25</v>
      </c>
      <c r="C14" s="270">
        <v>11.5</v>
      </c>
      <c r="E14" s="247"/>
      <c r="F14" s="247" t="s">
        <v>164</v>
      </c>
      <c r="G14" s="252">
        <f>C22</f>
        <v>0.20900321543408362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0.14420168067226891</v>
      </c>
      <c r="T14" s="263">
        <f>S14*P14/(Q14+P14)</f>
        <v>7.2100840336134453E-2</v>
      </c>
      <c r="U14" s="265">
        <f>S14*Q14/(Q14+P14)</f>
        <v>7.2100840336134453E-2</v>
      </c>
      <c r="V14" s="255">
        <f>$G$17</f>
        <v>0.56999999999999995</v>
      </c>
      <c r="W14" s="253">
        <f>$H$17</f>
        <v>0.65</v>
      </c>
      <c r="X14" s="288">
        <f t="shared" si="11"/>
        <v>4.1097478991596638E-2</v>
      </c>
      <c r="Y14" s="289">
        <f t="shared" si="11"/>
        <v>4.6865546218487396E-2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4.6865546218487396E-2</v>
      </c>
      <c r="AH14" s="284">
        <f t="shared" si="8"/>
        <v>0.95313445378151262</v>
      </c>
      <c r="AI14" s="284">
        <f>AG14*PRODUCT(AH3:AH13)*PRODUCT(AH15:AH17)</f>
        <v>3.2210191389036177E-2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3.3375311503704395E-2</v>
      </c>
      <c r="BM14" s="31">
        <f>BQ39+1</f>
        <v>10</v>
      </c>
      <c r="BN14" s="31">
        <v>10</v>
      </c>
      <c r="BO14" s="107">
        <f>$H$35*H49</f>
        <v>2.8185091598894477E-9</v>
      </c>
      <c r="BQ14" s="31">
        <f>BQ10+1</f>
        <v>5</v>
      </c>
      <c r="BR14" s="31">
        <v>0</v>
      </c>
      <c r="BS14" s="107">
        <f>$H$30*H39</f>
        <v>1.1800591817570682E-2</v>
      </c>
    </row>
    <row r="15" spans="1:71" ht="15.75" x14ac:dyDescent="0.25">
      <c r="A15" s="184" t="s">
        <v>67</v>
      </c>
      <c r="B15" s="271">
        <v>7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0.65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2.3258226211513501E-2</v>
      </c>
      <c r="BQ15" s="31">
        <f>BQ11+1</f>
        <v>5</v>
      </c>
      <c r="BR15" s="31">
        <v>1</v>
      </c>
      <c r="BS15" s="107">
        <f>$H$30*H40</f>
        <v>2.7697990282440511E-2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1.3502038213428103E-2</v>
      </c>
      <c r="BQ16" s="31">
        <f>BQ12+1</f>
        <v>5</v>
      </c>
      <c r="BR16" s="31">
        <v>2</v>
      </c>
      <c r="BS16" s="107">
        <f>$H$30*H41</f>
        <v>2.9182974415906275E-2</v>
      </c>
    </row>
    <row r="17" spans="1:71" x14ac:dyDescent="0.25">
      <c r="A17" s="183" t="s">
        <v>74</v>
      </c>
      <c r="B17" s="273" t="s">
        <v>75</v>
      </c>
      <c r="C17" s="274" t="s">
        <v>193</v>
      </c>
      <c r="E17" s="247"/>
      <c r="F17" s="247" t="s">
        <v>165</v>
      </c>
      <c r="G17" s="277">
        <v>0.56999999999999995</v>
      </c>
      <c r="H17" s="278">
        <v>0.65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6.8151186948742053E-3</v>
      </c>
      <c r="BQ17" s="31">
        <f>BQ13+1</f>
        <v>5</v>
      </c>
      <c r="BR17" s="31">
        <v>3</v>
      </c>
      <c r="BS17" s="107">
        <f>$H$30*H42</f>
        <v>2.033671567124172E-2</v>
      </c>
    </row>
    <row r="18" spans="1:71" x14ac:dyDescent="0.25">
      <c r="A18" s="183" t="s">
        <v>78</v>
      </c>
      <c r="B18" s="273">
        <v>20</v>
      </c>
      <c r="C18" s="274">
        <v>19.5</v>
      </c>
      <c r="E18" s="247"/>
      <c r="F18" s="246" t="s">
        <v>3</v>
      </c>
      <c r="G18" s="277">
        <v>0.45</v>
      </c>
      <c r="H18" s="278">
        <v>0.55000000000000004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0.57869463536313881</v>
      </c>
      <c r="AC18" s="176">
        <f>SUM(AC3:AC17)</f>
        <v>0.29806193687534399</v>
      </c>
      <c r="AD18" s="176">
        <f>SUM(AD3:AD17)</f>
        <v>5.7631412159212414E-2</v>
      </c>
      <c r="AE18" s="176">
        <f>1-AB18-AC18-AD18</f>
        <v>6.5612015602304785E-2</v>
      </c>
      <c r="AF18" s="234"/>
      <c r="AG18" s="158"/>
      <c r="AH18" s="179">
        <f>PRODUCT(AH3:AH17)</f>
        <v>0.65507917122443082</v>
      </c>
      <c r="AI18" s="176">
        <f>SUM(AI3:AI17)</f>
        <v>0.20371070875389591</v>
      </c>
      <c r="AJ18" s="176">
        <f>SUM(AJ3:AJ17)</f>
        <v>2.2886468791081003E-2</v>
      </c>
      <c r="AK18" s="176">
        <f>1-AH18-AI18-AJ18</f>
        <v>0.11832365123059227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2.6999637257934116E-3</v>
      </c>
      <c r="BQ18" s="31">
        <f>BM8+1</f>
        <v>5</v>
      </c>
      <c r="BR18" s="31">
        <v>4</v>
      </c>
      <c r="BS18" s="107">
        <f>$H$30*H43</f>
        <v>1.1806021217249973E-2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7.6591899996441822E-4</v>
      </c>
      <c r="BQ19" s="31">
        <f>BQ15+1</f>
        <v>6</v>
      </c>
      <c r="BR19" s="31">
        <v>1</v>
      </c>
      <c r="BS19" s="107">
        <f>$H$31*H40</f>
        <v>1.2963732888618143E-2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1.4813275225368579E-4</v>
      </c>
      <c r="BQ20" s="31">
        <f>BQ16+1</f>
        <v>6</v>
      </c>
      <c r="BR20" s="31">
        <v>2</v>
      </c>
      <c r="BS20" s="107">
        <f>$H$31*H41</f>
        <v>1.3658763013684315E-2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1.8868197989173599E-5</v>
      </c>
      <c r="BQ21" s="31">
        <f>BQ17+1</f>
        <v>6</v>
      </c>
      <c r="BR21" s="31">
        <v>3</v>
      </c>
      <c r="BS21" s="107">
        <f>$H$31*H42</f>
        <v>9.5183710841609329E-3</v>
      </c>
    </row>
    <row r="22" spans="1:71" x14ac:dyDescent="0.25">
      <c r="A22" s="26" t="s">
        <v>87</v>
      </c>
      <c r="B22" s="206">
        <f>(B6)/((B6)+(C6))</f>
        <v>0.79099678456591638</v>
      </c>
      <c r="C22" s="207">
        <f>1-B22</f>
        <v>0.20900321543408362</v>
      </c>
      <c r="V22" s="208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3"/>
        <v>1.5262551184397091E-6</v>
      </c>
      <c r="BQ22" s="31">
        <f>BQ18+1</f>
        <v>6</v>
      </c>
      <c r="BR22" s="31">
        <v>4</v>
      </c>
      <c r="BS22" s="107">
        <f>$H$31*H43</f>
        <v>5.5256754723758822E-3</v>
      </c>
    </row>
    <row r="23" spans="1:71" ht="15.75" thickBot="1" x14ac:dyDescent="0.3">
      <c r="A23" s="40" t="s">
        <v>88</v>
      </c>
      <c r="B23" s="56">
        <f>((B22^2.8)/((B22^2.8)+(C22^2.8)))*B21</f>
        <v>4.8824620861541925</v>
      </c>
      <c r="C23" s="57">
        <f>B21-B23</f>
        <v>0.11753791384580747</v>
      </c>
      <c r="D23" s="149">
        <f>SUM(D25:D30)</f>
        <v>1</v>
      </c>
      <c r="E23" s="149">
        <f>SUM(E25:E30)</f>
        <v>1</v>
      </c>
      <c r="H23" s="266">
        <f>SUM(H25:H35)</f>
        <v>0.99997100791895666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0.99999999999999989</v>
      </c>
      <c r="S23" s="81"/>
      <c r="T23" s="266">
        <f>SUM(T25:T35)</f>
        <v>1.0050760126517704</v>
      </c>
      <c r="V23" s="208">
        <f>SUM(V25:V34)</f>
        <v>0.21181533132236696</v>
      </c>
      <c r="Y23" s="205">
        <f>SUM(Y25:Y35)</f>
        <v>5.1532325242863997E-17</v>
      </c>
      <c r="Z23" s="81"/>
      <c r="AA23" s="205">
        <f>SUM(AA25:AA35)</f>
        <v>2.1406511286164428E-14</v>
      </c>
      <c r="AB23" s="81"/>
      <c r="AC23" s="205">
        <f>SUM(AC25:AC35)</f>
        <v>4.0015268069283452E-12</v>
      </c>
      <c r="AD23" s="81"/>
      <c r="AE23" s="205">
        <f>SUM(AE25:AE35)</f>
        <v>4.4326494929554983E-10</v>
      </c>
      <c r="AF23" s="81"/>
      <c r="AG23" s="205">
        <f>SUM(AG25:AG35)</f>
        <v>3.2223496444442703E-8</v>
      </c>
      <c r="AH23" s="81"/>
      <c r="AI23" s="205">
        <f>SUM(AI25:AI35)</f>
        <v>1.6063070725931306E-6</v>
      </c>
      <c r="AJ23" s="81"/>
      <c r="AK23" s="205">
        <f>SUM(AK25:AK35)</f>
        <v>5.5606747683611932E-5</v>
      </c>
      <c r="AL23" s="81"/>
      <c r="AM23" s="205">
        <f>SUM(AM25:AM35)</f>
        <v>1.3200161722069204E-3</v>
      </c>
      <c r="AN23" s="81"/>
      <c r="AO23" s="205">
        <f>SUM(AO25:AO35)</f>
        <v>2.056456845203989E-2</v>
      </c>
      <c r="AP23" s="81"/>
      <c r="AQ23" s="205">
        <f>SUM(AQ25:AQ35)</f>
        <v>0.18987350097257957</v>
      </c>
      <c r="AR23" s="81"/>
      <c r="AS23" s="205">
        <f>SUM(AS25:AS35)</f>
        <v>0.78818466867763282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4.1136948191367186E-2</v>
      </c>
      <c r="BQ23" s="31">
        <f>BM9+1</f>
        <v>6</v>
      </c>
      <c r="BR23" s="31">
        <v>5</v>
      </c>
      <c r="BS23" s="107">
        <f>$H$31*H44</f>
        <v>2.7890703328142565E-3</v>
      </c>
    </row>
    <row r="24" spans="1:71" ht="15.75" thickBot="1" x14ac:dyDescent="0.3">
      <c r="A24" s="26" t="s">
        <v>89</v>
      </c>
      <c r="B24" s="64">
        <f>B23/B21</f>
        <v>0.97649241723083846</v>
      </c>
      <c r="C24" s="65">
        <f>C23/B21</f>
        <v>2.3507582769161494E-2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2.3881126678039467E-2</v>
      </c>
      <c r="BQ24" s="31">
        <f>BI49+1</f>
        <v>7</v>
      </c>
      <c r="BR24" s="31">
        <v>0</v>
      </c>
      <c r="BS24" s="107">
        <f t="shared" ref="BS24:BS30" si="16">$H$32*H39</f>
        <v>2.0913477875909793E-3</v>
      </c>
    </row>
    <row r="25" spans="1:71" x14ac:dyDescent="0.25">
      <c r="A25" s="26" t="s">
        <v>114</v>
      </c>
      <c r="B25" s="209">
        <f>1/(1+EXP(-3.1416*4*((B11/(B11+C8))-(3.1416/6))))</f>
        <v>0.26246068914225501</v>
      </c>
      <c r="C25" s="207">
        <f>1/(1+EXP(-3.1416*4*((C11/(C11+B8))-(3.1416/6))))</f>
        <v>7.1392033086924322E-2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3.2725739805926919E-2</v>
      </c>
      <c r="I25" s="97">
        <v>0</v>
      </c>
      <c r="J25" s="98">
        <f t="shared" ref="J25:J35" si="17">Y25+AA25+AC25+AE25+AG25+AI25+AK25+AM25+AO25+AQ25+AS25</f>
        <v>5.6550964543486862E-2</v>
      </c>
      <c r="K25" s="97">
        <v>0</v>
      </c>
      <c r="L25" s="98">
        <f>AB18</f>
        <v>0.57869463536313881</v>
      </c>
      <c r="M25" s="85">
        <v>0</v>
      </c>
      <c r="N25" s="210">
        <f>(1-$B$24)^$B$21</f>
        <v>7.1786019002911698E-9</v>
      </c>
      <c r="O25" s="72">
        <v>0</v>
      </c>
      <c r="P25" s="210">
        <f t="shared" ref="P25:P30" si="18">N25</f>
        <v>7.1786019002911698E-9</v>
      </c>
      <c r="Q25" s="28">
        <v>0</v>
      </c>
      <c r="R25" s="211">
        <f>P25*N25</f>
        <v>5.1532325242863997E-17</v>
      </c>
      <c r="S25" s="72">
        <v>0</v>
      </c>
      <c r="T25" s="212">
        <f>(1-$B$33)^(INT(C23*2*(1-C31)))</f>
        <v>1</v>
      </c>
      <c r="U25" s="138">
        <v>0</v>
      </c>
      <c r="V25" s="86">
        <f>R25*T25</f>
        <v>5.1532325242863997E-17</v>
      </c>
      <c r="W25" s="134">
        <f>B31</f>
        <v>0.25569805626785147</v>
      </c>
      <c r="X25" s="28">
        <v>0</v>
      </c>
      <c r="Y25" s="213">
        <f>V25</f>
        <v>5.1532325242863997E-17</v>
      </c>
      <c r="Z25" s="28">
        <v>0</v>
      </c>
      <c r="AA25" s="213">
        <f>((1-W25)^Z26)*V26</f>
        <v>1.593290795881636E-14</v>
      </c>
      <c r="AB25" s="28">
        <v>0</v>
      </c>
      <c r="AC25" s="213">
        <f>(((1-$W$25)^AB27))*V27</f>
        <v>2.216787362495461E-12</v>
      </c>
      <c r="AD25" s="28">
        <v>0</v>
      </c>
      <c r="AE25" s="213">
        <f>(((1-$W$25)^AB28))*V28</f>
        <v>1.8277249935770206E-10</v>
      </c>
      <c r="AF25" s="28">
        <v>0</v>
      </c>
      <c r="AG25" s="213">
        <f>(((1-$W$25)^AB29))*V29</f>
        <v>9.8893847774407965E-9</v>
      </c>
      <c r="AH25" s="28">
        <v>0</v>
      </c>
      <c r="AI25" s="213">
        <f>(((1-$W$25)^AB30))*V30</f>
        <v>3.6692249444030191E-7</v>
      </c>
      <c r="AJ25" s="28">
        <v>0</v>
      </c>
      <c r="AK25" s="213">
        <f>(((1-$W$25)^AB31))*V31</f>
        <v>9.4541483718706771E-6</v>
      </c>
      <c r="AL25" s="28">
        <v>0</v>
      </c>
      <c r="AM25" s="213">
        <f>(((1-$W$25)^AB32))*V32</f>
        <v>1.6704109337668663E-4</v>
      </c>
      <c r="AN25" s="28">
        <v>0</v>
      </c>
      <c r="AO25" s="213">
        <f>(((1-$W$25)^AB33))*V33</f>
        <v>1.9369250926568999E-3</v>
      </c>
      <c r="AP25" s="28">
        <v>0</v>
      </c>
      <c r="AQ25" s="213">
        <f>(((1-$W$25)^AB34))*V34</f>
        <v>1.3310879028085313E-2</v>
      </c>
      <c r="AR25" s="28">
        <v>0</v>
      </c>
      <c r="AS25" s="213">
        <f>(((1-$W$25)^AB35))*V35</f>
        <v>4.1126288184111605E-2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1.2053936620939525E-2</v>
      </c>
      <c r="BQ25" s="31">
        <f>BQ19+1</f>
        <v>7</v>
      </c>
      <c r="BR25" s="31">
        <v>1</v>
      </c>
      <c r="BS25" s="107">
        <f t="shared" si="16"/>
        <v>4.9087479334424871E-3</v>
      </c>
    </row>
    <row r="26" spans="1:71" x14ac:dyDescent="0.25">
      <c r="A26" s="40" t="s">
        <v>115</v>
      </c>
      <c r="B26" s="206">
        <f>1/(1+EXP(-3.1416*4*((B10/(B10+C9))-(3.1416/6))))</f>
        <v>0.16694288000363114</v>
      </c>
      <c r="C26" s="207">
        <f>1/(1+EXP(-3.1416*4*((C10/(C10+B9))-(3.1416/6))))</f>
        <v>0.41415070776819607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0.12575801135944076</v>
      </c>
      <c r="I26" s="138">
        <v>1</v>
      </c>
      <c r="J26" s="86">
        <f t="shared" si="17"/>
        <v>0.18818616016217682</v>
      </c>
      <c r="K26" s="138">
        <v>1</v>
      </c>
      <c r="L26" s="86">
        <f>AC18</f>
        <v>0.29806193687534399</v>
      </c>
      <c r="M26" s="85">
        <v>1</v>
      </c>
      <c r="N26" s="210">
        <f>(($B$24)^M26)*((1-($B$24))^($B$21-M26))*HLOOKUP($B$21,$AV$24:$BF$34,M26+1)</f>
        <v>1.4909764204146713E-6</v>
      </c>
      <c r="O26" s="72">
        <v>1</v>
      </c>
      <c r="P26" s="210">
        <f t="shared" si="18"/>
        <v>1.4909764204146713E-6</v>
      </c>
      <c r="Q26" s="28">
        <v>1</v>
      </c>
      <c r="R26" s="211">
        <f>N26*P25+P26*N25</f>
        <v>2.1406252329756171E-14</v>
      </c>
      <c r="S26" s="72">
        <v>1</v>
      </c>
      <c r="T26" s="212">
        <f t="shared" ref="T26:T35" si="19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2.1406511286164428E-14</v>
      </c>
      <c r="W26" s="214"/>
      <c r="X26" s="28">
        <v>1</v>
      </c>
      <c r="Y26" s="211"/>
      <c r="Z26" s="28">
        <v>1</v>
      </c>
      <c r="AA26" s="213">
        <f>(1-((1-W25)^Z26))*V26</f>
        <v>5.4736033273480696E-15</v>
      </c>
      <c r="AB26" s="28">
        <v>1</v>
      </c>
      <c r="AC26" s="213">
        <f>((($W$25)^M26)*((1-($W$25))^($U$27-M26))*HLOOKUP($U$27,$AV$24:$BF$34,M26+1))*V27</f>
        <v>1.5231136355952083E-12</v>
      </c>
      <c r="AD26" s="28">
        <v>1</v>
      </c>
      <c r="AE26" s="213">
        <f>((($W$25)^M26)*((1-($W$25))^($U$28-M26))*HLOOKUP($U$28,$AV$24:$BF$34,M26+1))*V28</f>
        <v>1.8836941063450949E-10</v>
      </c>
      <c r="AF26" s="28">
        <v>1</v>
      </c>
      <c r="AG26" s="213">
        <f>((($W$25)^M26)*((1-($W$25))^($U$29-M26))*HLOOKUP($U$29,$AV$24:$BF$34,M26+1))*V29</f>
        <v>1.3589627094600148E-8</v>
      </c>
      <c r="AH26" s="28">
        <v>1</v>
      </c>
      <c r="AI26" s="213">
        <f>((($W$25)^M26)*((1-($W$25))^($U$30-M26))*HLOOKUP($U$30,$AV$24:$BF$34,M26+1))*V30</f>
        <v>6.3026416509735844E-7</v>
      </c>
      <c r="AJ26" s="28">
        <v>1</v>
      </c>
      <c r="AK26" s="213">
        <f>((($W$25)^M26)*((1-($W$25))^($U$31-M26))*HLOOKUP($U$31,$AV$24:$BF$34,M26+1))*V31</f>
        <v>1.9487311965627398E-5</v>
      </c>
      <c r="AL26" s="28">
        <v>1</v>
      </c>
      <c r="AM26" s="213">
        <f>((($W$25)^Q26)*((1-($W$25))^($U$32-Q26))*HLOOKUP($U$32,$AV$24:$BF$34,Q26+1))*V32</f>
        <v>4.0169797052219382E-4</v>
      </c>
      <c r="AN26" s="28">
        <v>1</v>
      </c>
      <c r="AO26" s="213">
        <f>((($W$25)^Q26)*((1-($W$25))^($U$33-Q26))*HLOOKUP($U$33,$AV$24:$BF$34,Q26+1))*V33</f>
        <v>5.3233017648227901E-3</v>
      </c>
      <c r="AP26" s="28">
        <v>1</v>
      </c>
      <c r="AQ26" s="213">
        <f>((($W$25)^Q26)*((1-($W$25))^($U$34-Q26))*HLOOKUP($U$34,$AV$24:$BF$34,Q26+1))*V34</f>
        <v>4.1155465614778577E-2</v>
      </c>
      <c r="AR26" s="28">
        <v>1</v>
      </c>
      <c r="AS26" s="213">
        <f>((($W$25)^Q26)*((1-($W$25))^($U$35-Q26))*HLOOKUP($U$35,$AV$24:$BF$34,Q26+1))*V35</f>
        <v>0.14128556345639745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4.7754401774436376E-3</v>
      </c>
      <c r="BQ26" s="31">
        <f>BQ20+1</f>
        <v>7</v>
      </c>
      <c r="BR26" s="31">
        <v>2</v>
      </c>
      <c r="BS26" s="107">
        <f t="shared" si="16"/>
        <v>5.1719227241768953E-3</v>
      </c>
    </row>
    <row r="27" spans="1:71" x14ac:dyDescent="0.25">
      <c r="A27" s="26" t="s">
        <v>116</v>
      </c>
      <c r="B27" s="206">
        <f>1/(1+EXP(-3.1416*4*((B12/(B12+C7))-(3.1416/6))))</f>
        <v>0.15208858427153377</v>
      </c>
      <c r="C27" s="207">
        <f>1/(1+EXP(-3.1416*4*((C12/(C12+B7))-(3.1416/6))))</f>
        <v>0.71817621419196376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0.22242886241177523</v>
      </c>
      <c r="I27" s="138">
        <v>2</v>
      </c>
      <c r="J27" s="86">
        <f t="shared" si="17"/>
        <v>0.28180426966073802</v>
      </c>
      <c r="K27" s="138">
        <v>2</v>
      </c>
      <c r="L27" s="86">
        <f>AD18</f>
        <v>5.7631412159212414E-2</v>
      </c>
      <c r="M27" s="85">
        <v>2</v>
      </c>
      <c r="N27" s="210">
        <f>(($B$24)^M27)*((1-($B$24))^($B$21-M27))*HLOOKUP($B$21,$AV$24:$BF$34,M27+1)</f>
        <v>1.2386872636814582E-4</v>
      </c>
      <c r="O27" s="72">
        <v>2</v>
      </c>
      <c r="P27" s="210">
        <f t="shared" si="18"/>
        <v>1.2386872636814582E-4</v>
      </c>
      <c r="Q27" s="28">
        <v>2</v>
      </c>
      <c r="R27" s="211">
        <f>P25*N27+P26*N26+P27*N25</f>
        <v>4.0014192352185839E-12</v>
      </c>
      <c r="S27" s="72">
        <v>2</v>
      </c>
      <c r="T27" s="212">
        <f t="shared" si="19"/>
        <v>5.0503775157192999E-5</v>
      </c>
      <c r="U27" s="138">
        <v>2</v>
      </c>
      <c r="V27" s="86">
        <f>R27*T25+T26*R26+R25*T27</f>
        <v>4.0015268069283452E-12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2.6162580883767589E-13</v>
      </c>
      <c r="AD27" s="28">
        <v>2</v>
      </c>
      <c r="AE27" s="213">
        <f>((($W$25)^M27)*((1-($W$25))^($U$28-M27))*HLOOKUP($U$28,$AV$24:$BF$34,M27+1))*V28</f>
        <v>6.4712570704904912E-11</v>
      </c>
      <c r="AF27" s="28">
        <v>2</v>
      </c>
      <c r="AG27" s="213">
        <f>((($W$25)^M27)*((1-($W$25))^($U$29-M27))*HLOOKUP($U$29,$AV$24:$BF$34,M27+1))*V29</f>
        <v>7.0028862535350507E-9</v>
      </c>
      <c r="AH27" s="28">
        <v>2</v>
      </c>
      <c r="AI27" s="213">
        <f>((($W$25)^M27)*((1-($W$25))^($U$30-M27))*HLOOKUP($U$30,$AV$24:$BF$34,M27+1))*V30</f>
        <v>4.3304286199384262E-7</v>
      </c>
      <c r="AJ27" s="28">
        <v>2</v>
      </c>
      <c r="AK27" s="213">
        <f>((($W$25)^M27)*((1-($W$25))^($U$31-M27))*HLOOKUP($U$31,$AV$24:$BF$34,M27+1))*V31</f>
        <v>1.6736714963119026E-5</v>
      </c>
      <c r="AL27" s="28">
        <v>2</v>
      </c>
      <c r="AM27" s="213">
        <f>((($W$25)^Q27)*((1-($W$25))^($U$32-Q27))*HLOOKUP($U$32,$AV$24:$BF$34,Q27+1))*V32</f>
        <v>4.1399887962497003E-4</v>
      </c>
      <c r="AN27" s="28">
        <v>2</v>
      </c>
      <c r="AO27" s="213">
        <f>((($W$25)^Q27)*((1-($W$25))^($U$33-Q27))*HLOOKUP($U$33,$AV$24:$BF$34,Q27+1))*V33</f>
        <v>6.4006989902311399E-3</v>
      </c>
      <c r="AP27" s="28">
        <v>2</v>
      </c>
      <c r="AQ27" s="213">
        <f>((($W$25)^Q27)*((1-($W$25))^($U$34-Q27))*HLOOKUP($U$34,$AV$24:$BF$34,Q27+1))*V34</f>
        <v>5.6554319929516768E-2</v>
      </c>
      <c r="AR27" s="28">
        <v>2</v>
      </c>
      <c r="AS27" s="213">
        <f>((($W$25)^Q27)*((1-($W$25))^($U$35-Q27))*HLOOKUP($U$35,$AV$24:$BF$34,Q27+1))*V35</f>
        <v>0.21841807503567956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1.354685001933762E-3</v>
      </c>
      <c r="BQ27" s="31">
        <f>BQ21+1</f>
        <v>7</v>
      </c>
      <c r="BR27" s="31">
        <v>3</v>
      </c>
      <c r="BS27" s="107">
        <f t="shared" si="16"/>
        <v>3.6041535868218686E-3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0.2432657442470931</v>
      </c>
      <c r="I28" s="138">
        <v>3</v>
      </c>
      <c r="J28" s="86">
        <f t="shared" si="17"/>
        <v>0.25007102544598969</v>
      </c>
      <c r="K28" s="138">
        <v>3</v>
      </c>
      <c r="L28" s="86">
        <f>AE18</f>
        <v>6.5612015602304785E-2</v>
      </c>
      <c r="M28" s="85">
        <v>3</v>
      </c>
      <c r="N28" s="210">
        <f>(($B$24)^M28)*((1-($B$24))^($B$21-M28))*HLOOKUP($B$21,$AV$24:$BF$34,M28+1)</f>
        <v>5.1454406528438764E-3</v>
      </c>
      <c r="O28" s="72">
        <v>3</v>
      </c>
      <c r="P28" s="210">
        <f t="shared" si="18"/>
        <v>5.1454406528438764E-3</v>
      </c>
      <c r="Q28" s="28">
        <v>3</v>
      </c>
      <c r="R28" s="211">
        <f>P25*N28+P26*N27+P27*N26+P28*N25</f>
        <v>4.4324484058008591E-10</v>
      </c>
      <c r="S28" s="72">
        <v>3</v>
      </c>
      <c r="T28" s="212">
        <f t="shared" si="19"/>
        <v>3.8068172229039952E-7</v>
      </c>
      <c r="U28" s="138">
        <v>3</v>
      </c>
      <c r="V28" s="86">
        <f>R28*T25+R27*T26+R26*T27+R25*T28</f>
        <v>4.4326494929554988E-10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7.4104685984334015E-12</v>
      </c>
      <c r="AF28" s="28">
        <v>3</v>
      </c>
      <c r="AG28" s="213">
        <f>((($W$25)^M28)*((1-($W$25))^($U$29-M28))*HLOOKUP($U$29,$AV$24:$BF$34,M28+1))*V29</f>
        <v>1.6038512491449841E-9</v>
      </c>
      <c r="AH28" s="28">
        <v>3</v>
      </c>
      <c r="AI28" s="213">
        <f>((($W$25)^M28)*((1-($W$25))^($U$30-M28))*HLOOKUP($U$30,$AV$24:$BF$34,M28+1))*V30</f>
        <v>1.48767874415683E-7</v>
      </c>
      <c r="AJ28" s="28">
        <v>3</v>
      </c>
      <c r="AK28" s="213">
        <f>((($W$25)^M28)*((1-($W$25))^($U$31-M28))*HLOOKUP($U$31,$AV$24:$BF$34,M28+1))*V31</f>
        <v>7.6663250632213447E-6</v>
      </c>
      <c r="AL28" s="28">
        <v>3</v>
      </c>
      <c r="AM28" s="213">
        <f>((($W$25)^Q28)*((1-($W$25))^($U$32-Q28))*HLOOKUP($U$32,$AV$24:$BF$34,Q28+1))*V32</f>
        <v>2.3704248369590079E-4</v>
      </c>
      <c r="AN28" s="28">
        <v>3</v>
      </c>
      <c r="AO28" s="213">
        <f>((($W$25)^Q28)*((1-($W$25))^($U$33-Q28))*HLOOKUP($U$33,$AV$24:$BF$34,Q28+1))*V33</f>
        <v>4.3978020058662668E-3</v>
      </c>
      <c r="AP28" s="28">
        <v>3</v>
      </c>
      <c r="AQ28" s="213">
        <f>((($W$25)^Q28)*((1-($W$25))^($U$34-Q28))*HLOOKUP($U$34,$AV$24:$BF$34,Q28+1))*V34</f>
        <v>4.533366626681893E-2</v>
      </c>
      <c r="AR28" s="28">
        <v>3</v>
      </c>
      <c r="AS28" s="213">
        <f>((($W$25)^Q28)*((1-($W$25))^($U$35-Q28))*HLOOKUP($U$35,$AV$24:$BF$34,Q28+1))*V35</f>
        <v>0.20009469798540924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2.6200318543156693E-4</v>
      </c>
      <c r="BQ28" s="31">
        <f>BQ22+1</f>
        <v>7</v>
      </c>
      <c r="BR28" s="31">
        <v>4</v>
      </c>
      <c r="BS28" s="107">
        <f t="shared" si="16"/>
        <v>2.0923100073832381E-3</v>
      </c>
    </row>
    <row r="29" spans="1:71" x14ac:dyDescent="0.25">
      <c r="A29" s="26" t="s">
        <v>118</v>
      </c>
      <c r="B29" s="206">
        <f>1/(1+EXP(-3.1416*4*((B14/(B14+C13))-(3.1416/6))))</f>
        <v>6.5818669149485684E-2</v>
      </c>
      <c r="C29" s="207">
        <f>1/(1+EXP(-3.1416*4*((C14/(C14+B13))-(3.1416/6))))</f>
        <v>0.73618083625650066</v>
      </c>
      <c r="D29" s="204">
        <v>0.04</v>
      </c>
      <c r="E29" s="204">
        <v>0.04</v>
      </c>
      <c r="G29" s="87">
        <v>4</v>
      </c>
      <c r="H29" s="126">
        <f>J29*L25+J28*L26+J27*L27+J26*L28</f>
        <v>0.18739948836654385</v>
      </c>
      <c r="I29" s="138">
        <v>4</v>
      </c>
      <c r="J29" s="86">
        <f t="shared" si="17"/>
        <v>0.14562910683124397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0.10686942656232434</v>
      </c>
      <c r="O29" s="72">
        <v>4</v>
      </c>
      <c r="P29" s="210">
        <f t="shared" si="18"/>
        <v>0.10686942656232434</v>
      </c>
      <c r="Q29" s="28">
        <v>4</v>
      </c>
      <c r="R29" s="211">
        <f>P25*N29+P26*N28+P27*N27+P28*N26+P29*N25</f>
        <v>3.2221268881339834E-8</v>
      </c>
      <c r="S29" s="72">
        <v>4</v>
      </c>
      <c r="T29" s="212">
        <f t="shared" si="19"/>
        <v>2.5506313051283046E-9</v>
      </c>
      <c r="U29" s="138">
        <v>4</v>
      </c>
      <c r="V29" s="86">
        <f>T29*R25+T28*R26+T27*R27+T26*R28+T25*R29</f>
        <v>3.2223496444442703E-8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1.3774706972172072E-10</v>
      </c>
      <c r="AH29" s="28">
        <v>4</v>
      </c>
      <c r="AI29" s="213">
        <f>((($W$25)^M29)*((1-($W$25))^($U$30-M29))*HLOOKUP($U$30,$AV$24:$BF$34,M29+1))*V30</f>
        <v>2.5553914404984598E-8</v>
      </c>
      <c r="AJ29" s="28">
        <v>4</v>
      </c>
      <c r="AK29" s="213">
        <f>((($W$25)^M29)*((1-($W$25))^($U$31-M29))*HLOOKUP($U$31,$AV$24:$BF$34,M29+1))*V31</f>
        <v>1.9752713605252763E-6</v>
      </c>
      <c r="AL29" s="28">
        <v>4</v>
      </c>
      <c r="AM29" s="213">
        <f>((($W$25)^Q29)*((1-($W$25))^($U$32-Q29))*HLOOKUP($U$32,$AV$24:$BF$34,Q29+1))*V32</f>
        <v>8.143375527144649E-5</v>
      </c>
      <c r="AN29" s="28">
        <v>4</v>
      </c>
      <c r="AO29" s="213">
        <f>((($W$25)^Q29)*((1-($W$25))^($U$33-Q29))*HLOOKUP($U$33,$AV$24:$BF$34,Q29+1))*V33</f>
        <v>1.8885303105488386E-3</v>
      </c>
      <c r="AP29" s="28">
        <v>4</v>
      </c>
      <c r="AQ29" s="213">
        <f>((($W$25)^Q29)*((1-($W$25))^($U$34-Q29))*HLOOKUP($U$34,$AV$24:$BF$34,Q29+1))*V34</f>
        <v>2.3360943321866244E-2</v>
      </c>
      <c r="AR29" s="28">
        <v>4</v>
      </c>
      <c r="AS29" s="213">
        <f>((($W$25)^Q29)*((1-($W$25))^($U$35-Q29))*HLOOKUP($U$35,$AV$24:$BF$34,Q29+1))*V35</f>
        <v>0.12029619848053545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3.3372281965374516E-5</v>
      </c>
      <c r="BQ29" s="31">
        <f>BQ23+1</f>
        <v>7</v>
      </c>
      <c r="BR29" s="31">
        <v>5</v>
      </c>
      <c r="BS29" s="107">
        <f t="shared" si="16"/>
        <v>1.05608803807181E-3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0.10996130561030031</v>
      </c>
      <c r="I30" s="138">
        <v>5</v>
      </c>
      <c r="J30" s="86">
        <f t="shared" si="17"/>
        <v>5.8153501746744857E-2</v>
      </c>
      <c r="K30" s="138">
        <v>5</v>
      </c>
      <c r="L30" s="86"/>
      <c r="M30" s="85">
        <v>5</v>
      </c>
      <c r="N30" s="210">
        <f>(($B$24)^M30)*((1-($B$24))^($B$21-M30))*HLOOKUP($B$21,$AV$24:$BF$34,M30+1)</f>
        <v>0.88785976590344129</v>
      </c>
      <c r="O30" s="72">
        <v>5</v>
      </c>
      <c r="P30" s="210">
        <f t="shared" si="18"/>
        <v>0.88785976590344129</v>
      </c>
      <c r="Q30" s="28">
        <v>5</v>
      </c>
      <c r="R30" s="211">
        <f>P25*N30+P26*N29+P27*N28+P28*N27+P29*N26+P30*N25</f>
        <v>1.6061451342820427E-6</v>
      </c>
      <c r="S30" s="72">
        <v>5</v>
      </c>
      <c r="T30" s="212">
        <f t="shared" si="19"/>
        <v>1.6021553424172769E-11</v>
      </c>
      <c r="U30" s="138">
        <v>5</v>
      </c>
      <c r="V30" s="86">
        <f>T30*R25+T29*R26+T28*R27+T27*R28+T26*R29+T25*R30</f>
        <v>1.6063070725931306E-6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1.7557622409598405E-9</v>
      </c>
      <c r="AJ30" s="28">
        <v>5</v>
      </c>
      <c r="AK30" s="213">
        <f>((($W$25)^M30)*((1-($W$25))^($U$31-M30))*HLOOKUP($U$31,$AV$24:$BF$34,M30+1))*V31</f>
        <v>2.7143449066129426E-7</v>
      </c>
      <c r="AL30" s="28">
        <v>5</v>
      </c>
      <c r="AM30" s="213">
        <f>((($W$25)^Q30)*((1-($W$25))^($U$32-Q30))*HLOOKUP($U$32,$AV$24:$BF$34,Q30+1))*V32</f>
        <v>1.6785488561073111E-5</v>
      </c>
      <c r="AN30" s="28">
        <v>5</v>
      </c>
      <c r="AO30" s="213">
        <f>((($W$25)^Q30)*((1-($W$25))^($U$33-Q30))*HLOOKUP($U$33,$AV$24:$BF$34,Q30+1))*V33</f>
        <v>5.1902971225778612E-4</v>
      </c>
      <c r="AP30" s="28">
        <v>5</v>
      </c>
      <c r="AQ30" s="213">
        <f>((($W$25)^Q30)*((1-($W$25))^($U$34-Q30))*HLOOKUP($U$34,$AV$24:$BF$34,Q30+1))*V34</f>
        <v>8.0254362497463368E-3</v>
      </c>
      <c r="AR30" s="28">
        <v>5</v>
      </c>
      <c r="AS30" s="213">
        <f>((($W$25)^Q30)*((1-($W$25))^($U$35-Q30))*HLOOKUP($U$35,$AV$24:$BF$34,Q30+1))*V35</f>
        <v>4.9591977105926756E-2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2.6994955317350325E-6</v>
      </c>
      <c r="BQ30" s="31">
        <f>BM10+1</f>
        <v>7</v>
      </c>
      <c r="BR30" s="31">
        <v>6</v>
      </c>
      <c r="BS30" s="107">
        <f t="shared" si="16"/>
        <v>4.1839321099173464E-4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0.25569805626785147</v>
      </c>
      <c r="C31" s="61">
        <f>(C25*E25)+(C26*E26)+(C27*E27)+(C28*E28)+(C29*E29)+(C30*E30)/(C25+C26+C27+C28+C29+C30)</f>
        <v>0.42270655321078565</v>
      </c>
      <c r="G31" s="87">
        <v>6</v>
      </c>
      <c r="H31" s="126">
        <f>J31*L25+J30*L26+J29*L27+J28*L28</f>
        <v>5.1466152579285149E-2</v>
      </c>
      <c r="I31" s="138">
        <v>6</v>
      </c>
      <c r="J31" s="86">
        <f t="shared" si="17"/>
        <v>1.6126522592168978E-2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5.5598674975070674E-5</v>
      </c>
      <c r="S31" s="72">
        <v>6</v>
      </c>
      <c r="T31" s="212">
        <f t="shared" si="19"/>
        <v>9.6612382457323207E-14</v>
      </c>
      <c r="U31" s="138">
        <v>6</v>
      </c>
      <c r="V31" s="86">
        <f>T31*R25+T30*R26+T29*R27+T28*R28+T27*R29+T26*R30+T25*R31</f>
        <v>5.5606747683611932E-5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1.554146858691264E-8</v>
      </c>
      <c r="AL31" s="28">
        <v>6</v>
      </c>
      <c r="AM31" s="213">
        <f>((($W$25)^Q31)*((1-($W$25))^($U$32-Q31))*HLOOKUP($U$32,$AV$24:$BF$34,Q31+1))*V32</f>
        <v>1.9221665054602336E-6</v>
      </c>
      <c r="AN31" s="28">
        <v>6</v>
      </c>
      <c r="AO31" s="213">
        <f>((($W$25)^Q31)*((1-($W$25))^($U$33-Q31))*HLOOKUP($U$33,$AV$24:$BF$34,Q31+1))*V33</f>
        <v>8.9153931201702057E-5</v>
      </c>
      <c r="AP31" s="28">
        <v>6</v>
      </c>
      <c r="AQ31" s="213">
        <f>((($W$25)^Q31)*((1-($W$25))^($U$34-Q31))*HLOOKUP($U$34,$AV$24:$BF$34,Q31+1))*V34</f>
        <v>1.838042985146521E-3</v>
      </c>
      <c r="AR31" s="28">
        <v>6</v>
      </c>
      <c r="AS31" s="213">
        <f>((($W$25)^Q31)*((1-($W$25))^($U$35-Q31))*HLOOKUP($U$35,$AV$24:$BF$34,Q31+1))*V35</f>
        <v>1.4197387967846706E-2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2.6118283354961008E-2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6.3106345292728743E-4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1.9487779660872898E-2</v>
      </c>
      <c r="I32" s="138">
        <v>7</v>
      </c>
      <c r="J32" s="86">
        <f t="shared" si="17"/>
        <v>3.0665386134848451E-3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1.3197367007517526E-3</v>
      </c>
      <c r="S32" s="72">
        <v>7</v>
      </c>
      <c r="T32" s="212">
        <f t="shared" si="19"/>
        <v>5.6640425226236405E-16</v>
      </c>
      <c r="U32" s="138">
        <v>7</v>
      </c>
      <c r="V32" s="86">
        <f>T32*R25+T31*R26+T30*R27+T29*R28+T28*R29+T27*R30+T26*R31+T25*R32</f>
        <v>1.3200161722069204E-3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9.4334649189136053E-8</v>
      </c>
      <c r="AN32" s="28">
        <v>7</v>
      </c>
      <c r="AO32" s="213">
        <f>((($W$25)^Q32)*((1-($W$25))^($U$33-Q32))*HLOOKUP($U$33,$AV$24:$BF$34,Q32+1))*V33</f>
        <v>8.7508598239060618E-6</v>
      </c>
      <c r="AP32" s="28">
        <v>7</v>
      </c>
      <c r="AQ32" s="213">
        <f>((($W$25)^Q32)*((1-($W$25))^($U$34-Q32))*HLOOKUP($U$34,$AV$24:$BF$34,Q32+1))*V34</f>
        <v>2.706182940538238E-4</v>
      </c>
      <c r="AR32" s="28">
        <v>7</v>
      </c>
      <c r="AS32" s="213">
        <f>((($W$25)^Q32)*((1-($W$25))^($U$35-Q32))*HLOOKUP($U$35,$AV$24:$BF$34,Q32+1))*V35</f>
        <v>2.7870751249579259E-3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1.3183135638987603E-2</v>
      </c>
      <c r="BQ32" s="31">
        <f t="shared" si="23"/>
        <v>8</v>
      </c>
      <c r="BR32" s="31">
        <v>1</v>
      </c>
      <c r="BS32" s="107">
        <f t="shared" si="24"/>
        <v>1.4812129473673889E-3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0.51249999999999996</v>
      </c>
      <c r="G33" s="87">
        <v>8</v>
      </c>
      <c r="H33" s="126">
        <f>J33*L25+J32*L26+J31*L27+J30*L28</f>
        <v>5.8804305987014685E-3</v>
      </c>
      <c r="I33" s="138">
        <v>8</v>
      </c>
      <c r="J33" s="86">
        <f t="shared" si="17"/>
        <v>3.826706044785751E-4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2.0557933800768063E-2</v>
      </c>
      <c r="S33" s="72">
        <v>8</v>
      </c>
      <c r="T33" s="212">
        <f t="shared" si="19"/>
        <v>3.2528600273502595E-18</v>
      </c>
      <c r="U33" s="138">
        <v>8</v>
      </c>
      <c r="V33" s="86">
        <f>T33*R25+T32*R26+T31*R27+T30*R28+T29*R29+T28*R30+T27*R31+T26*R32+T25*R33</f>
        <v>2.05645684520399E-2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3.7578463056695458E-7</v>
      </c>
      <c r="AP33" s="28">
        <v>8</v>
      </c>
      <c r="AQ33" s="213">
        <f>((($W$25)^Q33)*((1-($W$25))^($U$34-Q33))*HLOOKUP($U$34,$AV$24:$BF$34,Q33+1))*V34</f>
        <v>2.3242103679426344E-5</v>
      </c>
      <c r="AR33" s="28">
        <v>8</v>
      </c>
      <c r="AS33" s="213">
        <f>((($W$25)^Q33)*((1-($W$25))^($U$35-Q33))*HLOOKUP($U$35,$AV$24:$BF$34,Q33+1))*V35</f>
        <v>3.590527161685818E-4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5.2227979601077038E-3</v>
      </c>
      <c r="BQ33" s="31">
        <f t="shared" si="23"/>
        <v>8</v>
      </c>
      <c r="BR33" s="31">
        <v>2</v>
      </c>
      <c r="BS33" s="107">
        <f t="shared" si="24"/>
        <v>1.5606258471010956E-3</v>
      </c>
    </row>
    <row r="34" spans="1:71" x14ac:dyDescent="0.25">
      <c r="A34" s="40" t="s">
        <v>123</v>
      </c>
      <c r="B34" s="56">
        <f>B23*2</f>
        <v>9.7649241723083851</v>
      </c>
      <c r="C34" s="57">
        <f>C23*2</f>
        <v>0.23507582769161495</v>
      </c>
      <c r="G34" s="87">
        <v>9</v>
      </c>
      <c r="H34" s="126">
        <f>J34*L25+J33*L26+J32*L27+J31*L28</f>
        <v>1.3652581155349512E-3</v>
      </c>
      <c r="I34" s="138">
        <v>9</v>
      </c>
      <c r="J34" s="86">
        <f t="shared" si="17"/>
        <v>2.8298121865836676E-5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0.1897701280997206</v>
      </c>
      <c r="S34" s="72">
        <v>9</v>
      </c>
      <c r="T34" s="212">
        <f t="shared" si="19"/>
        <v>1.8389284074216291E-20</v>
      </c>
      <c r="U34" s="138">
        <v>9</v>
      </c>
      <c r="V34" s="86">
        <f>T34*R25+T33*R26+T32*R27+T31*R28+T30*R29+T29*R30+T28*R31+T27*R32+T26*R33+T25*R34</f>
        <v>0.18987350097257957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8.8717888761432337E-7</v>
      </c>
      <c r="AR34" s="28">
        <v>9</v>
      </c>
      <c r="AS34" s="213">
        <f>((($W$25)^Q34)*((1-($W$25))^($U$35-Q34))*HLOOKUP($U$35,$AV$24:$BF$34,Q34+1))*V35</f>
        <v>2.7410942978222352E-5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1.481590345976365E-3</v>
      </c>
      <c r="BQ34" s="31">
        <f t="shared" si="23"/>
        <v>8</v>
      </c>
      <c r="BR34" s="31">
        <v>3</v>
      </c>
      <c r="BS34" s="107">
        <f t="shared" si="24"/>
        <v>1.0875520661247893E-3</v>
      </c>
    </row>
    <row r="35" spans="1:71" ht="15.75" thickBot="1" x14ac:dyDescent="0.3">
      <c r="G35" s="88">
        <v>10</v>
      </c>
      <c r="H35" s="127">
        <f>J35*L25+J34*L26+J33*L27+J32*L28</f>
        <v>2.3223516348198681E-4</v>
      </c>
      <c r="I35" s="94">
        <v>10</v>
      </c>
      <c r="J35" s="89">
        <f t="shared" si="17"/>
        <v>9.4167762143083489E-7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0.78829496391011356</v>
      </c>
      <c r="S35" s="72">
        <v>10</v>
      </c>
      <c r="T35" s="212">
        <f t="shared" si="19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0.78818466867763304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9.4167762143083489E-7</v>
      </c>
      <c r="BI35" s="31">
        <f t="shared" si="21"/>
        <v>3</v>
      </c>
      <c r="BJ35" s="31">
        <v>8</v>
      </c>
      <c r="BK35" s="107">
        <f t="shared" si="22"/>
        <v>2.865473446567657E-4</v>
      </c>
      <c r="BQ35" s="31">
        <f t="shared" si="23"/>
        <v>8</v>
      </c>
      <c r="BR35" s="31">
        <v>4</v>
      </c>
      <c r="BS35" s="107">
        <f t="shared" si="24"/>
        <v>6.3135380240822057E-4</v>
      </c>
    </row>
    <row r="36" spans="1:71" ht="15.75" x14ac:dyDescent="0.25">
      <c r="A36" s="109" t="s">
        <v>124</v>
      </c>
      <c r="B36" s="219">
        <f>SUM(BO4:BO14)</f>
        <v>0.16652071588680017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3.6498559231497002E-5</v>
      </c>
      <c r="BQ36" s="31">
        <f t="shared" si="23"/>
        <v>8</v>
      </c>
      <c r="BR36" s="31">
        <v>5</v>
      </c>
      <c r="BS36" s="107">
        <f t="shared" si="24"/>
        <v>3.1867419080424384E-4</v>
      </c>
    </row>
    <row r="37" spans="1:71" ht="16.5" thickBot="1" x14ac:dyDescent="0.3">
      <c r="A37" s="110" t="s">
        <v>125</v>
      </c>
      <c r="B37" s="219">
        <f>SUM(BK4:BK59)</f>
        <v>0.26431283839499875</v>
      </c>
      <c r="G37" s="158"/>
      <c r="H37" s="266">
        <f>SUM(H39:H49)</f>
        <v>0.99999937274152018</v>
      </c>
      <c r="I37" s="267"/>
      <c r="J37" s="266">
        <f>SUM(J39:J49)</f>
        <v>0.99999999999999978</v>
      </c>
      <c r="K37" s="266"/>
      <c r="L37" s="266">
        <f>SUM(L39:L49)</f>
        <v>1</v>
      </c>
      <c r="M37" s="267"/>
      <c r="N37" s="268">
        <f>SUM(N39:N49)</f>
        <v>0.99999999999999978</v>
      </c>
      <c r="O37" s="267"/>
      <c r="P37" s="268">
        <f>SUM(P39:P49)</f>
        <v>0.99999999999999978</v>
      </c>
      <c r="Q37" s="267"/>
      <c r="R37" s="266">
        <f>SUM(R39:R49)</f>
        <v>0.99999999999999956</v>
      </c>
      <c r="S37" s="267"/>
      <c r="T37" s="266">
        <f>SUM(T39:T49)</f>
        <v>1</v>
      </c>
      <c r="U37" s="267"/>
      <c r="V37" s="208">
        <f>SUM(V39:V48)</f>
        <v>0.99998337485072042</v>
      </c>
      <c r="W37" s="158"/>
      <c r="X37" s="158"/>
      <c r="Y37" s="205">
        <f>SUM(Y39:Y49)</f>
        <v>5.1583533981976954E-3</v>
      </c>
      <c r="Z37" s="81"/>
      <c r="AA37" s="205">
        <f>SUM(AA39:AA49)</f>
        <v>3.9201986204315843E-2</v>
      </c>
      <c r="AB37" s="81"/>
      <c r="AC37" s="205">
        <f>SUM(AC39:AC49)</f>
        <v>0.12899346863870867</v>
      </c>
      <c r="AD37" s="81"/>
      <c r="AE37" s="205">
        <f>SUM(AE39:AE49)</f>
        <v>0.23958639293775097</v>
      </c>
      <c r="AF37" s="81"/>
      <c r="AG37" s="205">
        <f>SUM(AG39:AG49)</f>
        <v>0.27420845660976567</v>
      </c>
      <c r="AH37" s="81"/>
      <c r="AI37" s="205">
        <f>SUM(AI39:AI49)</f>
        <v>0.19786133071764961</v>
      </c>
      <c r="AJ37" s="81"/>
      <c r="AK37" s="205">
        <f>SUM(AK39:AK49)</f>
        <v>8.8341330844049659E-2</v>
      </c>
      <c r="AL37" s="81"/>
      <c r="AM37" s="205">
        <f>SUM(AM39:AM49)</f>
        <v>2.3066879989646249E-2</v>
      </c>
      <c r="AN37" s="81"/>
      <c r="AO37" s="205">
        <f>SUM(AO39:AO49)</f>
        <v>3.282387135618502E-3</v>
      </c>
      <c r="AP37" s="81"/>
      <c r="AQ37" s="205">
        <f>SUM(AQ39:AQ49)</f>
        <v>2.8278837501760179E-4</v>
      </c>
      <c r="AR37" s="81"/>
      <c r="AS37" s="205">
        <f>SUM(AS39:AS49)</f>
        <v>1.6625149279581027E-5</v>
      </c>
      <c r="BI37" s="31">
        <f t="shared" si="21"/>
        <v>3</v>
      </c>
      <c r="BJ37" s="31">
        <v>10</v>
      </c>
      <c r="BK37" s="107">
        <f t="shared" si="22"/>
        <v>2.9523811905466997E-6</v>
      </c>
      <c r="BQ37" s="31">
        <f t="shared" si="23"/>
        <v>8</v>
      </c>
      <c r="BR37" s="31">
        <v>6</v>
      </c>
      <c r="BS37" s="107">
        <f t="shared" si="24"/>
        <v>1.2625000297722744E-4</v>
      </c>
    </row>
    <row r="38" spans="1:71" ht="16.5" thickBot="1" x14ac:dyDescent="0.3">
      <c r="A38" s="111" t="s">
        <v>126</v>
      </c>
      <c r="B38" s="219">
        <f>SUM(BS4:BS47)</f>
        <v>0.56890459419756201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1.0155613489516407E-2</v>
      </c>
      <c r="BQ38" s="31">
        <f>BM11+1</f>
        <v>8</v>
      </c>
      <c r="BR38" s="31">
        <v>7</v>
      </c>
      <c r="BS38" s="107">
        <f t="shared" si="24"/>
        <v>3.5814287096545118E-5</v>
      </c>
    </row>
    <row r="39" spans="1:71" x14ac:dyDescent="0.25">
      <c r="G39" s="128">
        <v>0</v>
      </c>
      <c r="H39" s="129">
        <f>L39*J39</f>
        <v>0.10731585762897031</v>
      </c>
      <c r="I39" s="97">
        <v>0</v>
      </c>
      <c r="J39" s="98">
        <f t="shared" ref="J39:J49" si="28">Y39+AA39+AC39+AE39+AG39+AI39+AK39+AM39+AO39+AQ39+AS39</f>
        <v>0.16382120260117961</v>
      </c>
      <c r="K39" s="102">
        <v>0</v>
      </c>
      <c r="L39" s="98">
        <f>AH18</f>
        <v>0.65507917122443082</v>
      </c>
      <c r="M39" s="85">
        <v>0</v>
      </c>
      <c r="N39" s="210">
        <f>(1-$C$24)^$B$21</f>
        <v>0.88785976590344129</v>
      </c>
      <c r="O39" s="72">
        <v>0</v>
      </c>
      <c r="P39" s="210">
        <f t="shared" ref="P39:P44" si="29">N39</f>
        <v>0.88785976590344129</v>
      </c>
      <c r="Q39" s="28">
        <v>0</v>
      </c>
      <c r="R39" s="211">
        <f>P39*N39</f>
        <v>0.78829496391011356</v>
      </c>
      <c r="S39" s="72">
        <v>0</v>
      </c>
      <c r="T39" s="212">
        <f>(1-$C$33)^(INT(B23*2*(1-B31)))</f>
        <v>6.5436843242168471E-3</v>
      </c>
      <c r="U39" s="138">
        <v>0</v>
      </c>
      <c r="V39" s="86">
        <f>R39*T39</f>
        <v>5.1583533981976954E-3</v>
      </c>
      <c r="W39" s="134">
        <f>C31</f>
        <v>0.42270655321078565</v>
      </c>
      <c r="X39" s="28">
        <v>0</v>
      </c>
      <c r="Y39" s="213">
        <f>V39</f>
        <v>5.1583533981976954E-3</v>
      </c>
      <c r="Z39" s="28">
        <v>0</v>
      </c>
      <c r="AA39" s="213">
        <f>((1-W39)^Z40)*V40</f>
        <v>2.2631049736872723E-2</v>
      </c>
      <c r="AB39" s="28">
        <v>0</v>
      </c>
      <c r="AC39" s="213">
        <f>(((1-$W$39)^AB41))*V41</f>
        <v>4.2989359666134257E-2</v>
      </c>
      <c r="AD39" s="28">
        <v>0</v>
      </c>
      <c r="AE39" s="213">
        <f>(((1-$W$39)^AB42))*V42</f>
        <v>4.6094810284798463E-2</v>
      </c>
      <c r="AF39" s="28">
        <v>0</v>
      </c>
      <c r="AG39" s="213">
        <f>(((1-$W$39)^AB43))*V43</f>
        <v>3.0455613660529735E-2</v>
      </c>
      <c r="AH39" s="28">
        <v>0</v>
      </c>
      <c r="AI39" s="213">
        <f>(((1-$W$39)^AB44))*V44</f>
        <v>1.2686565426377817E-2</v>
      </c>
      <c r="AJ39" s="28">
        <v>0</v>
      </c>
      <c r="AK39" s="213">
        <f>(((1-$W$39)^AB45))*V45</f>
        <v>3.2699695086850712E-3</v>
      </c>
      <c r="AL39" s="28">
        <v>0</v>
      </c>
      <c r="AM39" s="213">
        <f>(((1-$W$39)^AB46))*V46</f>
        <v>4.9290729894440504E-4</v>
      </c>
      <c r="AN39" s="28">
        <v>0</v>
      </c>
      <c r="AO39" s="213">
        <f>(((1-$W$39)^AB47))*V47</f>
        <v>4.049140276714026E-5</v>
      </c>
      <c r="AP39" s="28">
        <v>0</v>
      </c>
      <c r="AQ39" s="213">
        <f>(((1-$W$39)^AB48))*V48</f>
        <v>2.0138689250804115E-6</v>
      </c>
      <c r="AR39" s="28">
        <v>0</v>
      </c>
      <c r="AS39" s="213">
        <f>(((1-$W$39)^AB49))*V49</f>
        <v>6.8348947207316229E-8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4.0233764461792207E-3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1.4651384555354512E-4</v>
      </c>
    </row>
    <row r="40" spans="1:71" x14ac:dyDescent="0.25">
      <c r="G40" s="91">
        <v>1</v>
      </c>
      <c r="H40" s="130">
        <f>L39*J40+L40*J39</f>
        <v>0.25188851777189142</v>
      </c>
      <c r="I40" s="138">
        <v>1</v>
      </c>
      <c r="J40" s="86">
        <f t="shared" si="28"/>
        <v>0.33357248112873616</v>
      </c>
      <c r="K40" s="95">
        <v>1</v>
      </c>
      <c r="L40" s="86">
        <f>AI18</f>
        <v>0.20371070875389591</v>
      </c>
      <c r="M40" s="85">
        <v>1</v>
      </c>
      <c r="N40" s="210">
        <f>(($C$24)^M26)*((1-($C$24))^($B$21-M26))*HLOOKUP($B$21,$AV$24:$BF$34,M26+1)</f>
        <v>0.10686942656232414</v>
      </c>
      <c r="O40" s="72">
        <v>1</v>
      </c>
      <c r="P40" s="210">
        <f t="shared" si="29"/>
        <v>0.10686942656232414</v>
      </c>
      <c r="Q40" s="28">
        <v>1</v>
      </c>
      <c r="R40" s="211">
        <f>P40*N39+P39*N40</f>
        <v>0.18977012809972024</v>
      </c>
      <c r="S40" s="72">
        <v>1</v>
      </c>
      <c r="T40" s="212">
        <f t="shared" ref="T40:T49" si="32">(($C$33)^S40)*((1-($C$33))^(INT($B$23*2*(1-$B$31))-S40))*HLOOKUP(INT($B$23*2*(1-$B$31)),$AV$24:$BF$34,S40+1)</f>
        <v>4.815480515513422E-2</v>
      </c>
      <c r="U40" s="138">
        <v>1</v>
      </c>
      <c r="V40" s="86">
        <f>R40*T39+T40*R39</f>
        <v>3.9201986204315843E-2</v>
      </c>
      <c r="W40" s="214"/>
      <c r="X40" s="28">
        <v>1</v>
      </c>
      <c r="Y40" s="211"/>
      <c r="Z40" s="28">
        <v>1</v>
      </c>
      <c r="AA40" s="213">
        <f>(1-((1-W39)^Z40))*V40</f>
        <v>1.657093646744312E-2</v>
      </c>
      <c r="AB40" s="28">
        <v>1</v>
      </c>
      <c r="AC40" s="213">
        <f>((($W$39)^M40)*((1-($W$39))^($U$27-M40))*HLOOKUP($U$27,$AV$24:$BF$34,M40+1))*V41</f>
        <v>6.295544891520459E-2</v>
      </c>
      <c r="AD40" s="28">
        <v>1</v>
      </c>
      <c r="AE40" s="213">
        <f>((($W$39)^M40)*((1-($W$39))^($U$28-M40))*HLOOKUP($U$28,$AV$24:$BF$34,M40+1))*V42</f>
        <v>0.10125480456132693</v>
      </c>
      <c r="AF40" s="28">
        <v>1</v>
      </c>
      <c r="AG40" s="213">
        <f>((($W$39)^M40)*((1-($W$39))^($U$29-M40))*HLOOKUP($U$29,$AV$24:$BF$34,M40+1))*V43</f>
        <v>8.9200995077724582E-2</v>
      </c>
      <c r="AH40" s="28">
        <v>1</v>
      </c>
      <c r="AI40" s="213">
        <f>((($W$39)^M40)*((1-($W$39))^($U$30-M40))*HLOOKUP($U$30,$AV$24:$BF$34,M40+1))*V44</f>
        <v>4.6446866609117725E-2</v>
      </c>
      <c r="AJ40" s="28">
        <v>1</v>
      </c>
      <c r="AK40" s="213">
        <f>((($W$39)^M40)*((1-($W$39))^($U$31-M40))*HLOOKUP($U$31,$AV$24:$BF$34,M40+1))*V45</f>
        <v>1.4366047781851842E-2</v>
      </c>
      <c r="AL40" s="28">
        <v>1</v>
      </c>
      <c r="AM40" s="213">
        <f>((($W$39)^Q40)*((1-($W$39))^($U$32-Q40))*HLOOKUP($U$32,$AV$24:$BF$34,Q40+1))*V46</f>
        <v>2.5264205333290876E-3</v>
      </c>
      <c r="AN40" s="28">
        <v>1</v>
      </c>
      <c r="AO40" s="213">
        <f>((($W$39)^Q40)*((1-($W$39))^($U$33-Q40))*HLOOKUP($U$33,$AV$24:$BF$34,Q40+1))*V47</f>
        <v>2.3718933784629693E-4</v>
      </c>
      <c r="AP40" s="28">
        <v>1</v>
      </c>
      <c r="AQ40" s="213">
        <f>((($W$39)^Q40)*((1-($W$39))^($U$34-Q40))*HLOOKUP($U$34,$AV$24:$BF$34,Q40+1))*V48</f>
        <v>1.3271379347995396E-5</v>
      </c>
      <c r="AR40" s="28">
        <v>1</v>
      </c>
      <c r="AS40" s="213">
        <f>((($W$39)^Q40)*((1-($W$39))^($U$35-Q40))*HLOOKUP($U$35,$AV$24:$BF$34,Q40+1))*V49</f>
        <v>5.0046554400157068E-7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1.141341431626986E-3</v>
      </c>
      <c r="BQ40" s="31">
        <f t="shared" si="30"/>
        <v>9</v>
      </c>
      <c r="BR40" s="31">
        <v>1</v>
      </c>
      <c r="BS40" s="107">
        <f t="shared" si="31"/>
        <v>3.4389284309814457E-4</v>
      </c>
    </row>
    <row r="41" spans="1:71" x14ac:dyDescent="0.25">
      <c r="G41" s="91">
        <v>2</v>
      </c>
      <c r="H41" s="130">
        <f>L39*J41+J40*L40+J39*L41</f>
        <v>0.26539312400791143</v>
      </c>
      <c r="I41" s="138">
        <v>2</v>
      </c>
      <c r="J41" s="86">
        <f t="shared" si="28"/>
        <v>0.2956765489180434</v>
      </c>
      <c r="K41" s="95">
        <v>2</v>
      </c>
      <c r="L41" s="86">
        <f>AJ18</f>
        <v>2.2886468791081003E-2</v>
      </c>
      <c r="M41" s="85">
        <v>2</v>
      </c>
      <c r="N41" s="210">
        <f>(($C$24)^M27)*((1-($C$24))^($B$21-M27))*HLOOKUP($B$21,$AV$24:$BF$34,M27+1)</f>
        <v>5.1454406528438565E-3</v>
      </c>
      <c r="O41" s="72">
        <v>2</v>
      </c>
      <c r="P41" s="210">
        <f t="shared" si="29"/>
        <v>5.1454406528438565E-3</v>
      </c>
      <c r="Q41" s="28">
        <v>2</v>
      </c>
      <c r="R41" s="211">
        <f>P41*N39+P40*N40+P39*N41</f>
        <v>2.0557933800767984E-2</v>
      </c>
      <c r="S41" s="72">
        <v>2</v>
      </c>
      <c r="T41" s="212">
        <f t="shared" si="32"/>
        <v>0.15187284702773099</v>
      </c>
      <c r="U41" s="138">
        <v>2</v>
      </c>
      <c r="V41" s="86">
        <f>R41*T39+T40*R40+R39*T41</f>
        <v>0.12899346863870867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2.3048660057369819E-2</v>
      </c>
      <c r="AD41" s="28">
        <v>2</v>
      </c>
      <c r="AE41" s="213">
        <f>((($W$39)^M41)*((1-($W$39))^($U$28-M41))*HLOOKUP($U$28,$AV$24:$BF$34,M41+1))*V42</f>
        <v>7.4140923771438702E-2</v>
      </c>
      <c r="AF41" s="28">
        <v>2</v>
      </c>
      <c r="AG41" s="213">
        <f>((($W$39)^M41)*((1-($W$39))^($U$29-M41))*HLOOKUP($U$29,$AV$24:$BF$34,M41+1))*V43</f>
        <v>9.7972301734904288E-2</v>
      </c>
      <c r="AH41" s="28">
        <v>2</v>
      </c>
      <c r="AI41" s="213">
        <f>((($W$39)^M41)*((1-($W$39))^($U$30-M41))*HLOOKUP($U$30,$AV$24:$BF$34,M41+1))*V44</f>
        <v>6.8018769313866731E-2</v>
      </c>
      <c r="AJ41" s="28">
        <v>2</v>
      </c>
      <c r="AK41" s="213">
        <f>((($W$39)^M41)*((1-($W$39))^($U$31-M41))*HLOOKUP($U$31,$AV$24:$BF$34,M41+1))*V45</f>
        <v>2.6297815153206325E-2</v>
      </c>
      <c r="AL41" s="28">
        <v>2</v>
      </c>
      <c r="AM41" s="213">
        <f>((($W$39)^Q41)*((1-($W$39))^($U$32-Q41))*HLOOKUP($U$32,$AV$24:$BF$34,Q41+1))*V46</f>
        <v>5.5496967177305883E-3</v>
      </c>
      <c r="AN41" s="28">
        <v>2</v>
      </c>
      <c r="AO41" s="213">
        <f>((($W$39)^Q41)*((1-($W$39))^($U$33-Q41))*HLOOKUP($U$33,$AV$24:$BF$34,Q41+1))*V47</f>
        <v>6.0786279154815572E-4</v>
      </c>
      <c r="AP41" s="28">
        <v>2</v>
      </c>
      <c r="AQ41" s="213">
        <f>((($W$39)^Q41)*((1-($W$39))^($U$34-Q41))*HLOOKUP($U$34,$AV$24:$BF$34,Q41+1))*V48</f>
        <v>3.8870346107304863E-5</v>
      </c>
      <c r="AR41" s="28">
        <v>2</v>
      </c>
      <c r="AS41" s="213">
        <f>((($W$39)^Q41)*((1-($W$39))^($U$35-Q41))*HLOOKUP($U$35,$AV$24:$BF$34,Q41+1))*V49</f>
        <v>1.6490318715207649E-6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2.2074141983149882E-4</v>
      </c>
      <c r="BQ41" s="31">
        <f t="shared" si="30"/>
        <v>9</v>
      </c>
      <c r="BR41" s="31">
        <v>2</v>
      </c>
      <c r="BS41" s="107">
        <f t="shared" si="31"/>
        <v>3.6233011635897476E-4</v>
      </c>
    </row>
    <row r="42" spans="1:71" ht="15" customHeight="1" x14ac:dyDescent="0.25">
      <c r="G42" s="91">
        <v>3</v>
      </c>
      <c r="H42" s="130">
        <f>J42*L39+J41*L40+L42*J39+L41*J40</f>
        <v>0.18494429070635496</v>
      </c>
      <c r="I42" s="138">
        <v>3</v>
      </c>
      <c r="J42" s="86">
        <f t="shared" si="28"/>
        <v>0.14913249670582179</v>
      </c>
      <c r="K42" s="95">
        <v>3</v>
      </c>
      <c r="L42" s="86">
        <f>AK18</f>
        <v>0.11832365123059227</v>
      </c>
      <c r="M42" s="85">
        <v>3</v>
      </c>
      <c r="N42" s="210">
        <f>(($C$24)^M28)*((1-($C$24))^($B$21-M28))*HLOOKUP($B$21,$AV$24:$BF$34,M28+1)</f>
        <v>1.2386872636814512E-4</v>
      </c>
      <c r="O42" s="72">
        <v>3</v>
      </c>
      <c r="P42" s="210">
        <f t="shared" si="29"/>
        <v>1.2386872636814512E-4</v>
      </c>
      <c r="Q42" s="28">
        <v>3</v>
      </c>
      <c r="R42" s="211">
        <f>P42*N39+P41*N40+P40*N41+P39*N42</f>
        <v>1.3197367007517448E-3</v>
      </c>
      <c r="S42" s="72">
        <v>3</v>
      </c>
      <c r="T42" s="212">
        <f t="shared" si="32"/>
        <v>0.26610199692893033</v>
      </c>
      <c r="U42" s="138">
        <v>3</v>
      </c>
      <c r="V42" s="86">
        <f>R42*T39+R41*T40+R40*T41+R39*T42</f>
        <v>0.23958639293775094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1.8095854320186833E-2</v>
      </c>
      <c r="AF42" s="28">
        <v>3</v>
      </c>
      <c r="AG42" s="213">
        <f>((($W$39)^M42)*((1-($W$39))^($U$29-M42))*HLOOKUP($U$29,$AV$24:$BF$34,M42+1))*V43</f>
        <v>4.7824936874908137E-2</v>
      </c>
      <c r="AH42" s="28">
        <v>3</v>
      </c>
      <c r="AI42" s="213">
        <f>((($W$39)^M42)*((1-($W$39))^($U$30-M42))*HLOOKUP($U$30,$AV$24:$BF$34,M42+1))*V44</f>
        <v>4.9804791116574543E-2</v>
      </c>
      <c r="AJ42" s="28">
        <v>3</v>
      </c>
      <c r="AK42" s="213">
        <f>((($W$39)^M42)*((1-($W$39))^($U$31-M42))*HLOOKUP($U$31,$AV$24:$BF$34,M42+1))*V45</f>
        <v>2.5674426901864267E-2</v>
      </c>
      <c r="AL42" s="28">
        <v>3</v>
      </c>
      <c r="AM42" s="213">
        <f>((($W$39)^Q42)*((1-($W$39))^($U$32-Q42))*HLOOKUP($U$32,$AV$24:$BF$34,Q42+1))*V46</f>
        <v>6.7726768306034402E-3</v>
      </c>
      <c r="AN42" s="28">
        <v>3</v>
      </c>
      <c r="AO42" s="213">
        <f>((($W$39)^Q42)*((1-($W$39))^($U$33-Q42))*HLOOKUP($U$33,$AV$24:$BF$34,Q42+1))*V47</f>
        <v>8.9018015662397027E-4</v>
      </c>
      <c r="AP42" s="28">
        <v>3</v>
      </c>
      <c r="AQ42" s="213">
        <f>((($W$39)^Q42)*((1-($W$39))^($U$34-Q42))*HLOOKUP($U$34,$AV$24:$BF$34,Q42+1))*V48</f>
        <v>6.6410621735846031E-5</v>
      </c>
      <c r="AR42" s="28">
        <v>3</v>
      </c>
      <c r="AS42" s="213">
        <f>((($W$39)^Q42)*((1-($W$39))^($U$35-Q42))*HLOOKUP($U$35,$AV$24:$BF$34,Q42+1))*V49</f>
        <v>3.2198833247211651E-6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2.811662343692382E-5</v>
      </c>
      <c r="BQ42" s="31">
        <f t="shared" si="30"/>
        <v>9</v>
      </c>
      <c r="BR42" s="31">
        <v>3</v>
      </c>
      <c r="BS42" s="107">
        <f t="shared" si="31"/>
        <v>2.5249669380870634E-4</v>
      </c>
    </row>
    <row r="43" spans="1:71" ht="15" customHeight="1" x14ac:dyDescent="0.25">
      <c r="G43" s="91">
        <v>4</v>
      </c>
      <c r="H43" s="130">
        <f>J43*L39+J42*L40+J41*L41+J40*L42</f>
        <v>0.10736523317657005</v>
      </c>
      <c r="I43" s="138">
        <v>4</v>
      </c>
      <c r="J43" s="86">
        <f t="shared" si="28"/>
        <v>4.6939121099894093E-2</v>
      </c>
      <c r="K43" s="95">
        <v>4</v>
      </c>
      <c r="L43" s="86"/>
      <c r="M43" s="85">
        <v>4</v>
      </c>
      <c r="N43" s="210">
        <f>(($C$24)^M29)*((1-($C$24))^($B$21-M29))*HLOOKUP($B$21,$AV$24:$BF$34,M29+1)</f>
        <v>1.4909764204146601E-6</v>
      </c>
      <c r="O43" s="72">
        <v>4</v>
      </c>
      <c r="P43" s="210">
        <f t="shared" si="29"/>
        <v>1.4909764204146601E-6</v>
      </c>
      <c r="Q43" s="28">
        <v>4</v>
      </c>
      <c r="R43" s="211">
        <f>P43*N39+P42*N40+P41*N41+P40*N42+P39*N43</f>
        <v>5.5598674975070247E-5</v>
      </c>
      <c r="S43" s="72">
        <v>4</v>
      </c>
      <c r="T43" s="212">
        <f t="shared" si="32"/>
        <v>0.27974825318169594</v>
      </c>
      <c r="U43" s="138">
        <v>4</v>
      </c>
      <c r="V43" s="86">
        <f>T43*R39+T42*R40+T41*R41+T40*R42+T39*R43</f>
        <v>0.27420845660976567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8.7546092616989299E-3</v>
      </c>
      <c r="AH43" s="28">
        <v>4</v>
      </c>
      <c r="AI43" s="213">
        <f>((($W$39)^M43)*((1-($W$39))^($U$30-M43))*HLOOKUP($U$30,$AV$24:$BF$34,M43+1))*V44</f>
        <v>1.8234064238353751E-2</v>
      </c>
      <c r="AJ43" s="28">
        <v>4</v>
      </c>
      <c r="AK43" s="213">
        <f>((($W$39)^M43)*((1-($W$39))^($U$31-M43))*HLOOKUP($U$31,$AV$24:$BF$34,M43+1))*V45</f>
        <v>1.4099521519398023E-2</v>
      </c>
      <c r="AL43" s="28">
        <v>4</v>
      </c>
      <c r="AM43" s="213">
        <f>((($W$39)^Q43)*((1-($W$39))^($U$32-Q43))*HLOOKUP($U$32,$AV$24:$BF$34,Q43+1))*V46</f>
        <v>4.9590981761485934E-3</v>
      </c>
      <c r="AN43" s="28">
        <v>4</v>
      </c>
      <c r="AO43" s="213">
        <f>((($W$39)^Q43)*((1-($W$39))^($U$33-Q43))*HLOOKUP($U$33,$AV$24:$BF$34,Q43+1))*V47</f>
        <v>8.1476107999314373E-4</v>
      </c>
      <c r="AP43" s="28">
        <v>4</v>
      </c>
      <c r="AQ43" s="213">
        <f>((($W$39)^Q43)*((1-($W$39))^($U$34-Q43))*HLOOKUP($U$34,$AV$24:$BF$34,Q43+1))*V48</f>
        <v>7.2940906829992191E-5</v>
      </c>
      <c r="AR43" s="28">
        <v>4</v>
      </c>
      <c r="AS43" s="213">
        <f>((($W$39)^Q43)*((1-($W$39))^($U$35-Q43))*HLOOKUP($U$35,$AV$24:$BF$34,Q43+1))*V49</f>
        <v>4.1259174716628627E-6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2.2743634796746376E-6</v>
      </c>
      <c r="BQ43" s="31">
        <f t="shared" si="30"/>
        <v>9</v>
      </c>
      <c r="BR43" s="31">
        <v>4</v>
      </c>
      <c r="BS43" s="107">
        <f t="shared" si="31"/>
        <v>1.4658125592061465E-4</v>
      </c>
    </row>
    <row r="44" spans="1:71" ht="15" customHeight="1" thickBot="1" x14ac:dyDescent="0.3">
      <c r="G44" s="91">
        <v>5</v>
      </c>
      <c r="H44" s="130">
        <f>J44*L39+J43*L40+J42*L41+J41*L42</f>
        <v>5.419232239125725E-2</v>
      </c>
      <c r="I44" s="138">
        <v>5</v>
      </c>
      <c r="J44" s="86">
        <f t="shared" si="28"/>
        <v>9.5128588338834405E-3</v>
      </c>
      <c r="K44" s="95">
        <v>5</v>
      </c>
      <c r="L44" s="86"/>
      <c r="M44" s="85">
        <v>5</v>
      </c>
      <c r="N44" s="210">
        <f>(($C$24)^M30)*((1-($C$24))^($B$21-M30))*HLOOKUP($B$21,$AV$24:$BF$34,M30+1)</f>
        <v>7.1786019002911028E-9</v>
      </c>
      <c r="O44" s="72">
        <v>5</v>
      </c>
      <c r="P44" s="210">
        <f t="shared" si="29"/>
        <v>7.1786019002911028E-9</v>
      </c>
      <c r="Q44" s="28">
        <v>5</v>
      </c>
      <c r="R44" s="211">
        <f>P44*N39+P43*N40+P42*N41+P41*N42+P40*N43+P39*N44</f>
        <v>1.606145134282027E-6</v>
      </c>
      <c r="S44" s="72">
        <v>5</v>
      </c>
      <c r="T44" s="212">
        <f t="shared" si="32"/>
        <v>0.17645659046845433</v>
      </c>
      <c r="U44" s="138">
        <v>5</v>
      </c>
      <c r="V44" s="86">
        <f>T44*R39+T43*R40+T42*R41+T41*R42+T40*R43+T39*R44</f>
        <v>0.19786133071764961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2.6702740133590476E-3</v>
      </c>
      <c r="AJ44" s="28">
        <v>5</v>
      </c>
      <c r="AK44" s="213">
        <f>((($W$39)^M44)*((1-($W$39))^($U$31-M44))*HLOOKUP($U$31,$AV$24:$BF$34,M44+1))*V45</f>
        <v>4.129587942862745E-3</v>
      </c>
      <c r="AL44" s="28">
        <v>5</v>
      </c>
      <c r="AM44" s="213">
        <f>((($W$39)^Q44)*((1-($W$39))^($U$32-Q44))*HLOOKUP($U$32,$AV$24:$BF$34,Q44+1))*V46</f>
        <v>2.1786943628747564E-3</v>
      </c>
      <c r="AN44" s="28">
        <v>5</v>
      </c>
      <c r="AO44" s="213">
        <f>((($W$39)^Q44)*((1-($W$39))^($U$33-Q44))*HLOOKUP($U$33,$AV$24:$BF$34,Q44+1))*V47</f>
        <v>4.7726832823716519E-4</v>
      </c>
      <c r="AP44" s="28">
        <v>5</v>
      </c>
      <c r="AQ44" s="213">
        <f>((($W$39)^Q44)*((1-($W$39))^($U$34-Q44))*HLOOKUP($U$34,$AV$24:$BF$34,Q44+1))*V48</f>
        <v>5.3408885005813833E-5</v>
      </c>
      <c r="AR44" s="28">
        <v>5</v>
      </c>
      <c r="AS44" s="213">
        <f>((($W$39)^Q44)*((1-($W$39))^($U$35-Q44))*HLOOKUP($U$35,$AV$24:$BF$34,Q44+1))*V49</f>
        <v>3.6253015439107925E-6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2.3608160878126551E-3</v>
      </c>
      <c r="BQ44" s="31">
        <f t="shared" si="30"/>
        <v>9</v>
      </c>
      <c r="BR44" s="31">
        <v>5</v>
      </c>
      <c r="BS44" s="107">
        <f t="shared" si="31"/>
        <v>7.3986507944350419E-5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2.1469516705988553E-2</v>
      </c>
      <c r="I45" s="138">
        <v>6</v>
      </c>
      <c r="J45" s="86">
        <f t="shared" si="28"/>
        <v>1.2387407031199593E-3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3.2221268881339456E-8</v>
      </c>
      <c r="S45" s="72">
        <v>6</v>
      </c>
      <c r="T45" s="212">
        <f t="shared" si="32"/>
        <v>6.1835215463304505E-2</v>
      </c>
      <c r="U45" s="138">
        <v>6</v>
      </c>
      <c r="V45" s="86">
        <f>T45*R39+T44*R40+T43*R41+T42*R42+T41*R43+T40*R44+T39*R45</f>
        <v>8.8341330844049645E-2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5.0396203618137197E-4</v>
      </c>
      <c r="AL45" s="28">
        <v>6</v>
      </c>
      <c r="AM45" s="213">
        <f>((($W$39)^Q45)*((1-($W$39))^($U$32-Q45))*HLOOKUP($U$32,$AV$24:$BF$34,Q45+1))*V46</f>
        <v>5.3176213342490987E-4</v>
      </c>
      <c r="AN45" s="28">
        <v>6</v>
      </c>
      <c r="AO45" s="213">
        <f>((($W$39)^Q45)*((1-($W$39))^($U$33-Q45))*HLOOKUP($U$33,$AV$24:$BF$34,Q45+1))*V47</f>
        <v>1.7473301585863E-4</v>
      </c>
      <c r="AP45" s="28">
        <v>6</v>
      </c>
      <c r="AQ45" s="213">
        <f>((($W$39)^Q45)*((1-($W$39))^($U$34-Q45))*HLOOKUP($U$34,$AV$24:$BF$34,Q45+1))*V48</f>
        <v>2.6071415172766827E-5</v>
      </c>
      <c r="AR45" s="28">
        <v>6</v>
      </c>
      <c r="AS45" s="213">
        <f>((($W$39)^Q45)*((1-($W$39))^($U$35-Q45))*HLOOKUP($U$35,$AV$24:$BF$34,Q45+1))*V49</f>
        <v>2.2121024822808561E-6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6.6971044084898699E-4</v>
      </c>
      <c r="BQ45" s="31">
        <f t="shared" si="30"/>
        <v>9</v>
      </c>
      <c r="BR45" s="31">
        <v>6</v>
      </c>
      <c r="BS45" s="107">
        <f t="shared" si="31"/>
        <v>2.9311431919464087E-5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6.0904191445527341E-3</v>
      </c>
      <c r="I46" s="138">
        <v>7</v>
      </c>
      <c r="J46" s="86">
        <f t="shared" si="28"/>
        <v>1.0128616503531079E-4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4.4324484058008001E-10</v>
      </c>
      <c r="S46" s="72">
        <v>7</v>
      </c>
      <c r="T46" s="212">
        <f t="shared" si="32"/>
        <v>9.2866074505329101E-3</v>
      </c>
      <c r="U46" s="138">
        <v>7</v>
      </c>
      <c r="V46" s="86">
        <f>T46*R39+T45*R40+T44*R41+T43*R42+T42*R43+T41*R44+T40*R45+T39*R46</f>
        <v>2.3066879989646245E-2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5.5623936590464478E-5</v>
      </c>
      <c r="AN46" s="28">
        <v>7</v>
      </c>
      <c r="AO46" s="213">
        <f>((($W$39)^Q46)*((1-($W$39))^($U$33-Q46))*HLOOKUP($U$33,$AV$24:$BF$34,Q46+1))*V47</f>
        <v>3.6555209870931992E-5</v>
      </c>
      <c r="AP46" s="28">
        <v>7</v>
      </c>
      <c r="AQ46" s="213">
        <f>((($W$39)^Q46)*((1-($W$39))^($U$34-Q46))*HLOOKUP($U$34,$AV$24:$BF$34,Q46+1))*V48</f>
        <v>8.1814479815631952E-6</v>
      </c>
      <c r="AR46" s="28">
        <v>7</v>
      </c>
      <c r="AS46" s="213">
        <f>((($W$39)^Q46)*((1-($W$39))^($U$35-Q46))*HLOOKUP($U$35,$AV$24:$BF$34,Q46+1))*V49</f>
        <v>9.2557059235113584E-7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1.2952551225468804E-4</v>
      </c>
      <c r="BQ46" s="31">
        <f t="shared" si="30"/>
        <v>9</v>
      </c>
      <c r="BR46" s="31">
        <v>7</v>
      </c>
      <c r="BS46" s="107">
        <f t="shared" si="31"/>
        <v>8.3149941641100563E-6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1.1779190101081805E-3</v>
      </c>
      <c r="I47" s="138">
        <v>8</v>
      </c>
      <c r="J47" s="86">
        <f t="shared" si="28"/>
        <v>5.0976164104744419E-6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4.0014192352185233E-12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3.2823871356185016E-3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3.3458128730674266E-6</v>
      </c>
      <c r="AP47" s="28">
        <v>8</v>
      </c>
      <c r="AQ47" s="213">
        <f>((($W$39)^Q47)*((1-($W$39))^($U$34-Q47))*HLOOKUP($U$34,$AV$24:$BF$34,Q47+1))*V48</f>
        <v>1.4976576019503368E-6</v>
      </c>
      <c r="AR47" s="28">
        <v>8</v>
      </c>
      <c r="AS47" s="213">
        <f>((($W$39)^Q47)*((1-($W$39))^($U$35-Q47))*HLOOKUP($U$35,$AV$24:$BF$34,Q47+1))*V49</f>
        <v>2.5414593545667856E-7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1.6498127339761061E-5</v>
      </c>
      <c r="BQ47" s="31">
        <f>BM12+1</f>
        <v>9</v>
      </c>
      <c r="BR47" s="31">
        <v>8</v>
      </c>
      <c r="BS47" s="107">
        <f t="shared" si="31"/>
        <v>1.6081634879930897E-6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1.5003575346977008E-4</v>
      </c>
      <c r="I48" s="138">
        <v>9</v>
      </c>
      <c r="J48" s="86">
        <f t="shared" si="28"/>
        <v>1.6319987931137065E-7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2.1406252329755811E-14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2.8278837501760179E-4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1.2184630928869869E-7</v>
      </c>
      <c r="AR48" s="28">
        <v>9</v>
      </c>
      <c r="AS48" s="213">
        <f>((($W$39)^Q48)*((1-($W$39))^($U$35-Q48))*HLOOKUP($U$35,$AV$24:$BF$34,Q48+1))*V49</f>
        <v>4.1353570022671951E-8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1.3345392766934437E-6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1.2136444445494422E-5</v>
      </c>
      <c r="I49" s="94">
        <v>10</v>
      </c>
      <c r="J49" s="89">
        <f t="shared" si="28"/>
        <v>3.027996445216381E-9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5.1532325242863035E-17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1.6625149279581031E-5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3.027996445216381E-9</v>
      </c>
      <c r="BI49" s="31">
        <f>BQ14+1</f>
        <v>6</v>
      </c>
      <c r="BJ49" s="31">
        <v>0</v>
      </c>
      <c r="BK49" s="107">
        <f>$H$31*H39</f>
        <v>5.5231343029094283E-3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301"/>
      <c r="J50" s="301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301"/>
      <c r="X50" s="158"/>
      <c r="Y50" s="158"/>
      <c r="BI50" s="31">
        <f>BI45+1</f>
        <v>6</v>
      </c>
      <c r="BJ50" s="31">
        <v>7</v>
      </c>
      <c r="BK50" s="107">
        <f>$H$31*H46</f>
        <v>3.1345044096535034E-4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6.0622959500268141E-5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7.7217629804231983E-6</v>
      </c>
    </row>
    <row r="53" spans="1:63" x14ac:dyDescent="0.25">
      <c r="BI53" s="31">
        <f>BI48+1</f>
        <v>6</v>
      </c>
      <c r="BJ53" s="31">
        <v>10</v>
      </c>
      <c r="BK53" s="107">
        <f>$H$31*H49</f>
        <v>6.2461610160183362E-7</v>
      </c>
    </row>
    <row r="54" spans="1:63" x14ac:dyDescent="0.25">
      <c r="BI54" s="31">
        <f>BI51+1</f>
        <v>7</v>
      </c>
      <c r="BJ54" s="31">
        <v>8</v>
      </c>
      <c r="BK54" s="107">
        <f>$H$32*H47</f>
        <v>2.2955026127341738E-5</v>
      </c>
    </row>
    <row r="55" spans="1:63" x14ac:dyDescent="0.25">
      <c r="BI55" s="31">
        <f>BI52+1</f>
        <v>7</v>
      </c>
      <c r="BJ55" s="31">
        <v>9</v>
      </c>
      <c r="BK55" s="107">
        <f>$H$32*H48</f>
        <v>2.9238637048719257E-6</v>
      </c>
    </row>
    <row r="56" spans="1:63" x14ac:dyDescent="0.25">
      <c r="BI56" s="31">
        <f>BI53+1</f>
        <v>7</v>
      </c>
      <c r="BJ56" s="31">
        <v>10</v>
      </c>
      <c r="BK56" s="107">
        <f>$H$32*H49</f>
        <v>2.3651235522022005E-7</v>
      </c>
    </row>
    <row r="57" spans="1:63" x14ac:dyDescent="0.25">
      <c r="BI57" s="31">
        <f>BI55+1</f>
        <v>8</v>
      </c>
      <c r="BJ57" s="31">
        <v>9</v>
      </c>
      <c r="BK57" s="107">
        <f>$H$33*H48</f>
        <v>8.8227483560286595E-7</v>
      </c>
    </row>
    <row r="58" spans="1:63" x14ac:dyDescent="0.25">
      <c r="BI58" s="31">
        <f>BI56+1</f>
        <v>8</v>
      </c>
      <c r="BJ58" s="31">
        <v>10</v>
      </c>
      <c r="BK58" s="107">
        <f>$H$33*H49</f>
        <v>7.1367519276725872E-8</v>
      </c>
    </row>
    <row r="59" spans="1:63" x14ac:dyDescent="0.25">
      <c r="BI59" s="31">
        <f>BI58+1</f>
        <v>9</v>
      </c>
      <c r="BJ59" s="31">
        <v>10</v>
      </c>
      <c r="BK59" s="107">
        <f>$H$34*H49</f>
        <v>1.6569379272950341E-8</v>
      </c>
    </row>
  </sheetData>
  <mergeCells count="2">
    <mergeCell ref="Q1:R1"/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D0CE-F388-49A4-9ABC-49DF82B3318D}">
  <sheetPr>
    <tabColor theme="9" tint="-0.249977111117893"/>
  </sheetPr>
  <dimension ref="A1:BS59"/>
  <sheetViews>
    <sheetView zoomScale="90" zoomScaleNormal="90" workbookViewId="0">
      <selection activeCell="G5" sqref="G5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9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2"/>
      <c r="R1" s="30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9" t="s">
        <v>194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2.5649999999999999</v>
      </c>
      <c r="S2" s="198">
        <f>SUM(S4:S15)</f>
        <v>3.5750000000000011</v>
      </c>
      <c r="T2" s="256">
        <f t="shared" ref="T2:U2" si="0">SUM(T4:T15)</f>
        <v>0.62479935340929649</v>
      </c>
      <c r="U2" s="256">
        <f t="shared" si="0"/>
        <v>0.60238144581097652</v>
      </c>
      <c r="V2" s="158"/>
      <c r="W2" s="158"/>
      <c r="X2" s="290">
        <f t="shared" ref="X2:Y2" si="1">SUM(X4:X15)</f>
        <v>0.3387569312564056</v>
      </c>
      <c r="Y2" s="291">
        <f t="shared" si="1"/>
        <v>0.32239694301260025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3" t="s">
        <v>5</v>
      </c>
      <c r="C3" s="303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2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0.62719298245614041</v>
      </c>
      <c r="T4" s="263">
        <f t="shared" ref="T4:T9" si="4">IF(S4=0,0,IF(Q4=0,S4*P4/L4,S4*P4/(L4*2)))</f>
        <v>0.10453216374269007</v>
      </c>
      <c r="U4" s="265">
        <f t="shared" ref="U4:U9" si="5">IF(S4=0,0,IF(P4=0,S4*Q4/L4,S4*Q4/(L4*2)))</f>
        <v>5.2266081871345037E-2</v>
      </c>
      <c r="V4" s="255">
        <f>$G$17</f>
        <v>0.56999999999999995</v>
      </c>
      <c r="W4" s="253">
        <f>$H$17</f>
        <v>0.56999999999999995</v>
      </c>
      <c r="X4" s="288">
        <f>V4*T4</f>
        <v>5.9583333333333335E-2</v>
      </c>
      <c r="Y4" s="289">
        <f>W4*U4</f>
        <v>2.9791666666666668E-2</v>
      </c>
      <c r="Z4" s="227"/>
      <c r="AA4" s="281">
        <f t="shared" ref="AA4:AA14" si="6">X5</f>
        <v>1.7378472222222219E-2</v>
      </c>
      <c r="AB4" s="282">
        <f t="shared" ref="AB4:AB15" si="7">(1-AA4)</f>
        <v>0.98262152777777778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2.9791666666666668E-2</v>
      </c>
      <c r="AH4" s="284">
        <f t="shared" ref="AH4:AH15" si="8">(1-AG4)</f>
        <v>0.97020833333333334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1.2933390090041057E-2</v>
      </c>
      <c r="BM4" s="31">
        <v>0</v>
      </c>
      <c r="BN4" s="31">
        <v>0</v>
      </c>
      <c r="BO4" s="107">
        <f>H25*H39</f>
        <v>6.0333968996163336E-3</v>
      </c>
      <c r="BQ4" s="31">
        <v>1</v>
      </c>
      <c r="BR4" s="31">
        <v>0</v>
      </c>
      <c r="BS4" s="107">
        <f>$H$26*H39</f>
        <v>2.0969451630036214E-2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162</v>
      </c>
      <c r="G5" s="279" t="s">
        <v>1</v>
      </c>
      <c r="H5" s="279" t="s">
        <v>162</v>
      </c>
      <c r="I5" s="279" t="s">
        <v>37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1</v>
      </c>
      <c r="Q5" s="251">
        <f>COUNTIF(E10:I11,"IMP")</f>
        <v>1</v>
      </c>
      <c r="R5" s="258">
        <f t="shared" si="2"/>
        <v>0.35</v>
      </c>
      <c r="S5" s="258">
        <f t="shared" si="3"/>
        <v>0.48781676413255359</v>
      </c>
      <c r="T5" s="263">
        <f t="shared" si="4"/>
        <v>3.04885477582846E-2</v>
      </c>
      <c r="U5" s="265">
        <f t="shared" si="5"/>
        <v>3.04885477582846E-2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1.7378472222222219E-2</v>
      </c>
      <c r="Y5" s="289">
        <f t="shared" si="11"/>
        <v>1.7378472222222219E-2</v>
      </c>
      <c r="Z5" s="236"/>
      <c r="AA5" s="281">
        <f t="shared" si="6"/>
        <v>3.2565789473684215E-2</v>
      </c>
      <c r="AB5" s="282">
        <f t="shared" si="7"/>
        <v>0.96743421052631584</v>
      </c>
      <c r="AC5" s="282">
        <f>AA5*PRODUCT(AB3:AB4)*PRODUCT(AB6:AB17)</f>
        <v>2.5254295181563274E-2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6.1771708939636462E-3</v>
      </c>
      <c r="AE5" s="220"/>
      <c r="AF5" s="234"/>
      <c r="AG5" s="283">
        <f t="shared" ref="AG5:AG15" si="12">Y5</f>
        <v>1.7378472222222219E-2</v>
      </c>
      <c r="AH5" s="284">
        <f t="shared" si="8"/>
        <v>0.98262152777777778</v>
      </c>
      <c r="AI5" s="284">
        <f>AG5*PRODUCT(AH3:AH4)*PRODUCT(AH6:AH17)</f>
        <v>1.2687384414345679E-2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3.7297479439757299E-3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1.2787626796525765E-2</v>
      </c>
      <c r="BM5" s="31">
        <v>1</v>
      </c>
      <c r="BN5" s="31">
        <v>1</v>
      </c>
      <c r="BO5" s="107">
        <f>$H$26*H40</f>
        <v>4.4950813350726482E-2</v>
      </c>
      <c r="BQ5" s="31">
        <f>BQ4+1</f>
        <v>2</v>
      </c>
      <c r="BR5" s="31">
        <v>0</v>
      </c>
      <c r="BS5" s="107">
        <f>$H$27*H39</f>
        <v>3.3521541116835384E-2</v>
      </c>
    </row>
    <row r="6" spans="1:71" ht="15.75" x14ac:dyDescent="0.25">
      <c r="A6" s="2" t="s">
        <v>35</v>
      </c>
      <c r="B6" s="269">
        <v>4</v>
      </c>
      <c r="C6" s="270">
        <f>9.75/1.2</f>
        <v>8.125</v>
      </c>
      <c r="E6" s="248"/>
      <c r="F6" s="279" t="s">
        <v>1</v>
      </c>
      <c r="G6" s="279" t="s">
        <v>162</v>
      </c>
      <c r="H6" s="279" t="s">
        <v>162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3</v>
      </c>
      <c r="Q6" s="251">
        <f>COUNTIF(E9:I11,"IMP")</f>
        <v>1</v>
      </c>
      <c r="R6" s="258">
        <f t="shared" si="2"/>
        <v>0.45</v>
      </c>
      <c r="S6" s="258">
        <f t="shared" si="3"/>
        <v>0.62719298245614041</v>
      </c>
      <c r="T6" s="263">
        <f t="shared" si="4"/>
        <v>7.2368421052631582E-2</v>
      </c>
      <c r="U6" s="265">
        <f t="shared" si="5"/>
        <v>2.4122807017543862E-2</v>
      </c>
      <c r="V6" s="255">
        <f>$G$18</f>
        <v>0.45</v>
      </c>
      <c r="W6" s="253">
        <f>$H$18</f>
        <v>0.45</v>
      </c>
      <c r="X6" s="288">
        <f t="shared" si="11"/>
        <v>3.2565789473684215E-2</v>
      </c>
      <c r="Y6" s="289">
        <f t="shared" si="11"/>
        <v>1.0855263157894738E-2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1.0855263157894738E-2</v>
      </c>
      <c r="AH6" s="284">
        <f t="shared" si="8"/>
        <v>0.98914473684210524</v>
      </c>
      <c r="AI6" s="284">
        <f>AG6*PRODUCT(AH3:AH5)*PRODUCT(AH7:AH17)</f>
        <v>7.8727650551740219E-3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2.2279812239666403E-3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7.9794237170263856E-3</v>
      </c>
      <c r="BM6" s="31">
        <f>BI14+1</f>
        <v>2</v>
      </c>
      <c r="BN6" s="31">
        <v>2</v>
      </c>
      <c r="BO6" s="107">
        <f>$H$27*H41</f>
        <v>7.1048028926083598E-2</v>
      </c>
      <c r="BQ6" s="31">
        <f>BM5+1</f>
        <v>2</v>
      </c>
      <c r="BR6" s="31">
        <v>1</v>
      </c>
      <c r="BS6" s="107">
        <f>$H$27*H40</f>
        <v>7.1857889493554122E-2</v>
      </c>
    </row>
    <row r="7" spans="1:71" ht="15.75" x14ac:dyDescent="0.25">
      <c r="A7" s="5" t="s">
        <v>40</v>
      </c>
      <c r="B7" s="269">
        <v>21</v>
      </c>
      <c r="C7" s="270">
        <v>11.5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2.7875243664717352E-2</v>
      </c>
      <c r="T7" s="263">
        <f t="shared" si="4"/>
        <v>0</v>
      </c>
      <c r="U7" s="265">
        <f t="shared" si="5"/>
        <v>6.9688109161793379E-3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3.1359649122807021E-3</v>
      </c>
      <c r="Z7" s="236"/>
      <c r="AA7" s="281">
        <f t="shared" si="6"/>
        <v>7.4479166666666652E-2</v>
      </c>
      <c r="AB7" s="282">
        <f t="shared" si="7"/>
        <v>0.92552083333333335</v>
      </c>
      <c r="AC7" s="282">
        <f>AA7*PRODUCT(AB3:AB6)*PRODUCT(AB8:AB17)</f>
        <v>6.0373129974157953E-2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9.9088073852417139E-3</v>
      </c>
      <c r="AE7" s="220"/>
      <c r="AF7" s="234"/>
      <c r="AG7" s="283">
        <f t="shared" si="12"/>
        <v>3.1359649122807021E-3</v>
      </c>
      <c r="AH7" s="284">
        <f t="shared" si="8"/>
        <v>0.99686403508771926</v>
      </c>
      <c r="AI7" s="284">
        <f>AG7*PRODUCT(AH3:AH6)*PRODUCT(AH8:AH17)</f>
        <v>2.2567427002207784E-3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6.3155561965289714E-4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3.6489602910233505E-3</v>
      </c>
      <c r="BM7" s="31">
        <f>BI23+1</f>
        <v>3</v>
      </c>
      <c r="BN7" s="31">
        <v>3</v>
      </c>
      <c r="BO7" s="107">
        <f>$H$28*H42</f>
        <v>4.3477726596168914E-2</v>
      </c>
      <c r="BQ7" s="31">
        <f>BQ5+1</f>
        <v>3</v>
      </c>
      <c r="BR7" s="31">
        <v>0</v>
      </c>
      <c r="BS7" s="107">
        <f>$H$28*H39</f>
        <v>3.2874351601101318E-2</v>
      </c>
    </row>
    <row r="8" spans="1:71" ht="15.75" x14ac:dyDescent="0.25">
      <c r="A8" s="5" t="s">
        <v>44</v>
      </c>
      <c r="B8" s="269">
        <v>20.25</v>
      </c>
      <c r="C8" s="270">
        <v>11.75</v>
      </c>
      <c r="E8" s="250"/>
      <c r="F8" s="251"/>
      <c r="G8" s="280" t="s">
        <v>37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3</v>
      </c>
      <c r="Q8" s="251">
        <f>COUNTIF(E10:I11,"RAP")</f>
        <v>3</v>
      </c>
      <c r="R8" s="258">
        <f t="shared" si="2"/>
        <v>0.5</v>
      </c>
      <c r="S8" s="258">
        <f t="shared" si="3"/>
        <v>0.69688109161793377</v>
      </c>
      <c r="T8" s="263">
        <f t="shared" si="4"/>
        <v>0.13066520467836257</v>
      </c>
      <c r="U8" s="265">
        <f t="shared" si="5"/>
        <v>0.13066520467836257</v>
      </c>
      <c r="V8" s="255">
        <f>$G$17</f>
        <v>0.56999999999999995</v>
      </c>
      <c r="W8" s="253">
        <f>$H$17</f>
        <v>0.56999999999999995</v>
      </c>
      <c r="X8" s="288">
        <f t="shared" si="11"/>
        <v>7.4479166666666652E-2</v>
      </c>
      <c r="Y8" s="289">
        <f t="shared" si="11"/>
        <v>7.4479166666666652E-2</v>
      </c>
      <c r="Z8" s="236"/>
      <c r="AA8" s="281">
        <f t="shared" si="6"/>
        <v>7.4479166666666652E-2</v>
      </c>
      <c r="AB8" s="282">
        <f t="shared" si="7"/>
        <v>0.92552083333333335</v>
      </c>
      <c r="AC8" s="282">
        <f>AA8*PRODUCT(AB3:AB7)*PRODUCT(AB9:AB17)</f>
        <v>6.0373129974157967E-2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5.0504181976758246E-3</v>
      </c>
      <c r="AE8" s="220"/>
      <c r="AF8" s="234"/>
      <c r="AG8" s="283">
        <f t="shared" si="12"/>
        <v>7.4479166666666652E-2</v>
      </c>
      <c r="AH8" s="284">
        <f t="shared" si="8"/>
        <v>0.92552083333333335</v>
      </c>
      <c r="AI8" s="284">
        <f>AG8*PRODUCT(AH3:AH7)*PRODUCT(AH9:AH17)</f>
        <v>5.7729180035979676E-2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1.1510045614753316E-2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1.3293394673242189E-3</v>
      </c>
      <c r="BM8" s="31">
        <f>BI31+1</f>
        <v>4</v>
      </c>
      <c r="BN8" s="31">
        <v>4</v>
      </c>
      <c r="BO8" s="107">
        <f>$H$29*H43</f>
        <v>1.3505320524009708E-2</v>
      </c>
      <c r="BQ8" s="31">
        <f>BQ6+1</f>
        <v>3</v>
      </c>
      <c r="BR8" s="31">
        <v>1</v>
      </c>
      <c r="BS8" s="107">
        <f>$H$28*H40</f>
        <v>7.0470552540849135E-2</v>
      </c>
    </row>
    <row r="9" spans="1:71" ht="15.75" x14ac:dyDescent="0.25">
      <c r="A9" s="5" t="s">
        <v>47</v>
      </c>
      <c r="B9" s="269">
        <v>21</v>
      </c>
      <c r="C9" s="270">
        <v>11.75</v>
      </c>
      <c r="E9" s="280" t="s">
        <v>162</v>
      </c>
      <c r="F9" s="280" t="s">
        <v>162</v>
      </c>
      <c r="G9" s="280" t="s">
        <v>162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3</v>
      </c>
      <c r="Q9" s="251">
        <f>COUNTIF(E10:I11,"RAP")</f>
        <v>3</v>
      </c>
      <c r="R9" s="258">
        <f t="shared" si="2"/>
        <v>0.5</v>
      </c>
      <c r="S9" s="258">
        <f t="shared" si="3"/>
        <v>0.69688109161793377</v>
      </c>
      <c r="T9" s="263">
        <f t="shared" si="4"/>
        <v>0.13066520467836257</v>
      </c>
      <c r="U9" s="265">
        <f t="shared" si="5"/>
        <v>0.13066520467836257</v>
      </c>
      <c r="V9" s="255">
        <f>$G$17</f>
        <v>0.56999999999999995</v>
      </c>
      <c r="W9" s="253">
        <f>$H$17</f>
        <v>0.56999999999999995</v>
      </c>
      <c r="X9" s="288">
        <f t="shared" si="11"/>
        <v>7.4479166666666652E-2</v>
      </c>
      <c r="Y9" s="289">
        <f t="shared" si="11"/>
        <v>7.4479166666666652E-2</v>
      </c>
      <c r="Z9" s="236"/>
      <c r="AA9" s="281">
        <f t="shared" si="6"/>
        <v>3.1036353771025503E-2</v>
      </c>
      <c r="AB9" s="282">
        <f t="shared" si="7"/>
        <v>0.96896364622897446</v>
      </c>
      <c r="AC9" s="282">
        <f>AA9*PRODUCT(AB3:AB8)*PRODUCT(AB10:AB17)</f>
        <v>2.4030250187944614E-2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1.2405123441357067E-3</v>
      </c>
      <c r="AE9" s="220"/>
      <c r="AF9" s="234"/>
      <c r="AG9" s="283">
        <f t="shared" si="12"/>
        <v>7.4479166666666652E-2</v>
      </c>
      <c r="AH9" s="284">
        <f t="shared" si="8"/>
        <v>0.92552083333333335</v>
      </c>
      <c r="AI9" s="284">
        <f>AG9*PRODUCT(AH3:AH8)*PRODUCT(AH10:AH17)</f>
        <v>5.7729180035979669E-2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6.8644222353807238E-3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3.9591164663751175E-4</v>
      </c>
      <c r="BM9" s="31">
        <f>BI38+1</f>
        <v>5</v>
      </c>
      <c r="BN9" s="31">
        <v>5</v>
      </c>
      <c r="BO9" s="107">
        <f>$H$30*H44</f>
        <v>2.487782401374059E-3</v>
      </c>
      <c r="BQ9" s="31">
        <f>BM6+1</f>
        <v>3</v>
      </c>
      <c r="BR9" s="31">
        <v>2</v>
      </c>
      <c r="BS9" s="107">
        <f>$H$28*H41</f>
        <v>6.9676327688534018E-2</v>
      </c>
    </row>
    <row r="10" spans="1:71" ht="15.75" x14ac:dyDescent="0.25">
      <c r="A10" s="6" t="s">
        <v>50</v>
      </c>
      <c r="B10" s="269">
        <v>14.75</v>
      </c>
      <c r="C10" s="270">
        <v>11.5</v>
      </c>
      <c r="E10" s="280" t="s">
        <v>37</v>
      </c>
      <c r="F10" s="280" t="s">
        <v>162</v>
      </c>
      <c r="G10" s="280" t="s">
        <v>162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0.20906432748538012</v>
      </c>
      <c r="T10" s="263">
        <f>S10*G13</f>
        <v>6.8969675046723342E-2</v>
      </c>
      <c r="U10" s="265">
        <f>S10*G14</f>
        <v>0.14009465243865679</v>
      </c>
      <c r="V10" s="255">
        <f>$G$18</f>
        <v>0.45</v>
      </c>
      <c r="W10" s="253">
        <f>$H$18</f>
        <v>0.45</v>
      </c>
      <c r="X10" s="288">
        <f t="shared" si="11"/>
        <v>3.1036353771025503E-2</v>
      </c>
      <c r="Y10" s="289">
        <f t="shared" si="11"/>
        <v>6.3042593597395558E-2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6.3042593597395558E-2</v>
      </c>
      <c r="AH10" s="284">
        <f t="shared" si="8"/>
        <v>0.9369574064026045</v>
      </c>
      <c r="AI10" s="284">
        <f>AG10*PRODUCT(AH3:AH9)*PRODUCT(AH11:AH17)</f>
        <v>4.8268188787548107E-2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2.4917461762451855E-3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9.4651184845042456E-5</v>
      </c>
      <c r="BM10" s="31">
        <f>BI44+1</f>
        <v>6</v>
      </c>
      <c r="BN10" s="31">
        <v>6</v>
      </c>
      <c r="BO10" s="107">
        <f>$H$31*H45</f>
        <v>2.9346642484720363E-4</v>
      </c>
      <c r="BQ10" s="31">
        <f>BQ7+1</f>
        <v>4</v>
      </c>
      <c r="BR10" s="31">
        <v>0</v>
      </c>
      <c r="BS10" s="107">
        <f>$H$29*H39</f>
        <v>2.2330459221038306E-2</v>
      </c>
    </row>
    <row r="11" spans="1:71" ht="15.75" x14ac:dyDescent="0.25">
      <c r="A11" s="6" t="s">
        <v>53</v>
      </c>
      <c r="B11" s="269">
        <v>10.25</v>
      </c>
      <c r="C11" s="270">
        <v>12.5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0</v>
      </c>
      <c r="Q11" s="251">
        <f>COUNTIF(E9:I11,"CAB")</f>
        <v>0</v>
      </c>
      <c r="R11" s="258">
        <f t="shared" si="2"/>
        <v>0</v>
      </c>
      <c r="S11" s="258">
        <f t="shared" si="3"/>
        <v>0</v>
      </c>
      <c r="T11" s="263">
        <f>IF(P11&gt;0,S11*G13,0)</f>
        <v>0</v>
      </c>
      <c r="U11" s="265">
        <f>IF(Q11&gt;0,S11*G14,0)</f>
        <v>0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0</v>
      </c>
      <c r="Y11" s="289">
        <f t="shared" si="11"/>
        <v>0</v>
      </c>
      <c r="Z11" s="236"/>
      <c r="AA11" s="281">
        <f t="shared" si="6"/>
        <v>1.5679824561403511E-3</v>
      </c>
      <c r="AB11" s="282">
        <f t="shared" si="7"/>
        <v>0.99843201754385968</v>
      </c>
      <c r="AC11" s="282">
        <f>AA11*PRODUCT(AB3:AB10)*PRODUCT(AB12:AB17)</f>
        <v>1.1781966456623732E-3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5.8971690699936781E-5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1.7520605752640073E-5</v>
      </c>
      <c r="BM11" s="31">
        <f>BI50+1</f>
        <v>7</v>
      </c>
      <c r="BN11" s="31">
        <v>7</v>
      </c>
      <c r="BO11" s="107">
        <f>$H$32*H46</f>
        <v>2.2565292790280304E-5</v>
      </c>
      <c r="BQ11" s="31">
        <f>BQ8+1</f>
        <v>4</v>
      </c>
      <c r="BR11" s="31">
        <v>1</v>
      </c>
      <c r="BS11" s="107">
        <f>$H$29*H40</f>
        <v>4.7868314450489453E-2</v>
      </c>
    </row>
    <row r="12" spans="1:71" ht="15.75" x14ac:dyDescent="0.25">
      <c r="A12" s="6" t="s">
        <v>57</v>
      </c>
      <c r="B12" s="269">
        <v>14.25</v>
      </c>
      <c r="C12" s="270">
        <v>9.75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1</v>
      </c>
      <c r="R12" s="258">
        <f t="shared" si="2"/>
        <v>2.5000000000000001E-2</v>
      </c>
      <c r="S12" s="258">
        <f t="shared" si="3"/>
        <v>3.4844054580896691E-2</v>
      </c>
      <c r="T12" s="263">
        <f>IF(S12=0,0,IF(Q12=0,S12*P12/L12,S12*P12/(L12*2)))</f>
        <v>3.4844054580896689E-3</v>
      </c>
      <c r="U12" s="265">
        <f>IF(S12=0,0,IF(P12=0,S12*Q12/L12,S12*Q12/(L12*2)))</f>
        <v>3.4844054580896689E-3</v>
      </c>
      <c r="V12" s="255">
        <f>$G$18</f>
        <v>0.45</v>
      </c>
      <c r="W12" s="253">
        <f>$H$18</f>
        <v>0.45</v>
      </c>
      <c r="X12" s="288">
        <f t="shared" si="11"/>
        <v>1.5679824561403511E-3</v>
      </c>
      <c r="Y12" s="289">
        <f t="shared" si="11"/>
        <v>1.5679824561403511E-3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1.5679824561403511E-3</v>
      </c>
      <c r="AH12" s="284">
        <f t="shared" si="8"/>
        <v>0.99843201754385968</v>
      </c>
      <c r="AI12" s="284">
        <f>AG12*PRODUCT(AH3:AH11)*PRODUCT(AH13:AH17)</f>
        <v>1.126599305093907E-3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5.638911467568383E-5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2.4162104773496459E-6</v>
      </c>
      <c r="BM12" s="31">
        <f>BI54+1</f>
        <v>8</v>
      </c>
      <c r="BN12" s="31">
        <v>8</v>
      </c>
      <c r="BO12" s="107">
        <f>$H$33*H47</f>
        <v>1.1109006334557517E-6</v>
      </c>
      <c r="BQ12" s="31">
        <f>BQ9+1</f>
        <v>4</v>
      </c>
      <c r="BR12" s="31">
        <v>2</v>
      </c>
      <c r="BS12" s="107">
        <f>$H$29*H41</f>
        <v>4.732882378943673E-2</v>
      </c>
    </row>
    <row r="13" spans="1:71" ht="15.75" x14ac:dyDescent="0.25">
      <c r="A13" s="7" t="s">
        <v>60</v>
      </c>
      <c r="B13" s="269">
        <v>12</v>
      </c>
      <c r="C13" s="270">
        <v>7.75</v>
      </c>
      <c r="E13" s="247"/>
      <c r="F13" s="247" t="s">
        <v>163</v>
      </c>
      <c r="G13" s="254">
        <f>B22</f>
        <v>0.32989690721649484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0</v>
      </c>
      <c r="R13" s="258">
        <f t="shared" si="2"/>
        <v>0</v>
      </c>
      <c r="S13" s="258">
        <f t="shared" si="3"/>
        <v>0</v>
      </c>
      <c r="T13" s="263">
        <f>IF((Q13+P13)=0,0,S13*P13/(Q13+P13))</f>
        <v>0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</v>
      </c>
      <c r="Z13" s="236"/>
      <c r="AA13" s="281">
        <f t="shared" si="6"/>
        <v>4.7666666666666663E-2</v>
      </c>
      <c r="AB13" s="282">
        <f t="shared" si="7"/>
        <v>0.95233333333333337</v>
      </c>
      <c r="AC13" s="282">
        <f>AA13*PRODUCT(AB3:AB12)*PRODUCT(AB14:AB17)</f>
        <v>3.7550945734714285E-2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2.3783801862141116E-7</v>
      </c>
      <c r="BM13" s="31">
        <f>BI57+1</f>
        <v>9</v>
      </c>
      <c r="BN13" s="31">
        <v>9</v>
      </c>
      <c r="BO13" s="107">
        <f>$H$34*H48</f>
        <v>3.361451429544413E-8</v>
      </c>
      <c r="BQ13" s="31">
        <f>BM7+1</f>
        <v>4</v>
      </c>
      <c r="BR13" s="31">
        <v>3</v>
      </c>
      <c r="BS13" s="107">
        <f>$H$29*H42</f>
        <v>2.9532980986511002E-2</v>
      </c>
    </row>
    <row r="14" spans="1:71" ht="15.75" x14ac:dyDescent="0.25">
      <c r="A14" s="7" t="s">
        <v>63</v>
      </c>
      <c r="B14" s="269">
        <v>11</v>
      </c>
      <c r="C14" s="270">
        <v>5.5</v>
      </c>
      <c r="E14" s="247"/>
      <c r="F14" s="247" t="s">
        <v>164</v>
      </c>
      <c r="G14" s="252">
        <f>C22</f>
        <v>0.67010309278350522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0.1672514619883041</v>
      </c>
      <c r="T14" s="263">
        <f>S14*P14/(Q14+P14)</f>
        <v>8.3625730994152048E-2</v>
      </c>
      <c r="U14" s="265">
        <f>S14*Q14/(Q14+P14)</f>
        <v>8.3625730994152048E-2</v>
      </c>
      <c r="V14" s="255">
        <f>$G$17</f>
        <v>0.56999999999999995</v>
      </c>
      <c r="W14" s="253">
        <f>$H$17</f>
        <v>0.56999999999999995</v>
      </c>
      <c r="X14" s="288">
        <f t="shared" si="11"/>
        <v>4.7666666666666663E-2</v>
      </c>
      <c r="Y14" s="289">
        <f t="shared" si="11"/>
        <v>4.7666666666666663E-2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4.7666666666666663E-2</v>
      </c>
      <c r="AH14" s="284">
        <f t="shared" si="8"/>
        <v>0.95233333333333337</v>
      </c>
      <c r="AI14" s="284">
        <f>AG14*PRODUCT(AH3:AH13)*PRODUCT(AH15:AH17)</f>
        <v>3.5906458846319871E-2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4.4444203826496761E-2</v>
      </c>
      <c r="BM14" s="31">
        <f>BQ39+1</f>
        <v>10</v>
      </c>
      <c r="BN14" s="31">
        <v>10</v>
      </c>
      <c r="BO14" s="107">
        <f>$H$35*H49</f>
        <v>5.8790745399855303E-10</v>
      </c>
      <c r="BQ14" s="31">
        <f>BQ10+1</f>
        <v>5</v>
      </c>
      <c r="BR14" s="31">
        <v>0</v>
      </c>
      <c r="BS14" s="107">
        <f>$H$30*H39</f>
        <v>1.1291155492120447E-2</v>
      </c>
    </row>
    <row r="15" spans="1:71" ht="15.75" x14ac:dyDescent="0.25">
      <c r="A15" s="184" t="s">
        <v>67</v>
      </c>
      <c r="B15" s="271">
        <v>5</v>
      </c>
      <c r="C15" s="272">
        <v>4.5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2.7732990627616222E-2</v>
      </c>
      <c r="BQ15" s="31">
        <f>BQ11+1</f>
        <v>5</v>
      </c>
      <c r="BR15" s="31">
        <v>1</v>
      </c>
      <c r="BS15" s="107">
        <f>$H$30*H40</f>
        <v>2.4204096129692636E-2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1.268219173968196E-2</v>
      </c>
      <c r="BQ16" s="31">
        <f>BQ12+1</f>
        <v>5</v>
      </c>
      <c r="BR16" s="31">
        <v>2</v>
      </c>
      <c r="BS16" s="107">
        <f>$H$30*H41</f>
        <v>2.3931308504494396E-2</v>
      </c>
    </row>
    <row r="17" spans="1:71" x14ac:dyDescent="0.25">
      <c r="A17" s="183" t="s">
        <v>74</v>
      </c>
      <c r="B17" s="273" t="s">
        <v>193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4.6202031995816375E-3</v>
      </c>
      <c r="BQ17" s="31">
        <f>BQ13+1</f>
        <v>5</v>
      </c>
      <c r="BR17" s="31">
        <v>3</v>
      </c>
      <c r="BS17" s="107">
        <f>$H$30*H42</f>
        <v>1.4933032821392528E-2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0.7502311326159351</v>
      </c>
      <c r="AC18" s="176">
        <f>SUM(AC3:AC17)</f>
        <v>0.20875994769820047</v>
      </c>
      <c r="AD18" s="176">
        <f>SUM(AD3:AD17)</f>
        <v>2.2435880511716827E-2</v>
      </c>
      <c r="AE18" s="176">
        <f>1-AB18-AC18-AD18</f>
        <v>1.8573039174147599E-2</v>
      </c>
      <c r="AF18" s="234"/>
      <c r="AG18" s="158"/>
      <c r="AH18" s="179">
        <f>PRODUCT(AH3:AH17)</f>
        <v>0.71737589457297823</v>
      </c>
      <c r="AI18" s="176">
        <f>SUM(AI3:AI17)</f>
        <v>0.22357649918066172</v>
      </c>
      <c r="AJ18" s="176">
        <f>SUM(AJ3:AJ17)</f>
        <v>2.7511887928650173E-2</v>
      </c>
      <c r="AK18" s="176">
        <f>1-AH18-AI18-AJ18</f>
        <v>3.1535718317709877E-2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1.3760159097872748E-3</v>
      </c>
      <c r="BQ18" s="31">
        <f>BM8+1</f>
        <v>5</v>
      </c>
      <c r="BR18" s="31">
        <v>4</v>
      </c>
      <c r="BS18" s="107">
        <f>$H$30*H43</f>
        <v>6.8288194388699541E-3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3.2896616538851401E-4</v>
      </c>
      <c r="BQ19" s="31">
        <f>BQ15+1</f>
        <v>6</v>
      </c>
      <c r="BR19" s="31">
        <v>1</v>
      </c>
      <c r="BS19" s="107">
        <f>$H$31*H40</f>
        <v>9.5867746834780408E-3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6.089397083793431E-5</v>
      </c>
      <c r="BQ20" s="31">
        <f>BQ16+1</f>
        <v>6</v>
      </c>
      <c r="BR20" s="31">
        <v>2</v>
      </c>
      <c r="BS20" s="107">
        <f>$H$31*H41</f>
        <v>9.4787287773139012E-3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8.3976919761390182E-6</v>
      </c>
      <c r="BQ21" s="31">
        <f>BQ17+1</f>
        <v>6</v>
      </c>
      <c r="BR21" s="31">
        <v>3</v>
      </c>
      <c r="BS21" s="107">
        <f>$H$31*H42</f>
        <v>5.9146856892561229E-3</v>
      </c>
    </row>
    <row r="22" spans="1:71" x14ac:dyDescent="0.25">
      <c r="A22" s="26" t="s">
        <v>87</v>
      </c>
      <c r="B22" s="206">
        <f>(B6)/((B6)+(C6))</f>
        <v>0.32989690721649484</v>
      </c>
      <c r="C22" s="207">
        <f>1-B22</f>
        <v>0.67010309278350522</v>
      </c>
      <c r="V22" s="208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3"/>
        <v>8.2662104122181658E-7</v>
      </c>
      <c r="BQ22" s="31">
        <f>BQ18+1</f>
        <v>6</v>
      </c>
      <c r="BR22" s="31">
        <v>4</v>
      </c>
      <c r="BS22" s="107">
        <f>$H$31*H43</f>
        <v>2.7047633988814663E-3</v>
      </c>
    </row>
    <row r="23" spans="1:71" ht="15.75" thickBot="1" x14ac:dyDescent="0.3">
      <c r="A23" s="40" t="s">
        <v>88</v>
      </c>
      <c r="B23" s="56">
        <f>((B22^2.8)/((B22^2.8)+(C22^2.8)))*B21</f>
        <v>0.60434647553349607</v>
      </c>
      <c r="C23" s="57">
        <f>B21-B23</f>
        <v>4.3956535244665043</v>
      </c>
      <c r="D23" s="149">
        <f>SUM(D25:D30)</f>
        <v>1</v>
      </c>
      <c r="E23" s="149">
        <f>SUM(E25:E30)</f>
        <v>1</v>
      </c>
      <c r="H23" s="266">
        <f>SUM(H25:H35)</f>
        <v>0.99998268549713021</v>
      </c>
      <c r="I23" s="81"/>
      <c r="J23" s="266">
        <f>SUM(J25:J35)</f>
        <v>0.99999999999999967</v>
      </c>
      <c r="K23" s="266"/>
      <c r="L23" s="266">
        <f>SUM(L25:L35)</f>
        <v>1</v>
      </c>
      <c r="M23" s="81"/>
      <c r="N23" s="266">
        <f>SUM(N25:N35)</f>
        <v>1.0000000000000002</v>
      </c>
      <c r="O23" s="81"/>
      <c r="P23" s="266">
        <f>SUM(P25:P35)</f>
        <v>1.0000000000000002</v>
      </c>
      <c r="Q23" s="81"/>
      <c r="R23" s="266">
        <f>SUM(R25:R35)</f>
        <v>1.0000000000000002</v>
      </c>
      <c r="S23" s="81"/>
      <c r="T23" s="266">
        <f>SUM(T25:T35)</f>
        <v>1</v>
      </c>
      <c r="V23" s="208">
        <f>SUM(V25:V34)</f>
        <v>0.99704053695800232</v>
      </c>
      <c r="Y23" s="205">
        <f>SUM(Y25:Y35)</f>
        <v>2.154390955102965E-3</v>
      </c>
      <c r="Z23" s="81"/>
      <c r="AA23" s="205">
        <f>SUM(AA25:AA35)</f>
        <v>1.804275035078946E-2</v>
      </c>
      <c r="AB23" s="81"/>
      <c r="AC23" s="205">
        <f>SUM(AC25:AC35)</f>
        <v>6.7808882209064419E-2</v>
      </c>
      <c r="AD23" s="81"/>
      <c r="AE23" s="205">
        <f>SUM(AE25:AE35)</f>
        <v>0.15110588845618669</v>
      </c>
      <c r="AF23" s="81"/>
      <c r="AG23" s="205">
        <f>SUM(AG25:AG35)</f>
        <v>0.22242310303304977</v>
      </c>
      <c r="AH23" s="81"/>
      <c r="AI23" s="205">
        <f>SUM(AI25:AI35)</f>
        <v>0.22832066851686109</v>
      </c>
      <c r="AJ23" s="81"/>
      <c r="AK23" s="205">
        <f>SUM(AK25:AK35)</f>
        <v>0.1685236364170716</v>
      </c>
      <c r="AL23" s="81"/>
      <c r="AM23" s="205">
        <f>SUM(AM25:AM35)</f>
        <v>9.1128190912483267E-2</v>
      </c>
      <c r="AN23" s="81"/>
      <c r="AO23" s="205">
        <f>SUM(AO25:AO35)</f>
        <v>3.6556916926116637E-2</v>
      </c>
      <c r="AP23" s="81"/>
      <c r="AQ23" s="205">
        <f>SUM(AQ25:AQ35)</f>
        <v>1.0976109181276212E-2</v>
      </c>
      <c r="AR23" s="81"/>
      <c r="AS23" s="205">
        <f>SUM(AS25:AS35)</f>
        <v>2.9594630419976778E-3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4.4333662225331263E-2</v>
      </c>
      <c r="BQ23" s="31">
        <f>BM9+1</f>
        <v>6</v>
      </c>
      <c r="BR23" s="31">
        <v>5</v>
      </c>
      <c r="BS23" s="107">
        <f>$H$31*H44</f>
        <v>9.8536252771848094E-4</v>
      </c>
    </row>
    <row r="24" spans="1:71" ht="15.75" thickBot="1" x14ac:dyDescent="0.3">
      <c r="A24" s="26" t="s">
        <v>89</v>
      </c>
      <c r="B24" s="64">
        <f>B23/B21</f>
        <v>0.12086929510669922</v>
      </c>
      <c r="C24" s="65">
        <f>C23/B21</f>
        <v>0.87913070489330081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2.0273616084666529E-2</v>
      </c>
      <c r="BQ24" s="31">
        <f>BI49+1</f>
        <v>7</v>
      </c>
      <c r="BR24" s="31">
        <v>0</v>
      </c>
      <c r="BS24" s="107">
        <f t="shared" ref="BS24:BS30" si="16">$H$32*H39</f>
        <v>1.4383905260425577E-3</v>
      </c>
    </row>
    <row r="25" spans="1:71" x14ac:dyDescent="0.25">
      <c r="A25" s="26" t="s">
        <v>114</v>
      </c>
      <c r="B25" s="209">
        <f>1/(1+EXP(-3.1416*4*((B11/(B11+C8))-(3.1416/6))))</f>
        <v>0.32630014604676627</v>
      </c>
      <c r="C25" s="207">
        <f>1/(1+EXP(-3.1416*4*((C11/(C11+B8))-(3.1416/6))))</f>
        <v>0.14387997194824853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4.522289110486466E-2</v>
      </c>
      <c r="I25" s="97">
        <v>0</v>
      </c>
      <c r="J25" s="98">
        <f t="shared" ref="J25:J35" si="17">Y25+AA25+AC25+AE25+AG25+AI25+AK25+AM25+AO25+AQ25+AS25</f>
        <v>6.0278611668886262E-2</v>
      </c>
      <c r="K25" s="97">
        <v>0</v>
      </c>
      <c r="L25" s="98">
        <f>AB18</f>
        <v>0.7502311326159351</v>
      </c>
      <c r="M25" s="85">
        <v>0</v>
      </c>
      <c r="N25" s="210">
        <f>(1-$B$24)^$B$21</f>
        <v>0.52513050021226104</v>
      </c>
      <c r="O25" s="72">
        <v>0</v>
      </c>
      <c r="P25" s="210">
        <f t="shared" ref="P25:P30" si="18">N25</f>
        <v>0.52513050021226104</v>
      </c>
      <c r="Q25" s="28">
        <v>0</v>
      </c>
      <c r="R25" s="211">
        <f>P25*N25</f>
        <v>0.27576204225317952</v>
      </c>
      <c r="S25" s="72">
        <v>0</v>
      </c>
      <c r="T25" s="212">
        <f>(1-$B$33)^(INT(C23*2*(1-C31)))</f>
        <v>7.8125E-3</v>
      </c>
      <c r="U25" s="138">
        <v>0</v>
      </c>
      <c r="V25" s="86">
        <f>R25*T25</f>
        <v>2.154390955102965E-3</v>
      </c>
      <c r="W25" s="134">
        <f>B31</f>
        <v>0.52860188274628017</v>
      </c>
      <c r="X25" s="28">
        <v>0</v>
      </c>
      <c r="Y25" s="213">
        <f>V25</f>
        <v>2.154390955102965E-3</v>
      </c>
      <c r="Z25" s="28">
        <v>0</v>
      </c>
      <c r="AA25" s="213">
        <f>((1-W25)^Z26)*V26</f>
        <v>8.5053185454410443E-3</v>
      </c>
      <c r="AB25" s="28">
        <v>0</v>
      </c>
      <c r="AC25" s="213">
        <f>(((1-$W$25)^AB27))*V27</f>
        <v>1.5068231110246078E-2</v>
      </c>
      <c r="AD25" s="28">
        <v>0</v>
      </c>
      <c r="AE25" s="213">
        <f>(((1-$W$25)^AB28))*V28</f>
        <v>1.5828688030942062E-2</v>
      </c>
      <c r="AF25" s="28">
        <v>0</v>
      </c>
      <c r="AG25" s="213">
        <f>(((1-$W$25)^AB29))*V29</f>
        <v>1.0983260135235927E-2</v>
      </c>
      <c r="AH25" s="28">
        <v>0</v>
      </c>
      <c r="AI25" s="213">
        <f>(((1-$W$25)^AB30))*V30</f>
        <v>5.314769640883071E-3</v>
      </c>
      <c r="AJ25" s="28">
        <v>0</v>
      </c>
      <c r="AK25" s="213">
        <f>(((1-$W$25)^AB31))*V31</f>
        <v>1.8492170269365428E-3</v>
      </c>
      <c r="AL25" s="28">
        <v>0</v>
      </c>
      <c r="AM25" s="213">
        <f>(((1-$W$25)^AB32))*V32</f>
        <v>4.7137620339882081E-4</v>
      </c>
      <c r="AN25" s="28">
        <v>0</v>
      </c>
      <c r="AO25" s="213">
        <f>(((1-$W$25)^AB33))*V33</f>
        <v>8.9139934559181387E-5</v>
      </c>
      <c r="AP25" s="28">
        <v>0</v>
      </c>
      <c r="AQ25" s="213">
        <f>(((1-$W$25)^AB34))*V34</f>
        <v>1.2616503459345153E-5</v>
      </c>
      <c r="AR25" s="28">
        <v>0</v>
      </c>
      <c r="AS25" s="213">
        <f>(((1-$W$25)^AB35))*V35</f>
        <v>1.6035826812164838E-6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7.3858074238369008E-3</v>
      </c>
      <c r="BQ25" s="31">
        <f>BQ19+1</f>
        <v>7</v>
      </c>
      <c r="BR25" s="31">
        <v>1</v>
      </c>
      <c r="BS25" s="107">
        <f t="shared" si="16"/>
        <v>3.083381730830728E-3</v>
      </c>
    </row>
    <row r="26" spans="1:71" x14ac:dyDescent="0.25">
      <c r="A26" s="40" t="s">
        <v>115</v>
      </c>
      <c r="B26" s="206">
        <f>1/(1+EXP(-3.1416*4*((B10/(B10+C9))-(3.1416/6))))</f>
        <v>0.60222356498372975</v>
      </c>
      <c r="C26" s="207">
        <f>1/(1+EXP(-3.1416*4*((C10/(C10+B9))-(3.1416/6))))</f>
        <v>0.10591208630384637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0.15717501158495925</v>
      </c>
      <c r="I26" s="138">
        <v>1</v>
      </c>
      <c r="J26" s="86">
        <f t="shared" si="17"/>
        <v>0.19272894109509428</v>
      </c>
      <c r="K26" s="138">
        <v>1</v>
      </c>
      <c r="L26" s="86">
        <f>AC18</f>
        <v>0.20875994769820047</v>
      </c>
      <c r="M26" s="85">
        <v>1</v>
      </c>
      <c r="N26" s="210">
        <f>(($B$24)^M26)*((1-($B$24))^($B$21-M26))*HLOOKUP($B$21,$AV$24:$BF$34,M26+1)</f>
        <v>0.36099383769895688</v>
      </c>
      <c r="O26" s="72">
        <v>1</v>
      </c>
      <c r="P26" s="210">
        <f t="shared" si="18"/>
        <v>0.36099383769895688</v>
      </c>
      <c r="Q26" s="28">
        <v>1</v>
      </c>
      <c r="R26" s="211">
        <f>N26*P25+P26*N25</f>
        <v>0.379137749128794</v>
      </c>
      <c r="S26" s="72">
        <v>1</v>
      </c>
      <c r="T26" s="212">
        <f t="shared" ref="T26:T35" si="19">(($B$33)^S26)*((1-($B$33))^(INT($C$23*2*(1-$C$31))-S26))*HLOOKUP(INT($C$23*2*(1-$C$31)),$AV$24:$BF$34,S26+1)</f>
        <v>5.46875E-2</v>
      </c>
      <c r="U26" s="138">
        <v>1</v>
      </c>
      <c r="V26" s="86">
        <f>R26*T25+T26*R25</f>
        <v>1.804275035078946E-2</v>
      </c>
      <c r="W26" s="214"/>
      <c r="X26" s="28">
        <v>1</v>
      </c>
      <c r="Y26" s="211"/>
      <c r="Z26" s="28">
        <v>1</v>
      </c>
      <c r="AA26" s="213">
        <f>(1-((1-W25)^Z26))*V26</f>
        <v>9.5374318053484154E-3</v>
      </c>
      <c r="AB26" s="28">
        <v>1</v>
      </c>
      <c r="AC26" s="213">
        <f>((($W$25)^M26)*((1-($W$25))^($U$27-M26))*HLOOKUP($U$27,$AV$24:$BF$34,M26+1))*V27</f>
        <v>3.3793496592372296E-2</v>
      </c>
      <c r="AD26" s="28">
        <v>1</v>
      </c>
      <c r="AE26" s="213">
        <f>((($W$25)^M26)*((1-($W$25))^($U$28-M26))*HLOOKUP($U$28,$AV$24:$BF$34,M26+1))*V28</f>
        <v>5.324845807597544E-2</v>
      </c>
      <c r="AF26" s="28">
        <v>1</v>
      </c>
      <c r="AG26" s="213">
        <f>((($W$25)^M26)*((1-($W$25))^($U$29-M26))*HLOOKUP($U$29,$AV$24:$BF$34,M26+1))*V29</f>
        <v>4.9264278101077294E-2</v>
      </c>
      <c r="AH26" s="28">
        <v>1</v>
      </c>
      <c r="AI26" s="213">
        <f>((($W$25)^M26)*((1-($W$25))^($U$30-M26))*HLOOKUP($U$30,$AV$24:$BF$34,M26+1))*V30</f>
        <v>2.9798562358507103E-2</v>
      </c>
      <c r="AJ26" s="28">
        <v>1</v>
      </c>
      <c r="AK26" s="213">
        <f>((($W$25)^M26)*((1-($W$25))^($U$31-M26))*HLOOKUP($U$31,$AV$24:$BF$34,M26+1))*V31</f>
        <v>1.2441707757424293E-2</v>
      </c>
      <c r="AL26" s="28">
        <v>1</v>
      </c>
      <c r="AM26" s="213">
        <f>((($W$25)^Q26)*((1-($W$25))^($U$32-Q26))*HLOOKUP($U$32,$AV$24:$BF$34,Q26+1))*V32</f>
        <v>3.7000411676444975E-3</v>
      </c>
      <c r="AN26" s="28">
        <v>1</v>
      </c>
      <c r="AO26" s="213">
        <f>((($W$25)^Q26)*((1-($W$25))^($U$33-Q26))*HLOOKUP($U$33,$AV$24:$BF$34,Q26+1))*V33</f>
        <v>7.99655925829715E-4</v>
      </c>
      <c r="AP26" s="28">
        <v>1</v>
      </c>
      <c r="AQ26" s="213">
        <f>((($W$25)^Q26)*((1-($W$25))^($U$34-Q26))*HLOOKUP($U$34,$AV$24:$BF$34,Q26+1))*V34</f>
        <v>1.2732754999158751E-4</v>
      </c>
      <c r="AR26" s="28">
        <v>1</v>
      </c>
      <c r="AS26" s="213">
        <f>((($W$25)^Q26)*((1-($W$25))^($U$35-Q26))*HLOOKUP($U$35,$AV$24:$BF$34,Q26+1))*V35</f>
        <v>1.7981760923625592E-5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2.1996843175089804E-3</v>
      </c>
      <c r="BQ26" s="31">
        <f>BQ20+1</f>
        <v>7</v>
      </c>
      <c r="BR26" s="31">
        <v>2</v>
      </c>
      <c r="BS26" s="107">
        <f t="shared" si="16"/>
        <v>3.0486310681566895E-3</v>
      </c>
    </row>
    <row r="27" spans="1:71" x14ac:dyDescent="0.25">
      <c r="A27" s="26" t="s">
        <v>116</v>
      </c>
      <c r="B27" s="206">
        <f>1/(1+EXP(-3.1416*4*((B12/(B12+C7))-(3.1416/6))))</f>
        <v>0.59253485891621027</v>
      </c>
      <c r="C27" s="207">
        <f>1/(1+EXP(-3.1416*4*((C12/(C12+B7))-(3.1416/6))))</f>
        <v>6.9441598526057385E-2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0.2512582926030093</v>
      </c>
      <c r="I27" s="138">
        <v>2</v>
      </c>
      <c r="J27" s="86">
        <f t="shared" si="17"/>
        <v>0.27947627883711085</v>
      </c>
      <c r="K27" s="138">
        <v>2</v>
      </c>
      <c r="L27" s="86">
        <f>AD18</f>
        <v>2.2435880511716827E-2</v>
      </c>
      <c r="M27" s="85">
        <v>2</v>
      </c>
      <c r="N27" s="210">
        <f>(($B$24)^M27)*((1-($B$24))^($B$21-M27))*HLOOKUP($B$21,$AV$24:$BF$34,M27+1)</f>
        <v>9.9264126386828452E-2</v>
      </c>
      <c r="O27" s="72">
        <v>2</v>
      </c>
      <c r="P27" s="210">
        <f t="shared" si="18"/>
        <v>9.9264126386828452E-2</v>
      </c>
      <c r="Q27" s="28">
        <v>2</v>
      </c>
      <c r="R27" s="211">
        <f>P25*N27+P26*N26+P27*N25</f>
        <v>0.23456979154191743</v>
      </c>
      <c r="S27" s="72">
        <v>2</v>
      </c>
      <c r="T27" s="212">
        <f t="shared" si="19"/>
        <v>0.1640625</v>
      </c>
      <c r="U27" s="138">
        <v>2</v>
      </c>
      <c r="V27" s="86">
        <f>R27*T25+T26*R26+R25*T27</f>
        <v>6.7808882209064419E-2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1.8947154506446046E-2</v>
      </c>
      <c r="AD27" s="28">
        <v>2</v>
      </c>
      <c r="AE27" s="213">
        <f>((($W$25)^M27)*((1-($W$25))^($U$28-M27))*HLOOKUP($U$28,$AV$24:$BF$34,M27+1))*V28</f>
        <v>5.9710113727813943E-2</v>
      </c>
      <c r="AF27" s="28">
        <v>2</v>
      </c>
      <c r="AG27" s="213">
        <f>((($W$25)^M27)*((1-($W$25))^($U$29-M27))*HLOOKUP($U$29,$AV$24:$BF$34,M27+1))*V29</f>
        <v>8.2863685290292602E-2</v>
      </c>
      <c r="AH27" s="28">
        <v>2</v>
      </c>
      <c r="AI27" s="213">
        <f>((($W$25)^M27)*((1-($W$25))^($U$30-M27))*HLOOKUP($U$30,$AV$24:$BF$34,M27+1))*V30</f>
        <v>6.6829185732031018E-2</v>
      </c>
      <c r="AJ27" s="28">
        <v>2</v>
      </c>
      <c r="AK27" s="213">
        <f>((($W$25)^M27)*((1-($W$25))^($U$31-M27))*HLOOKUP($U$31,$AV$24:$BF$34,M27+1))*V31</f>
        <v>3.4878746352807917E-2</v>
      </c>
      <c r="AL27" s="28">
        <v>2</v>
      </c>
      <c r="AM27" s="213">
        <f>((($W$25)^Q27)*((1-($W$25))^($U$32-Q27))*HLOOKUP($U$32,$AV$24:$BF$34,Q27+1))*V32</f>
        <v>1.2447114164456452E-2</v>
      </c>
      <c r="AN27" s="28">
        <v>2</v>
      </c>
      <c r="AO27" s="213">
        <f>((($W$25)^Q27)*((1-($W$25))^($U$33-Q27))*HLOOKUP($U$33,$AV$24:$BF$34,Q27+1))*V33</f>
        <v>3.1384272521469223E-3</v>
      </c>
      <c r="AP27" s="28">
        <v>2</v>
      </c>
      <c r="AQ27" s="213">
        <f>((($W$25)^Q27)*((1-($W$25))^($U$34-Q27))*HLOOKUP($U$34,$AV$24:$BF$34,Q27+1))*V34</f>
        <v>5.7111456484497164E-4</v>
      </c>
      <c r="AR27" s="28">
        <v>2</v>
      </c>
      <c r="AS27" s="213">
        <f>((($W$25)^Q27)*((1-($W$25))^($U$35-Q27))*HLOOKUP($U$35,$AV$24:$BF$34,Q27+1))*V35</f>
        <v>9.0737246271026286E-5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5.2588179384353785E-4</v>
      </c>
      <c r="BQ27" s="31">
        <f>BQ21+1</f>
        <v>7</v>
      </c>
      <c r="BR27" s="31">
        <v>3</v>
      </c>
      <c r="BS27" s="107">
        <f t="shared" si="16"/>
        <v>1.9023325779512208E-3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0.24640733028754933</v>
      </c>
      <c r="I28" s="138">
        <v>3</v>
      </c>
      <c r="J28" s="86">
        <f t="shared" si="17"/>
        <v>0.24341868590338311</v>
      </c>
      <c r="K28" s="138">
        <v>3</v>
      </c>
      <c r="L28" s="86">
        <f>AE18</f>
        <v>1.8573039174147599E-2</v>
      </c>
      <c r="M28" s="85">
        <v>3</v>
      </c>
      <c r="N28" s="210">
        <f>(($B$24)^M28)*((1-($B$24))^($B$21-M28))*HLOOKUP($B$21,$AV$24:$BF$34,M28+1)</f>
        <v>1.3647555385082857E-2</v>
      </c>
      <c r="O28" s="72">
        <v>3</v>
      </c>
      <c r="P28" s="210">
        <f t="shared" si="18"/>
        <v>1.3647555385082857E-2</v>
      </c>
      <c r="Q28" s="28">
        <v>3</v>
      </c>
      <c r="R28" s="211">
        <f>P25*N28+P26*N27+P27*N26+P28*N25</f>
        <v>8.6000971032517193E-2</v>
      </c>
      <c r="S28" s="72">
        <v>3</v>
      </c>
      <c r="T28" s="212">
        <f t="shared" si="19"/>
        <v>0.2734375</v>
      </c>
      <c r="U28" s="138">
        <v>3</v>
      </c>
      <c r="V28" s="86">
        <f>R28*T25+R27*T26+R26*T27+R25*T28</f>
        <v>0.15110588845618669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2.2318628621455245E-2</v>
      </c>
      <c r="AF28" s="28">
        <v>3</v>
      </c>
      <c r="AG28" s="213">
        <f>((($W$25)^M28)*((1-($W$25))^($U$29-M28))*HLOOKUP($U$29,$AV$24:$BF$34,M28+1))*V29</f>
        <v>6.1946082589278417E-2</v>
      </c>
      <c r="AH28" s="28">
        <v>3</v>
      </c>
      <c r="AI28" s="213">
        <f>((($W$25)^M28)*((1-($W$25))^($U$30-M28))*HLOOKUP($U$30,$AV$24:$BF$34,M28+1))*V30</f>
        <v>7.4938851275341362E-2</v>
      </c>
      <c r="AJ28" s="28">
        <v>3</v>
      </c>
      <c r="AK28" s="213">
        <f>((($W$25)^M28)*((1-($W$25))^($U$31-M28))*HLOOKUP($U$31,$AV$24:$BF$34,M28+1))*V31</f>
        <v>5.2148337226672788E-2</v>
      </c>
      <c r="AL28" s="28">
        <v>3</v>
      </c>
      <c r="AM28" s="213">
        <f>((($W$25)^Q28)*((1-($W$25))^($U$32-Q28))*HLOOKUP($U$32,$AV$24:$BF$34,Q28+1))*V32</f>
        <v>2.3262601685177652E-2</v>
      </c>
      <c r="AN28" s="28">
        <v>3</v>
      </c>
      <c r="AO28" s="213">
        <f>((($W$25)^Q28)*((1-($W$25))^($U$33-Q28))*HLOOKUP($U$33,$AV$24:$BF$34,Q28+1))*V33</f>
        <v>7.0385455250097607E-3</v>
      </c>
      <c r="AP28" s="28">
        <v>3</v>
      </c>
      <c r="AQ28" s="213">
        <f>((($W$25)^Q28)*((1-($W$25))^($U$34-Q28))*HLOOKUP($U$34,$AV$24:$BF$34,Q28+1))*V34</f>
        <v>1.49431062078165E-3</v>
      </c>
      <c r="AR28" s="28">
        <v>3</v>
      </c>
      <c r="AS28" s="213">
        <f>((($W$25)^Q28)*((1-($W$25))^($U$35-Q28))*HLOOKUP($U$35,$AV$24:$BF$34,Q28+1))*V35</f>
        <v>2.7132835966624144E-4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9.7344450547640031E-5</v>
      </c>
      <c r="BQ28" s="31">
        <f>BQ22+1</f>
        <v>7</v>
      </c>
      <c r="BR28" s="31">
        <v>4</v>
      </c>
      <c r="BS28" s="107">
        <f t="shared" si="16"/>
        <v>8.699294940876912E-4</v>
      </c>
    </row>
    <row r="29" spans="1:71" x14ac:dyDescent="0.25">
      <c r="A29" s="26" t="s">
        <v>118</v>
      </c>
      <c r="B29" s="206">
        <f>1/(1+EXP(-3.1416*4*((B14/(B14+C13))-(3.1416/6))))</f>
        <v>0.68837237310097721</v>
      </c>
      <c r="C29" s="207">
        <f>1/(1+EXP(-3.1416*4*((C14/(C14+B13))-(3.1416/6))))</f>
        <v>6.7211944076723096E-2</v>
      </c>
      <c r="D29" s="204">
        <v>0.04</v>
      </c>
      <c r="E29" s="204">
        <v>0.04</v>
      </c>
      <c r="G29" s="87">
        <v>4</v>
      </c>
      <c r="H29" s="126">
        <f>J29*L25+J28*L26+J27*L27+J26*L28</f>
        <v>0.16737634577610053</v>
      </c>
      <c r="I29" s="138">
        <v>4</v>
      </c>
      <c r="J29" s="86">
        <f t="shared" si="17"/>
        <v>0.14223671936308976</v>
      </c>
      <c r="K29" s="138">
        <v>4</v>
      </c>
      <c r="L29" s="86"/>
      <c r="M29" s="85">
        <v>4</v>
      </c>
      <c r="N29" s="210">
        <f>(($B$24)^M29)*((1-($B$24))^($B$21-M29))*HLOOKUP($B$21,$AV$24:$BF$34,M29+1)</f>
        <v>9.3818267872057136E-4</v>
      </c>
      <c r="O29" s="72">
        <v>4</v>
      </c>
      <c r="P29" s="210">
        <f t="shared" si="18"/>
        <v>9.3818267872057136E-4</v>
      </c>
      <c r="Q29" s="28">
        <v>4</v>
      </c>
      <c r="R29" s="211">
        <f>P25*N29+P26*N28+P27*N27+P28*N26+P29*N25</f>
        <v>2.0692070253414529E-2</v>
      </c>
      <c r="S29" s="72">
        <v>4</v>
      </c>
      <c r="T29" s="212">
        <f t="shared" si="19"/>
        <v>0.2734375</v>
      </c>
      <c r="U29" s="138">
        <v>4</v>
      </c>
      <c r="V29" s="86">
        <f>T29*R25+T28*R26+T27*R27+T26*R28+T25*R29</f>
        <v>0.2224231030330498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1.736579691716553E-2</v>
      </c>
      <c r="AH29" s="28">
        <v>4</v>
      </c>
      <c r="AI29" s="213">
        <f>((($W$25)^M29)*((1-($W$25))^($U$30-M29))*HLOOKUP($U$30,$AV$24:$BF$34,M29+1))*V30</f>
        <v>4.2016308959575435E-2</v>
      </c>
      <c r="AJ29" s="28">
        <v>4</v>
      </c>
      <c r="AK29" s="213">
        <f>((($W$25)^M29)*((1-($W$25))^($U$31-M29))*HLOOKUP($U$31,$AV$24:$BF$34,M29+1))*V31</f>
        <v>4.3857370603270551E-2</v>
      </c>
      <c r="AL29" s="28">
        <v>4</v>
      </c>
      <c r="AM29" s="213">
        <f>((($W$25)^Q29)*((1-($W$25))^($U$32-Q29))*HLOOKUP($U$32,$AV$24:$BF$34,Q29+1))*V32</f>
        <v>2.6085498856040796E-2</v>
      </c>
      <c r="AN29" s="28">
        <v>4</v>
      </c>
      <c r="AO29" s="213">
        <f>((($W$25)^Q29)*((1-($W$25))^($U$33-Q29))*HLOOKUP($U$33,$AV$24:$BF$34,Q29+1))*V33</f>
        <v>9.8658338889616257E-3</v>
      </c>
      <c r="AP29" s="28">
        <v>4</v>
      </c>
      <c r="AQ29" s="213">
        <f>((($W$25)^Q29)*((1-($W$25))^($U$34-Q29))*HLOOKUP($U$34,$AV$24:$BF$34,Q29+1))*V34</f>
        <v>2.5134659387952081E-3</v>
      </c>
      <c r="AR29" s="28">
        <v>4</v>
      </c>
      <c r="AS29" s="213">
        <f>((($W$25)^Q29)*((1-($W$25))^($U$35-Q29))*HLOOKUP($U$35,$AV$24:$BF$34,Q29+1))*V35</f>
        <v>5.3244419928064697E-4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1.3424460583482436E-5</v>
      </c>
      <c r="BQ29" s="31">
        <f>BQ23+1</f>
        <v>7</v>
      </c>
      <c r="BR29" s="31">
        <v>5</v>
      </c>
      <c r="BS29" s="107">
        <f t="shared" si="16"/>
        <v>3.1692085362645522E-4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8.4632041247067302E-2</v>
      </c>
      <c r="I30" s="138">
        <v>5</v>
      </c>
      <c r="J30" s="86">
        <f t="shared" si="17"/>
        <v>5.9030707738441171E-2</v>
      </c>
      <c r="K30" s="138">
        <v>5</v>
      </c>
      <c r="L30" s="86"/>
      <c r="M30" s="85">
        <v>5</v>
      </c>
      <c r="N30" s="210">
        <f>(($B$24)^M30)*((1-($B$24))^($B$21-M30))*HLOOKUP($B$21,$AV$24:$BF$34,M30+1)</f>
        <v>2.5797638150298311E-5</v>
      </c>
      <c r="O30" s="72">
        <v>5</v>
      </c>
      <c r="P30" s="210">
        <f t="shared" si="18"/>
        <v>2.5797638150298311E-5</v>
      </c>
      <c r="Q30" s="28">
        <v>5</v>
      </c>
      <c r="R30" s="211">
        <f>P25*N30+P26*N29+P27*N28+P28*N27+P29*N26+P30*N25</f>
        <v>3.413875909792587E-3</v>
      </c>
      <c r="S30" s="72">
        <v>5</v>
      </c>
      <c r="T30" s="212">
        <f t="shared" si="19"/>
        <v>0.1640625</v>
      </c>
      <c r="U30" s="138">
        <v>5</v>
      </c>
      <c r="V30" s="86">
        <f>T30*R25+T29*R26+T28*R27+T27*R28+T26*R29+T25*R30</f>
        <v>0.22832066851686114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9.422990550523128E-3</v>
      </c>
      <c r="AJ30" s="28">
        <v>5</v>
      </c>
      <c r="AK30" s="213">
        <f>((($W$25)^M30)*((1-($W$25))^($U$31-M30))*HLOOKUP($U$31,$AV$24:$BF$34,M30+1))*V31</f>
        <v>1.9671770272016068E-2</v>
      </c>
      <c r="AL30" s="28">
        <v>5</v>
      </c>
      <c r="AM30" s="213">
        <f>((($W$25)^Q30)*((1-($W$25))^($U$32-Q30))*HLOOKUP($U$32,$AV$24:$BF$34,Q30+1))*V32</f>
        <v>1.7550571336190837E-2</v>
      </c>
      <c r="AN30" s="28">
        <v>5</v>
      </c>
      <c r="AO30" s="213">
        <f>((($W$25)^Q30)*((1-($W$25))^($U$33-Q30))*HLOOKUP($U$33,$AV$24:$BF$34,Q30+1))*V33</f>
        <v>8.850435634235267E-3</v>
      </c>
      <c r="AP30" s="28">
        <v>5</v>
      </c>
      <c r="AQ30" s="213">
        <f>((($W$25)^Q30)*((1-($W$25))^($U$34-Q30))*HLOOKUP($U$34,$AV$24:$BF$34,Q30+1))*V34</f>
        <v>2.8184729188273166E-3</v>
      </c>
      <c r="AR30" s="28">
        <v>5</v>
      </c>
      <c r="AS30" s="213">
        <f>((($W$25)^Q30)*((1-($W$25))^($U$35-Q30))*HLOOKUP($U$35,$AV$24:$BF$34,Q30+1))*V35</f>
        <v>7.1646702664856176E-4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1.3214275561535296E-6</v>
      </c>
      <c r="BQ30" s="31">
        <f>BM10+1</f>
        <v>7</v>
      </c>
      <c r="BR30" s="31">
        <v>6</v>
      </c>
      <c r="BS30" s="107">
        <f t="shared" si="16"/>
        <v>9.4387220192578244E-5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0.52860188274628017</v>
      </c>
      <c r="C31" s="61">
        <f>(C25*E25)+(C26*E26)+(C27*E27)+(C28*E28)+(C29*E29)+(C30*E30)/(C25+C26+C27+C28+C29+C30)</f>
        <v>0.17615558908660722</v>
      </c>
      <c r="G31" s="87">
        <v>6</v>
      </c>
      <c r="H31" s="126">
        <f>J31*L25+J30*L26+J29*L27+J28*L28</f>
        <v>3.3521115851259733E-2</v>
      </c>
      <c r="I31" s="138">
        <v>6</v>
      </c>
      <c r="J31" s="86">
        <f t="shared" si="17"/>
        <v>1.7975310508857197E-2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3.9113711277669863E-4</v>
      </c>
      <c r="S31" s="72">
        <v>6</v>
      </c>
      <c r="T31" s="212">
        <f t="shared" si="19"/>
        <v>5.46875E-2</v>
      </c>
      <c r="U31" s="138">
        <v>6</v>
      </c>
      <c r="V31" s="86">
        <f>T31*R25+T30*R26+T29*R27+T28*R28+T27*R29+T26*R30+T25*R31</f>
        <v>0.16852363641707166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3.6764871779434824E-3</v>
      </c>
      <c r="AL31" s="28">
        <v>6</v>
      </c>
      <c r="AM31" s="213">
        <f>((($W$25)^Q31)*((1-($W$25))^($U$32-Q31))*HLOOKUP($U$32,$AV$24:$BF$34,Q31+1))*V32</f>
        <v>6.5601061410194301E-3</v>
      </c>
      <c r="AN31" s="28">
        <v>6</v>
      </c>
      <c r="AO31" s="213">
        <f>((($W$25)^Q31)*((1-($W$25))^($U$33-Q31))*HLOOKUP($U$33,$AV$24:$BF$34,Q31+1))*V33</f>
        <v>4.962214281462124E-3</v>
      </c>
      <c r="AP31" s="28">
        <v>6</v>
      </c>
      <c r="AQ31" s="213">
        <f>((($W$25)^Q31)*((1-($W$25))^($U$34-Q31))*HLOOKUP($U$34,$AV$24:$BF$34,Q31+1))*V34</f>
        <v>2.1069948264269989E-3</v>
      </c>
      <c r="AR31" s="28">
        <v>6</v>
      </c>
      <c r="AS31" s="213">
        <f>((($W$25)^Q31)*((1-($W$25))^($U$35-Q31))*HLOOKUP($U$35,$AV$24:$BF$34,Q31+1))*V35</f>
        <v>6.6950808200516218E-4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1.9882199958233603E-2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3.8254981204995114E-4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1.078135239696033E-2</v>
      </c>
      <c r="I32" s="138">
        <v>7</v>
      </c>
      <c r="J32" s="86">
        <f t="shared" si="17"/>
        <v>4.0822798682304227E-3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3.0729360165994546E-5</v>
      </c>
      <c r="S32" s="72">
        <v>7</v>
      </c>
      <c r="T32" s="212">
        <f t="shared" si="19"/>
        <v>7.8125E-3</v>
      </c>
      <c r="U32" s="138">
        <v>7</v>
      </c>
      <c r="V32" s="86">
        <f>T32*R25+T31*R26+T30*R27+T29*R28+T28*R29+T27*R30+T26*R31+T25*R32</f>
        <v>9.1128190912483281E-2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1.050881358554787E-3</v>
      </c>
      <c r="AN32" s="28">
        <v>7</v>
      </c>
      <c r="AO32" s="213">
        <f>((($W$25)^Q32)*((1-($W$25))^($U$33-Q32))*HLOOKUP($U$33,$AV$24:$BF$34,Q32+1))*V33</f>
        <v>1.5898213758878382E-3</v>
      </c>
      <c r="AP32" s="28">
        <v>7</v>
      </c>
      <c r="AQ32" s="213">
        <f>((($W$25)^Q32)*((1-($W$25))^($U$34-Q32))*HLOOKUP($U$34,$AV$24:$BF$34,Q32+1))*V34</f>
        <v>1.0125758050552344E-3</v>
      </c>
      <c r="AR32" s="28">
        <v>7</v>
      </c>
      <c r="AS32" s="213">
        <f>((($W$25)^Q32)*((1-($W$25))^($U$35-Q32))*HLOOKUP($U$35,$AV$24:$BF$34,Q32+1))*V35</f>
        <v>4.2900132873256253E-4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7.2432120367907646E-3</v>
      </c>
      <c r="BQ32" s="31">
        <f t="shared" si="23"/>
        <v>8</v>
      </c>
      <c r="BR32" s="31">
        <v>1</v>
      </c>
      <c r="BS32" s="107">
        <f t="shared" si="24"/>
        <v>8.2004648963646522E-4</v>
      </c>
    </row>
    <row r="33" spans="1:71" x14ac:dyDescent="0.25">
      <c r="A33" s="26" t="s">
        <v>122</v>
      </c>
      <c r="B33" s="292">
        <v>0.5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2.8673745122953041E-3</v>
      </c>
      <c r="I33" s="138">
        <v>8</v>
      </c>
      <c r="J33" s="86">
        <f t="shared" si="17"/>
        <v>6.8710346993363638E-4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1.5843361295723521E-6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3.6556916926116637E-2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2.2284310802419768E-4</v>
      </c>
      <c r="AP33" s="28">
        <v>8</v>
      </c>
      <c r="AQ33" s="213">
        <f>((($W$25)^Q33)*((1-($W$25))^($U$34-Q33))*HLOOKUP($U$34,$AV$24:$BF$34,Q33+1))*V34</f>
        <v>2.8386275707558719E-4</v>
      </c>
      <c r="AR33" s="28">
        <v>8</v>
      </c>
      <c r="AS33" s="213">
        <f>((($W$25)^Q33)*((1-($W$25))^($U$35-Q33))*HLOOKUP($U$35,$AV$24:$BF$34,Q33+1))*V35</f>
        <v>1.8039760483385152E-4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2.1572157262453916E-3</v>
      </c>
      <c r="BQ33" s="31">
        <f t="shared" si="23"/>
        <v>8</v>
      </c>
      <c r="BR33" s="31">
        <v>2</v>
      </c>
      <c r="BS33" s="107">
        <f t="shared" si="24"/>
        <v>8.1080431288830493E-4</v>
      </c>
    </row>
    <row r="34" spans="1:71" x14ac:dyDescent="0.25">
      <c r="A34" s="40" t="s">
        <v>123</v>
      </c>
      <c r="B34" s="56">
        <f>B23*2</f>
        <v>1.2086929510669921</v>
      </c>
      <c r="C34" s="57">
        <f>C23*2</f>
        <v>8.7913070489330085</v>
      </c>
      <c r="G34" s="87">
        <v>9</v>
      </c>
      <c r="H34" s="126">
        <f>J34*L25+J33*L26+J32*L27+J31*L28</f>
        <v>6.2914449456126932E-4</v>
      </c>
      <c r="I34" s="138">
        <v>9</v>
      </c>
      <c r="J34" s="86">
        <f t="shared" si="17"/>
        <v>8.0320741045604075E-5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4.840579452902175E-8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1.0976109181276212E-2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3.5367696018311503E-5</v>
      </c>
      <c r="AR34" s="28">
        <v>9</v>
      </c>
      <c r="AS34" s="213">
        <f>((($W$25)^Q34)*((1-($W$25))^($U$35-Q34))*HLOOKUP($U$35,$AV$24:$BF$34,Q34+1))*V35</f>
        <v>4.4953045027292578E-5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5.1572876471206886E-4</v>
      </c>
      <c r="BQ34" s="31">
        <f t="shared" si="23"/>
        <v>8</v>
      </c>
      <c r="BR34" s="31">
        <v>3</v>
      </c>
      <c r="BS34" s="107">
        <f t="shared" si="24"/>
        <v>5.0593837833036936E-4</v>
      </c>
    </row>
    <row r="35" spans="1:71" ht="15.75" thickBot="1" x14ac:dyDescent="0.3">
      <c r="G35" s="88">
        <v>10</v>
      </c>
      <c r="H35" s="127">
        <f>J35*L25+J34*L26+J33*L27+J32*L28</f>
        <v>1.117856385031343E-4</v>
      </c>
      <c r="I35" s="94">
        <v>10</v>
      </c>
      <c r="J35" s="89">
        <f t="shared" si="17"/>
        <v>5.0408059274907202E-6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6.6551813413372689E-10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2.9594630419976786E-3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5.0408059274907202E-6</v>
      </c>
      <c r="BI35" s="31">
        <f t="shared" si="21"/>
        <v>3</v>
      </c>
      <c r="BJ35" s="31">
        <v>8</v>
      </c>
      <c r="BK35" s="107">
        <f t="shared" si="22"/>
        <v>9.5465052831713242E-5</v>
      </c>
      <c r="BQ35" s="31">
        <f t="shared" si="23"/>
        <v>8</v>
      </c>
      <c r="BR35" s="31">
        <v>4</v>
      </c>
      <c r="BS35" s="107">
        <f t="shared" si="24"/>
        <v>2.3136370716759648E-4</v>
      </c>
    </row>
    <row r="36" spans="1:71" ht="15.75" x14ac:dyDescent="0.25">
      <c r="A36" s="109" t="s">
        <v>124</v>
      </c>
      <c r="B36" s="219">
        <f>SUM(BO4:BO14)</f>
        <v>0.18182024551867179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1.3165278879582442E-5</v>
      </c>
      <c r="BQ36" s="31">
        <f t="shared" si="23"/>
        <v>8</v>
      </c>
      <c r="BR36" s="31">
        <v>5</v>
      </c>
      <c r="BS36" s="107">
        <f t="shared" si="24"/>
        <v>8.4287271637607726E-5</v>
      </c>
    </row>
    <row r="37" spans="1:71" ht="16.5" thickBot="1" x14ac:dyDescent="0.3">
      <c r="A37" s="110" t="s">
        <v>125</v>
      </c>
      <c r="B37" s="219">
        <f>SUM(BK4:BK59)</f>
        <v>0.24751169817475727</v>
      </c>
      <c r="G37" s="158"/>
      <c r="H37" s="266">
        <f>SUM(H39:H49)</f>
        <v>0.99999963828990157</v>
      </c>
      <c r="I37" s="267"/>
      <c r="J37" s="266">
        <f>SUM(J39:J49)</f>
        <v>1.0000000000000002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</v>
      </c>
      <c r="S37" s="267"/>
      <c r="T37" s="266">
        <f>SUM(T39:T49)</f>
        <v>1.0050760126517704</v>
      </c>
      <c r="U37" s="267"/>
      <c r="V37" s="208">
        <f>SUM(V39:V48)</f>
        <v>0.72597772120046189</v>
      </c>
      <c r="W37" s="158"/>
      <c r="X37" s="158"/>
      <c r="Y37" s="205">
        <f>SUM(Y39:Y49)</f>
        <v>6.6551813413372586E-10</v>
      </c>
      <c r="Z37" s="81"/>
      <c r="AA37" s="205">
        <f>SUM(AA39:AA49)</f>
        <v>4.8409138841253507E-8</v>
      </c>
      <c r="AB37" s="81"/>
      <c r="AC37" s="205">
        <f>SUM(AC39:AC49)</f>
        <v>1.5845794083821665E-6</v>
      </c>
      <c r="AD37" s="81"/>
      <c r="AE37" s="205">
        <f>SUM(AE39:AE49)</f>
        <v>3.0737324099011531E-5</v>
      </c>
      <c r="AF37" s="81"/>
      <c r="AG37" s="205">
        <f>SUM(AG39:AG49)</f>
        <v>3.9129161170538924E-4</v>
      </c>
      <c r="AH37" s="81"/>
      <c r="AI37" s="205">
        <f>SUM(AI39:AI49)</f>
        <v>3.4158429754740636E-3</v>
      </c>
      <c r="AJ37" s="81"/>
      <c r="AK37" s="205">
        <f>SUM(AK39:AK49)</f>
        <v>2.0709245174343052E-2</v>
      </c>
      <c r="AL37" s="81"/>
      <c r="AM37" s="205">
        <f>SUM(AM39:AM49)</f>
        <v>8.6105123847645362E-2</v>
      </c>
      <c r="AN37" s="81"/>
      <c r="AO37" s="205">
        <f>SUM(AO39:AO49)</f>
        <v>0.23500300355375978</v>
      </c>
      <c r="AP37" s="81"/>
      <c r="AQ37" s="205">
        <f>SUM(AQ39:AQ49)</f>
        <v>0.38032084305936997</v>
      </c>
      <c r="AR37" s="81"/>
      <c r="AS37" s="205">
        <f>SUM(AS39:AS49)</f>
        <v>0.27402227879953805</v>
      </c>
      <c r="BI37" s="31">
        <f t="shared" si="21"/>
        <v>3</v>
      </c>
      <c r="BJ37" s="31">
        <v>10</v>
      </c>
      <c r="BK37" s="107">
        <f t="shared" si="22"/>
        <v>1.295915183164355E-6</v>
      </c>
      <c r="BQ37" s="31">
        <f t="shared" si="23"/>
        <v>8</v>
      </c>
      <c r="BR37" s="31">
        <v>6</v>
      </c>
      <c r="BS37" s="107">
        <f t="shared" si="24"/>
        <v>2.5102927675651169E-5</v>
      </c>
    </row>
    <row r="38" spans="1:71" ht="16.5" thickBot="1" x14ac:dyDescent="0.3">
      <c r="A38" s="111" t="s">
        <v>126</v>
      </c>
      <c r="B38" s="219">
        <f>SUM(BS4:BS47)</f>
        <v>0.57053859508970439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4.9200742566576266E-3</v>
      </c>
      <c r="BQ38" s="31">
        <f>BM11+1</f>
        <v>8</v>
      </c>
      <c r="BR38" s="31">
        <v>7</v>
      </c>
      <c r="BS38" s="107">
        <f t="shared" si="24"/>
        <v>6.0013941690258618E-6</v>
      </c>
    </row>
    <row r="39" spans="1:71" x14ac:dyDescent="0.25">
      <c r="G39" s="128">
        <v>0</v>
      </c>
      <c r="H39" s="129">
        <f>L39*J39</f>
        <v>0.13341466571931127</v>
      </c>
      <c r="I39" s="97">
        <v>0</v>
      </c>
      <c r="J39" s="98">
        <f t="shared" ref="J39:J49" si="28">Y39+AA39+AC39+AE39+AG39+AI39+AK39+AM39+AO39+AQ39+AS39</f>
        <v>0.18597595309322046</v>
      </c>
      <c r="K39" s="102">
        <v>0</v>
      </c>
      <c r="L39" s="98">
        <f>AH18</f>
        <v>0.71737589457297823</v>
      </c>
      <c r="M39" s="85">
        <v>0</v>
      </c>
      <c r="N39" s="210">
        <f>(1-$C$24)^$B$21</f>
        <v>2.5797638150298291E-5</v>
      </c>
      <c r="O39" s="72">
        <v>0</v>
      </c>
      <c r="P39" s="210">
        <f t="shared" ref="P39:P44" si="29">N39</f>
        <v>2.5797638150298291E-5</v>
      </c>
      <c r="Q39" s="28">
        <v>0</v>
      </c>
      <c r="R39" s="211">
        <f>P39*N39</f>
        <v>6.6551813413372586E-10</v>
      </c>
      <c r="S39" s="72">
        <v>0</v>
      </c>
      <c r="T39" s="212">
        <f>(1-$C$33)^(INT(B23*2*(1-B31)))</f>
        <v>1</v>
      </c>
      <c r="U39" s="138">
        <v>0</v>
      </c>
      <c r="V39" s="86">
        <f>R39*T39</f>
        <v>6.6551813413372586E-10</v>
      </c>
      <c r="W39" s="134">
        <f>C31</f>
        <v>0.17615558908660722</v>
      </c>
      <c r="X39" s="28">
        <v>0</v>
      </c>
      <c r="Y39" s="213">
        <f>V39</f>
        <v>6.6551813413372586E-10</v>
      </c>
      <c r="Z39" s="28">
        <v>0</v>
      </c>
      <c r="AA39" s="213">
        <f>((1-W39)^Z40)*V40</f>
        <v>3.9881598471497135E-8</v>
      </c>
      <c r="AB39" s="28">
        <v>0</v>
      </c>
      <c r="AC39" s="213">
        <f>(((1-$W$39)^AB41))*V41</f>
        <v>1.0754851234480254E-6</v>
      </c>
      <c r="AD39" s="28">
        <v>0</v>
      </c>
      <c r="AE39" s="213">
        <f>(((1-$W$39)^AB42))*V42</f>
        <v>1.7187062473507914E-5</v>
      </c>
      <c r="AF39" s="28">
        <v>0</v>
      </c>
      <c r="AG39" s="213">
        <f>(((1-$W$39)^AB43))*V43</f>
        <v>1.8025251655907849E-4</v>
      </c>
      <c r="AH39" s="28">
        <v>0</v>
      </c>
      <c r="AI39" s="213">
        <f>(((1-$W$39)^AB44))*V44</f>
        <v>1.2963548499920715E-3</v>
      </c>
      <c r="AJ39" s="28">
        <v>0</v>
      </c>
      <c r="AK39" s="213">
        <f>(((1-$W$39)^AB45))*V45</f>
        <v>6.4749358207971102E-3</v>
      </c>
      <c r="AL39" s="28">
        <v>0</v>
      </c>
      <c r="AM39" s="213">
        <f>(((1-$W$39)^AB46))*V46</f>
        <v>2.2179175316464104E-2</v>
      </c>
      <c r="AN39" s="28">
        <v>0</v>
      </c>
      <c r="AO39" s="213">
        <f>(((1-$W$39)^AB47))*V47</f>
        <v>4.9869499642540914E-2</v>
      </c>
      <c r="AP39" s="28">
        <v>0</v>
      </c>
      <c r="AQ39" s="213">
        <f>(((1-$W$39)^AB48))*V48</f>
        <v>6.6490090587810732E-2</v>
      </c>
      <c r="AR39" s="28">
        <v>0</v>
      </c>
      <c r="AS39" s="213">
        <f>(((1-$W$39)^AB49))*V49</f>
        <v>3.9467341264342863E-2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1.465325259960153E-3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8.393710243103679E-5</v>
      </c>
    </row>
    <row r="40" spans="1:71" x14ac:dyDescent="0.25">
      <c r="G40" s="91">
        <v>1</v>
      </c>
      <c r="H40" s="130">
        <f>L39*J40+L40*J39</f>
        <v>0.28599211094334043</v>
      </c>
      <c r="I40" s="138">
        <v>1</v>
      </c>
      <c r="J40" s="86">
        <f t="shared" si="28"/>
        <v>0.34070319377605918</v>
      </c>
      <c r="K40" s="95">
        <v>1</v>
      </c>
      <c r="L40" s="86">
        <f>AI18</f>
        <v>0.22357649918066172</v>
      </c>
      <c r="M40" s="85">
        <v>1</v>
      </c>
      <c r="N40" s="210">
        <f>(($C$24)^M26)*((1-($C$24))^($B$21-M26))*HLOOKUP($B$21,$AV$24:$BF$34,M26+1)</f>
        <v>9.3818267872057071E-4</v>
      </c>
      <c r="O40" s="72">
        <v>1</v>
      </c>
      <c r="P40" s="210">
        <f t="shared" si="29"/>
        <v>9.3818267872057071E-4</v>
      </c>
      <c r="Q40" s="28">
        <v>1</v>
      </c>
      <c r="R40" s="211">
        <f>P40*N39+P39*N40</f>
        <v>4.8405794529021677E-8</v>
      </c>
      <c r="S40" s="72">
        <v>1</v>
      </c>
      <c r="T40" s="212">
        <f t="shared" ref="T40:T49" si="32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4.8409138841253507E-8</v>
      </c>
      <c r="W40" s="214"/>
      <c r="X40" s="28">
        <v>1</v>
      </c>
      <c r="Y40" s="211"/>
      <c r="Z40" s="28">
        <v>1</v>
      </c>
      <c r="AA40" s="213">
        <f>(1-((1-W39)^Z40))*V40</f>
        <v>8.5275403697563704E-9</v>
      </c>
      <c r="AB40" s="28">
        <v>1</v>
      </c>
      <c r="AC40" s="213">
        <f>((($W$39)^M40)*((1-($W$39))^($U$27-M40))*HLOOKUP($U$27,$AV$24:$BF$34,M40+1))*V41</f>
        <v>4.5992353159214612E-7</v>
      </c>
      <c r="AD40" s="28">
        <v>1</v>
      </c>
      <c r="AE40" s="213">
        <f>((($W$39)^M40)*((1-($W$39))^($U$28-M40))*HLOOKUP($U$28,$AV$24:$BF$34,M40+1))*V42</f>
        <v>1.1024886767147293E-5</v>
      </c>
      <c r="AF40" s="28">
        <v>1</v>
      </c>
      <c r="AG40" s="213">
        <f>((($W$39)^M40)*((1-($W$39))^($U$29-M40))*HLOOKUP($U$29,$AV$24:$BF$34,M40+1))*V43</f>
        <v>1.5416740257352259E-4</v>
      </c>
      <c r="AH40" s="28">
        <v>1</v>
      </c>
      <c r="AI40" s="213">
        <f>((($W$39)^M40)*((1-($W$39))^($U$30-M40))*HLOOKUP($U$30,$AV$24:$BF$34,M40+1))*V44</f>
        <v>1.3859422315704716E-3</v>
      </c>
      <c r="AJ40" s="28">
        <v>1</v>
      </c>
      <c r="AK40" s="213">
        <f>((($W$39)^M40)*((1-($W$39))^($U$31-M40))*HLOOKUP($U$31,$AV$24:$BF$34,M40+1))*V45</f>
        <v>8.306880173254429E-3</v>
      </c>
      <c r="AL40" s="28">
        <v>1</v>
      </c>
      <c r="AM40" s="213">
        <f>((($W$39)^Q40)*((1-($W$39))^($U$32-Q40))*HLOOKUP($U$32,$AV$24:$BF$34,Q40+1))*V46</f>
        <v>3.3196680697228372E-2</v>
      </c>
      <c r="AN40" s="28">
        <v>1</v>
      </c>
      <c r="AO40" s="213">
        <f>((($W$39)^Q40)*((1-($W$39))^($U$33-Q40))*HLOOKUP($U$33,$AV$24:$BF$34,Q40+1))*V47</f>
        <v>8.5305341354409217E-2</v>
      </c>
      <c r="AP40" s="28">
        <v>1</v>
      </c>
      <c r="AQ40" s="213">
        <f>((($W$39)^Q40)*((1-($W$39))^($U$34-Q40))*HLOOKUP($U$34,$AV$24:$BF$34,Q40+1))*V48</f>
        <v>0.12795305556104669</v>
      </c>
      <c r="AR40" s="28">
        <v>1</v>
      </c>
      <c r="AS40" s="213">
        <f>((($W$39)^Q40)*((1-($W$39))^($U$35-Q40))*HLOOKUP($U$35,$AV$24:$BF$34,Q40+1))*V49</f>
        <v>8.4389633018137372E-2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3.5031748425826001E-4</v>
      </c>
      <c r="BQ40" s="31">
        <f t="shared" si="30"/>
        <v>9</v>
      </c>
      <c r="BR40" s="31">
        <v>1</v>
      </c>
      <c r="BS40" s="107">
        <f t="shared" si="31"/>
        <v>1.7993036208795838E-4</v>
      </c>
    </row>
    <row r="41" spans="1:71" x14ac:dyDescent="0.25">
      <c r="G41" s="91">
        <v>2</v>
      </c>
      <c r="H41" s="130">
        <f>L39*J41+J40*L40+J39*L41</f>
        <v>0.28276889168525959</v>
      </c>
      <c r="I41" s="138">
        <v>2</v>
      </c>
      <c r="J41" s="86">
        <f t="shared" si="28"/>
        <v>0.28085570801364124</v>
      </c>
      <c r="K41" s="95">
        <v>2</v>
      </c>
      <c r="L41" s="86">
        <f>AJ18</f>
        <v>2.7511887928650173E-2</v>
      </c>
      <c r="M41" s="85">
        <v>2</v>
      </c>
      <c r="N41" s="210">
        <f>(($C$24)^M27)*((1-($C$24))^($B$21-M27))*HLOOKUP($B$21,$AV$24:$BF$34,M27+1)</f>
        <v>1.3647555385082851E-2</v>
      </c>
      <c r="O41" s="72">
        <v>2</v>
      </c>
      <c r="P41" s="210">
        <f t="shared" si="29"/>
        <v>1.3647555385082851E-2</v>
      </c>
      <c r="Q41" s="28">
        <v>2</v>
      </c>
      <c r="R41" s="211">
        <f>P41*N39+P40*N40+P39*N41</f>
        <v>1.5843361295723502E-6</v>
      </c>
      <c r="S41" s="72">
        <v>2</v>
      </c>
      <c r="T41" s="212">
        <f t="shared" si="32"/>
        <v>5.0503775157192999E-5</v>
      </c>
      <c r="U41" s="138">
        <v>2</v>
      </c>
      <c r="V41" s="86">
        <f>R41*T39+T40*R40+R39*T41</f>
        <v>1.5845794083821665E-6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4.9170753341995053E-8</v>
      </c>
      <c r="AD41" s="28">
        <v>2</v>
      </c>
      <c r="AE41" s="213">
        <f>((($W$39)^M41)*((1-($W$39))^($U$28-M41))*HLOOKUP($U$28,$AV$24:$BF$34,M41+1))*V42</f>
        <v>2.357357041394235E-6</v>
      </c>
      <c r="AF41" s="28">
        <v>2</v>
      </c>
      <c r="AG41" s="213">
        <f>((($W$39)^M41)*((1-($W$39))^($U$29-M41))*HLOOKUP($U$29,$AV$24:$BF$34,M41+1))*V43</f>
        <v>4.9446441449147508E-5</v>
      </c>
      <c r="AH41" s="28">
        <v>2</v>
      </c>
      <c r="AI41" s="213">
        <f>((($W$39)^M41)*((1-($W$39))^($U$30-M41))*HLOOKUP($U$30,$AV$24:$BF$34,M41+1))*V44</f>
        <v>5.926882964991531E-4</v>
      </c>
      <c r="AJ41" s="28">
        <v>2</v>
      </c>
      <c r="AK41" s="213">
        <f>((($W$39)^M41)*((1-($W$39))^($U$31-M41))*HLOOKUP($U$31,$AV$24:$BF$34,M41+1))*V45</f>
        <v>4.4404724697019353E-3</v>
      </c>
      <c r="AL41" s="28">
        <v>2</v>
      </c>
      <c r="AM41" s="213">
        <f>((($W$39)^Q41)*((1-($W$39))^($U$32-Q41))*HLOOKUP($U$32,$AV$24:$BF$34,Q41+1))*V46</f>
        <v>2.1294485098673637E-2</v>
      </c>
      <c r="AN41" s="28">
        <v>2</v>
      </c>
      <c r="AO41" s="213">
        <f>((($W$39)^Q41)*((1-($W$39))^($U$33-Q41))*HLOOKUP($U$33,$AV$24:$BF$34,Q41+1))*V47</f>
        <v>6.3840384917473569E-2</v>
      </c>
      <c r="AP41" s="28">
        <v>2</v>
      </c>
      <c r="AQ41" s="213">
        <f>((($W$39)^Q41)*((1-($W$39))^($U$34-Q41))*HLOOKUP($U$34,$AV$24:$BF$34,Q41+1))*V48</f>
        <v>0.10943642066005133</v>
      </c>
      <c r="AR41" s="28">
        <v>2</v>
      </c>
      <c r="AS41" s="213">
        <f>((($W$39)^Q41)*((1-($W$39))^($U$35-Q41))*HLOOKUP($U$35,$AV$24:$BF$34,Q41+1))*V49</f>
        <v>8.1199403601997733E-2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6.4846251422991539E-5</v>
      </c>
      <c r="BQ41" s="31">
        <f t="shared" si="30"/>
        <v>9</v>
      </c>
      <c r="BR41" s="31">
        <v>2</v>
      </c>
      <c r="BS41" s="107">
        <f t="shared" si="31"/>
        <v>1.7790249143697295E-4</v>
      </c>
    </row>
    <row r="42" spans="1:71" ht="15" customHeight="1" x14ac:dyDescent="0.25">
      <c r="G42" s="91">
        <v>3</v>
      </c>
      <c r="H42" s="130">
        <f>J42*L39+J41*L40+L42*J39+L41*J40</f>
        <v>0.17644656327971991</v>
      </c>
      <c r="I42" s="138">
        <v>3</v>
      </c>
      <c r="J42" s="86">
        <f t="shared" si="28"/>
        <v>0.1371882644746388</v>
      </c>
      <c r="K42" s="95">
        <v>3</v>
      </c>
      <c r="L42" s="86">
        <f>AK18</f>
        <v>3.1535718317709877E-2</v>
      </c>
      <c r="M42" s="85">
        <v>3</v>
      </c>
      <c r="N42" s="210">
        <f>(($C$24)^M28)*((1-($C$24))^($B$21-M28))*HLOOKUP($B$21,$AV$24:$BF$34,M28+1)</f>
        <v>9.9264126386828411E-2</v>
      </c>
      <c r="O42" s="72">
        <v>3</v>
      </c>
      <c r="P42" s="210">
        <f t="shared" si="29"/>
        <v>9.9264126386828411E-2</v>
      </c>
      <c r="Q42" s="28">
        <v>3</v>
      </c>
      <c r="R42" s="211">
        <f>P42*N39+P41*N40+P40*N41+P39*N42</f>
        <v>3.0729360165994512E-5</v>
      </c>
      <c r="S42" s="72">
        <v>3</v>
      </c>
      <c r="T42" s="212">
        <f t="shared" si="32"/>
        <v>3.8068172229039952E-7</v>
      </c>
      <c r="U42" s="138">
        <v>3</v>
      </c>
      <c r="V42" s="86">
        <f>R42*T39+R41*T40+R40*T41+R39*T42</f>
        <v>3.0737324099011531E-5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1.6801781696209047E-7</v>
      </c>
      <c r="AF42" s="28">
        <v>3</v>
      </c>
      <c r="AG42" s="213">
        <f>((($W$39)^M42)*((1-($W$39))^($U$29-M42))*HLOOKUP($U$29,$AV$24:$BF$34,M42+1))*V43</f>
        <v>7.0484725079370876E-6</v>
      </c>
      <c r="AH42" s="28">
        <v>3</v>
      </c>
      <c r="AI42" s="213">
        <f>((($W$39)^M42)*((1-($W$39))^($U$30-M42))*HLOOKUP($U$30,$AV$24:$BF$34,M42+1))*V44</f>
        <v>1.2672945841653798E-4</v>
      </c>
      <c r="AJ42" s="28">
        <v>3</v>
      </c>
      <c r="AK42" s="213">
        <f>((($W$39)^M42)*((1-($W$39))^($U$31-M42))*HLOOKUP($U$31,$AV$24:$BF$34,M42+1))*V45</f>
        <v>1.2659575576185456E-3</v>
      </c>
      <c r="AL42" s="28">
        <v>3</v>
      </c>
      <c r="AM42" s="213">
        <f>((($W$39)^Q42)*((1-($W$39))^($U$32-Q42))*HLOOKUP($U$32,$AV$24:$BF$34,Q42+1))*V46</f>
        <v>7.5886953838244725E-3</v>
      </c>
      <c r="AN42" s="28">
        <v>3</v>
      </c>
      <c r="AO42" s="213">
        <f>((($W$39)^Q42)*((1-($W$39))^($U$33-Q42))*HLOOKUP($U$33,$AV$24:$BF$34,Q42+1))*V47</f>
        <v>2.7300884642004423E-2</v>
      </c>
      <c r="AP42" s="28">
        <v>3</v>
      </c>
      <c r="AQ42" s="213">
        <f>((($W$39)^Q42)*((1-($W$39))^($U$34-Q42))*HLOOKUP($U$34,$AV$24:$BF$34,Q42+1))*V48</f>
        <v>5.4599654277233775E-2</v>
      </c>
      <c r="AR42" s="28">
        <v>3</v>
      </c>
      <c r="AS42" s="213">
        <f>((($W$39)^Q42)*((1-($W$39))^($U$35-Q42))*HLOOKUP($U$35,$AV$24:$BF$34,Q42+1))*V49</f>
        <v>4.6299126665216156E-2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8.9427383000996996E-6</v>
      </c>
      <c r="BQ42" s="31">
        <f t="shared" si="30"/>
        <v>9</v>
      </c>
      <c r="BR42" s="31">
        <v>3</v>
      </c>
      <c r="BS42" s="107">
        <f t="shared" si="31"/>
        <v>1.110103838716924E-4</v>
      </c>
    </row>
    <row r="43" spans="1:71" ht="15" customHeight="1" x14ac:dyDescent="0.25">
      <c r="G43" s="91">
        <v>4</v>
      </c>
      <c r="H43" s="130">
        <f>J43*L39+J42*L40+J41*L41+J40*L42</f>
        <v>8.0688346142266637E-2</v>
      </c>
      <c r="I43" s="138">
        <v>4</v>
      </c>
      <c r="J43" s="86">
        <f t="shared" si="28"/>
        <v>4.3972879168562802E-2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0.36099383769895682</v>
      </c>
      <c r="O43" s="72">
        <v>4</v>
      </c>
      <c r="P43" s="210">
        <f t="shared" si="29"/>
        <v>0.36099383769895682</v>
      </c>
      <c r="Q43" s="28">
        <v>4</v>
      </c>
      <c r="R43" s="211">
        <f>P43*N39+P42*N40+P41*N41+P40*N42+P39*N43</f>
        <v>3.9113711277669825E-4</v>
      </c>
      <c r="S43" s="72">
        <v>4</v>
      </c>
      <c r="T43" s="212">
        <f t="shared" si="32"/>
        <v>2.5506313051283046E-9</v>
      </c>
      <c r="U43" s="138">
        <v>4</v>
      </c>
      <c r="V43" s="86">
        <f>T43*R39+T42*R40+T41*R41+T40*R42+T39*R43</f>
        <v>3.912916117053893E-4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3.7677861570360906E-7</v>
      </c>
      <c r="AH43" s="28">
        <v>4</v>
      </c>
      <c r="AI43" s="213">
        <f>((($W$39)^M43)*((1-($W$39))^($U$30-M43))*HLOOKUP($U$30,$AV$24:$BF$34,M43+1))*V44</f>
        <v>1.3548736937622301E-5</v>
      </c>
      <c r="AJ43" s="28">
        <v>4</v>
      </c>
      <c r="AK43" s="213">
        <f>((($W$39)^M43)*((1-($W$39))^($U$31-M43))*HLOOKUP($U$31,$AV$24:$BF$34,M43+1))*V45</f>
        <v>2.0301664036934976E-4</v>
      </c>
      <c r="AL43" s="28">
        <v>4</v>
      </c>
      <c r="AM43" s="213">
        <f>((($W$39)^Q43)*((1-($W$39))^($U$32-Q43))*HLOOKUP($U$32,$AV$24:$BF$34,Q43+1))*V46</f>
        <v>1.622625690030867E-3</v>
      </c>
      <c r="AN43" s="28">
        <v>4</v>
      </c>
      <c r="AO43" s="213">
        <f>((($W$39)^Q43)*((1-($W$39))^($U$33-Q43))*HLOOKUP($U$33,$AV$24:$BF$34,Q43+1))*V47</f>
        <v>7.296892703571682E-3</v>
      </c>
      <c r="AP43" s="28">
        <v>4</v>
      </c>
      <c r="AQ43" s="213">
        <f>((($W$39)^Q43)*((1-($W$39))^($U$34-Q43))*HLOOKUP($U$34,$AV$24:$BF$34,Q43+1))*V48</f>
        <v>1.7511864137916045E-2</v>
      </c>
      <c r="AR43" s="28">
        <v>4</v>
      </c>
      <c r="AS43" s="213">
        <f>((($W$39)^Q43)*((1-($W$39))^($U$35-Q43))*HLOOKUP($U$35,$AV$24:$BF$34,Q43+1))*V49</f>
        <v>1.732455448112153E-2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8.8027230172371095E-7</v>
      </c>
      <c r="BQ43" s="31">
        <f t="shared" si="30"/>
        <v>9</v>
      </c>
      <c r="BR43" s="31">
        <v>4</v>
      </c>
      <c r="BS43" s="107">
        <f t="shared" si="31"/>
        <v>5.0764628750661091E-5</v>
      </c>
    </row>
    <row r="44" spans="1:71" ht="15" customHeight="1" thickBot="1" x14ac:dyDescent="0.3">
      <c r="G44" s="91">
        <v>5</v>
      </c>
      <c r="H44" s="130">
        <f>J44*L39+J43*L40+J42*L41+J41*L42</f>
        <v>2.9395278250603066E-2</v>
      </c>
      <c r="I44" s="138">
        <v>5</v>
      </c>
      <c r="J44" s="86">
        <f t="shared" si="28"/>
        <v>9.6639450341955216E-3</v>
      </c>
      <c r="K44" s="95">
        <v>5</v>
      </c>
      <c r="L44" s="86"/>
      <c r="M44" s="85">
        <v>5</v>
      </c>
      <c r="N44" s="210">
        <f>(($C$24)^M30)*((1-($C$24))^($B$21-M30))*HLOOKUP($B$21,$AV$24:$BF$34,M30+1)</f>
        <v>0.52513050021226104</v>
      </c>
      <c r="O44" s="72">
        <v>5</v>
      </c>
      <c r="P44" s="210">
        <f t="shared" si="29"/>
        <v>0.52513050021226104</v>
      </c>
      <c r="Q44" s="28">
        <v>5</v>
      </c>
      <c r="R44" s="211">
        <f>P44*N39+P43*N40+P42*N41+P41*N42+P40*N43+P39*N44</f>
        <v>3.4138759097925844E-3</v>
      </c>
      <c r="S44" s="72">
        <v>5</v>
      </c>
      <c r="T44" s="212">
        <f t="shared" si="32"/>
        <v>1.6021553424172769E-11</v>
      </c>
      <c r="U44" s="138">
        <v>5</v>
      </c>
      <c r="V44" s="86">
        <f>T44*R39+T43*R40+T42*R41+T41*R42+T40*R43+T39*R44</f>
        <v>3.4158429754740632E-3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5.7940205820665165E-7</v>
      </c>
      <c r="AJ44" s="28">
        <v>5</v>
      </c>
      <c r="AK44" s="213">
        <f>((($W$39)^M44)*((1-($W$39))^($U$31-M44))*HLOOKUP($U$31,$AV$24:$BF$34,M44+1))*V45</f>
        <v>1.7363723249149409E-5</v>
      </c>
      <c r="AL44" s="28">
        <v>5</v>
      </c>
      <c r="AM44" s="213">
        <f>((($W$39)^Q44)*((1-($W$39))^($U$32-Q44))*HLOOKUP($U$32,$AV$24:$BF$34,Q44+1))*V46</f>
        <v>2.081712861127841E-4</v>
      </c>
      <c r="AN44" s="28">
        <v>5</v>
      </c>
      <c r="AO44" s="213">
        <f>((($W$39)^Q44)*((1-($W$39))^($U$33-Q44))*HLOOKUP($U$33,$AV$24:$BF$34,Q44+1))*V47</f>
        <v>1.2481856191989757E-3</v>
      </c>
      <c r="AP44" s="28">
        <v>5</v>
      </c>
      <c r="AQ44" s="213">
        <f>((($W$39)^Q44)*((1-($W$39))^($U$34-Q44))*HLOOKUP($U$34,$AV$24:$BF$34,Q44+1))*V48</f>
        <v>3.7444118116904063E-3</v>
      </c>
      <c r="AR44" s="28">
        <v>5</v>
      </c>
      <c r="AS44" s="213">
        <f>((($W$39)^Q44)*((1-($W$39))^($U$35-Q44))*HLOOKUP($U$35,$AV$24:$BF$34,Q44+1))*V49</f>
        <v>4.4452331918859991E-3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7.4092588929627011E-4</v>
      </c>
      <c r="BQ44" s="31">
        <f t="shared" si="30"/>
        <v>9</v>
      </c>
      <c r="BR44" s="31">
        <v>5</v>
      </c>
      <c r="BS44" s="107">
        <f t="shared" si="31"/>
        <v>1.8493877477463538E-5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8.7546735063765806E-3</v>
      </c>
      <c r="I45" s="138">
        <v>6</v>
      </c>
      <c r="J45" s="86">
        <f t="shared" si="28"/>
        <v>1.4747291159445471E-3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2.0692070253414515E-2</v>
      </c>
      <c r="S45" s="72">
        <v>6</v>
      </c>
      <c r="T45" s="212">
        <f t="shared" si="32"/>
        <v>9.6612382457323207E-14</v>
      </c>
      <c r="U45" s="138">
        <v>6</v>
      </c>
      <c r="V45" s="86">
        <f>T45*R39+T44*R40+T43*R41+T42*R42+T41*R43+T40*R44+T39*R45</f>
        <v>2.0709245174343052E-2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6.1878935253068512E-7</v>
      </c>
      <c r="AL45" s="28">
        <v>6</v>
      </c>
      <c r="AM45" s="213">
        <f>((($W$39)^Q45)*((1-($W$39))^($U$32-Q45))*HLOOKUP($U$32,$AV$24:$BF$34,Q45+1))*V46</f>
        <v>1.4837160613639686E-5</v>
      </c>
      <c r="AN45" s="28">
        <v>6</v>
      </c>
      <c r="AO45" s="213">
        <f>((($W$39)^Q45)*((1-($W$39))^($U$33-Q45))*HLOOKUP($U$33,$AV$24:$BF$34,Q45+1))*V47</f>
        <v>1.3344441627980024E-4</v>
      </c>
      <c r="AP45" s="28">
        <v>6</v>
      </c>
      <c r="AQ45" s="213">
        <f>((($W$39)^Q45)*((1-($W$39))^($U$34-Q45))*HLOOKUP($U$34,$AV$24:$BF$34,Q45+1))*V48</f>
        <v>5.3375698917054748E-4</v>
      </c>
      <c r="AR45" s="28">
        <v>6</v>
      </c>
      <c r="AS45" s="213">
        <f>((($W$39)^Q45)*((1-($W$39))^($U$35-Q45))*HLOOKUP($U$35,$AV$24:$BF$34,Q45+1))*V49</f>
        <v>7.9207176052802889E-4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1.7713425179549671E-4</v>
      </c>
      <c r="BQ45" s="31">
        <f t="shared" si="30"/>
        <v>9</v>
      </c>
      <c r="BR45" s="31">
        <v>6</v>
      </c>
      <c r="BS45" s="107">
        <f t="shared" si="31"/>
        <v>5.5079546382182292E-6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2.0929927860109934E-3</v>
      </c>
      <c r="I46" s="138">
        <v>7</v>
      </c>
      <c r="J46" s="86">
        <f t="shared" si="28"/>
        <v>1.5429610899638023E-4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8.6000971032517123E-2</v>
      </c>
      <c r="S46" s="72">
        <v>7</v>
      </c>
      <c r="T46" s="212">
        <f t="shared" si="32"/>
        <v>5.6640425226236405E-16</v>
      </c>
      <c r="U46" s="138">
        <v>7</v>
      </c>
      <c r="V46" s="86">
        <f>T46*R39+T45*R40+T44*R41+T43*R42+T42*R43+T41*R44+T40*R45+T39*R46</f>
        <v>8.6105123847645362E-2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4.5321469748509642E-7</v>
      </c>
      <c r="AN46" s="28">
        <v>7</v>
      </c>
      <c r="AO46" s="213">
        <f>((($W$39)^Q46)*((1-($W$39))^($U$33-Q46))*HLOOKUP($U$33,$AV$24:$BF$34,Q46+1))*V47</f>
        <v>8.1523645029126512E-6</v>
      </c>
      <c r="AP46" s="28">
        <v>7</v>
      </c>
      <c r="AQ46" s="213">
        <f>((($W$39)^Q46)*((1-($W$39))^($U$34-Q46))*HLOOKUP($U$34,$AV$24:$BF$34,Q46+1))*V48</f>
        <v>4.8912292319954282E-5</v>
      </c>
      <c r="AR46" s="28">
        <v>7</v>
      </c>
      <c r="AS46" s="213">
        <f>((($W$39)^Q46)*((1-($W$39))^($U$35-Q46))*HLOOKUP($U$35,$AV$24:$BF$34,Q46+1))*V49</f>
        <v>9.6778237476028182E-5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3.2788806564636754E-5</v>
      </c>
      <c r="BQ46" s="31">
        <f t="shared" si="30"/>
        <v>9</v>
      </c>
      <c r="BR46" s="31">
        <v>7</v>
      </c>
      <c r="BS46" s="107">
        <f t="shared" si="31"/>
        <v>1.3167948884752693E-6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3.8742781199044946E-4</v>
      </c>
      <c r="I47" s="138">
        <v>8</v>
      </c>
      <c r="J47" s="86">
        <f t="shared" si="28"/>
        <v>1.0592490718076577E-5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0.2345697915419174</v>
      </c>
      <c r="S47" s="72">
        <v>8</v>
      </c>
      <c r="T47" s="212">
        <f t="shared" si="32"/>
        <v>3.2528600273502595E-18</v>
      </c>
      <c r="U47" s="138">
        <v>8</v>
      </c>
      <c r="V47" s="86">
        <f>T47*R39+T46*R40+T45*R41+T44*R42+T43*R43+T42*R44+T41*R45+T40*R46+T39*R47</f>
        <v>0.2350030035537598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2.1789377830868929E-7</v>
      </c>
      <c r="AP47" s="28">
        <v>8</v>
      </c>
      <c r="AQ47" s="213">
        <f>((($W$39)^Q47)*((1-($W$39))^($U$34-Q47))*HLOOKUP($U$34,$AV$24:$BF$34,Q47+1))*V48</f>
        <v>2.6146240579714463E-6</v>
      </c>
      <c r="AR47" s="28">
        <v>8</v>
      </c>
      <c r="AS47" s="213">
        <f>((($W$39)^Q47)*((1-($W$39))^($U$35-Q47))*HLOOKUP($U$35,$AV$24:$BF$34,Q47+1))*V49</f>
        <v>7.7599728817964418E-6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4.5217990222357628E-6</v>
      </c>
      <c r="BQ47" s="31">
        <f>BM12+1</f>
        <v>9</v>
      </c>
      <c r="BR47" s="31">
        <v>8</v>
      </c>
      <c r="BS47" s="107">
        <f t="shared" si="31"/>
        <v>2.4374807495370981E-7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5.3428925447221844E-5</v>
      </c>
      <c r="I48" s="138">
        <v>9</v>
      </c>
      <c r="J48" s="86">
        <f t="shared" si="28"/>
        <v>4.3083995896859262E-7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0.37913774912879394</v>
      </c>
      <c r="S48" s="72">
        <v>9</v>
      </c>
      <c r="T48" s="212">
        <f t="shared" si="32"/>
        <v>1.8389284074216291E-20</v>
      </c>
      <c r="U48" s="138">
        <v>9</v>
      </c>
      <c r="V48" s="86">
        <f>T48*R39+T47*R40+T46*R41+T45*R42+T44*R43+T43*R44+T42*R45+T41*R46+T40*R47+T39*R48</f>
        <v>0.38032084305936992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6.2118072440581326E-8</v>
      </c>
      <c r="AR48" s="28">
        <v>9</v>
      </c>
      <c r="AS48" s="213">
        <f>((($W$39)^Q48)*((1-($W$39))^($U$35-Q48))*HLOOKUP($U$35,$AV$24:$BF$34,Q48+1))*V49</f>
        <v>3.6872188652801127E-7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4.451001806897474E-7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5.2592395755924314E-6</v>
      </c>
      <c r="I49" s="94">
        <v>10</v>
      </c>
      <c r="J49" s="89">
        <f t="shared" si="28"/>
        <v>7.8840640623457643E-9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0.27576204225317952</v>
      </c>
      <c r="S49" s="72">
        <v>10</v>
      </c>
      <c r="T49" s="212">
        <f t="shared" si="32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0.27402227879953811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7.8840640623457643E-9</v>
      </c>
      <c r="BI49" s="31">
        <f>BQ14+1</f>
        <v>6</v>
      </c>
      <c r="BJ49" s="31">
        <v>0</v>
      </c>
      <c r="BK49" s="107">
        <f>$H$31*H39</f>
        <v>4.4722084658341231E-3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9"/>
      <c r="J50" s="299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9"/>
      <c r="X50" s="158"/>
      <c r="Y50" s="158"/>
      <c r="BI50" s="31">
        <f>BI45+1</f>
        <v>6</v>
      </c>
      <c r="BJ50" s="31">
        <v>7</v>
      </c>
      <c r="BK50" s="107">
        <f>$H$31*H46</f>
        <v>7.0159453655725375E-5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1.2987012569731932E-5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1.7909971997246426E-6</v>
      </c>
    </row>
    <row r="53" spans="1:63" x14ac:dyDescent="0.25">
      <c r="BI53" s="31">
        <f>BI48+1</f>
        <v>6</v>
      </c>
      <c r="BJ53" s="31">
        <v>10</v>
      </c>
      <c r="BK53" s="107">
        <f>$H$31*H49</f>
        <v>1.7629557910296396E-7</v>
      </c>
    </row>
    <row r="54" spans="1:63" x14ac:dyDescent="0.25">
      <c r="BI54" s="31">
        <f>BI51+1</f>
        <v>7</v>
      </c>
      <c r="BJ54" s="31">
        <v>8</v>
      </c>
      <c r="BK54" s="107">
        <f>$H$32*H47</f>
        <v>4.1769957694523285E-6</v>
      </c>
    </row>
    <row r="55" spans="1:63" x14ac:dyDescent="0.25">
      <c r="BI55" s="31">
        <f>BI52+1</f>
        <v>7</v>
      </c>
      <c r="BJ55" s="31">
        <v>9</v>
      </c>
      <c r="BK55" s="107">
        <f>$H$32*H48</f>
        <v>5.7603607343742005E-7</v>
      </c>
    </row>
    <row r="56" spans="1:63" x14ac:dyDescent="0.25">
      <c r="BI56" s="31">
        <f>BI53+1</f>
        <v>7</v>
      </c>
      <c r="BJ56" s="31">
        <v>10</v>
      </c>
      <c r="BK56" s="107">
        <f>$H$32*H49</f>
        <v>5.6701715204502088E-8</v>
      </c>
    </row>
    <row r="57" spans="1:63" x14ac:dyDescent="0.25">
      <c r="BI57" s="31">
        <f>BI55+1</f>
        <v>8</v>
      </c>
      <c r="BJ57" s="31">
        <v>9</v>
      </c>
      <c r="BK57" s="107">
        <f>$H$33*H48</f>
        <v>1.5320073904668989E-7</v>
      </c>
    </row>
    <row r="58" spans="1:63" x14ac:dyDescent="0.25">
      <c r="BI58" s="31">
        <f>BI56+1</f>
        <v>8</v>
      </c>
      <c r="BJ58" s="31">
        <v>10</v>
      </c>
      <c r="BK58" s="107">
        <f>$H$33*H49</f>
        <v>1.5080209513108509E-8</v>
      </c>
    </row>
    <row r="59" spans="1:63" x14ac:dyDescent="0.25">
      <c r="BI59" s="31">
        <f>BI58+1</f>
        <v>9</v>
      </c>
      <c r="BJ59" s="31">
        <v>10</v>
      </c>
      <c r="BK59" s="107">
        <f>$H$34*H49</f>
        <v>3.3088216245627249E-9</v>
      </c>
    </row>
  </sheetData>
  <mergeCells count="2">
    <mergeCell ref="Q1:R1"/>
    <mergeCell ref="B3:C3"/>
  </mergeCells>
  <conditionalFormatting sqref="H49">
    <cfRule type="cellIs" dxfId="125" priority="1" operator="greaterThan">
      <formula>0.15</formula>
    </cfRule>
  </conditionalFormatting>
  <conditionalFormatting sqref="H39:H49">
    <cfRule type="cellIs" dxfId="124" priority="2" operator="greaterThan">
      <formula>0.15</formula>
    </cfRule>
  </conditionalFormatting>
  <conditionalFormatting sqref="H49">
    <cfRule type="cellIs" dxfId="123" priority="3" operator="greaterThan">
      <formula>0.15</formula>
    </cfRule>
  </conditionalFormatting>
  <conditionalFormatting sqref="H39:H49">
    <cfRule type="cellIs" dxfId="122" priority="4" operator="greaterThan">
      <formula>0.15</formula>
    </cfRule>
  </conditionalFormatting>
  <conditionalFormatting sqref="H35">
    <cfRule type="cellIs" dxfId="121" priority="5" operator="greaterThan">
      <formula>0.15</formula>
    </cfRule>
  </conditionalFormatting>
  <conditionalFormatting sqref="H25:H35">
    <cfRule type="cellIs" dxfId="120" priority="6" operator="greaterThan">
      <formula>0.15</formula>
    </cfRule>
  </conditionalFormatting>
  <conditionalFormatting sqref="H35">
    <cfRule type="cellIs" dxfId="119" priority="7" operator="greaterThan">
      <formula>0.15</formula>
    </cfRule>
  </conditionalFormatting>
  <conditionalFormatting sqref="H25:H35">
    <cfRule type="cellIs" dxfId="118" priority="8" operator="greaterThan">
      <formula>0.15</formula>
    </cfRule>
  </conditionalFormatting>
  <conditionalFormatting sqref="V49">
    <cfRule type="cellIs" dxfId="117" priority="9" operator="greaterThan">
      <formula>0.15</formula>
    </cfRule>
  </conditionalFormatting>
  <conditionalFormatting sqref="V35">
    <cfRule type="cellIs" dxfId="116" priority="10" operator="greaterThan">
      <formula>0.15</formula>
    </cfRule>
  </conditionalFormatting>
  <conditionalFormatting sqref="V25:V35 V39:V49">
    <cfRule type="cellIs" dxfId="115" priority="11" operator="greaterThan">
      <formula>0.15</formula>
    </cfRule>
  </conditionalFormatting>
  <conditionalFormatting sqref="V49">
    <cfRule type="cellIs" dxfId="114" priority="12" operator="greaterThan">
      <formula>0.15</formula>
    </cfRule>
  </conditionalFormatting>
  <conditionalFormatting sqref="V35">
    <cfRule type="cellIs" dxfId="113" priority="13" operator="greaterThan">
      <formula>0.15</formula>
    </cfRule>
  </conditionalFormatting>
  <conditionalFormatting sqref="V25:V35 V39:V49">
    <cfRule type="cellIs" dxfId="11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1E2C-380C-4BC4-8C7D-84C24FA72C3F}">
  <sheetPr>
    <tabColor rgb="FF00B050"/>
  </sheetPr>
  <dimension ref="A1:BS59"/>
  <sheetViews>
    <sheetView zoomScale="90" zoomScaleNormal="90" workbookViewId="0">
      <selection activeCell="P4" sqref="P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7" t="s">
        <v>190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2"/>
      <c r="R1" s="30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7" t="s">
        <v>191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3.2</v>
      </c>
      <c r="S2" s="198">
        <f>SUM(S4:S15)</f>
        <v>3.5750000000000002</v>
      </c>
      <c r="T2" s="256">
        <f t="shared" ref="T2:U2" si="0">SUM(T4:T15)</f>
        <v>0.33966568317819146</v>
      </c>
      <c r="U2" s="256">
        <f t="shared" si="0"/>
        <v>1.0061155668218085</v>
      </c>
      <c r="V2" s="158"/>
      <c r="W2" s="158"/>
      <c r="X2" s="290">
        <f t="shared" ref="X2:Y2" si="1">SUM(X4:X15)</f>
        <v>0.12778771401263297</v>
      </c>
      <c r="Y2" s="291">
        <f t="shared" si="1"/>
        <v>0.50630212973736688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6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3" t="s">
        <v>5</v>
      </c>
      <c r="C3" s="303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144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1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0.50273437499999996</v>
      </c>
      <c r="T4" s="263">
        <f t="shared" ref="T4:T9" si="4">IF(S4=0,0,IF(Q4=0,S4*P4/L4,S4*P4/(L4*2)))</f>
        <v>4.1894531249999999E-2</v>
      </c>
      <c r="U4" s="265">
        <f t="shared" ref="U4:U9" si="5">IF(S4=0,0,IF(P4=0,S4*Q4/L4,S4*Q4/(L4*2)))</f>
        <v>4.1894531249999999E-2</v>
      </c>
      <c r="V4" s="255">
        <f>$G$17</f>
        <v>0.56999999999999995</v>
      </c>
      <c r="W4" s="253">
        <f>$H$17</f>
        <v>0.56999999999999995</v>
      </c>
      <c r="X4" s="288">
        <f>V4*T4</f>
        <v>2.3879882812499996E-2</v>
      </c>
      <c r="Y4" s="289">
        <f>W4*U4</f>
        <v>2.3879882812499996E-2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2.3879882812499996E-2</v>
      </c>
      <c r="AH4" s="284">
        <f t="shared" ref="AH4:AH15" si="8">(1-AG4)</f>
        <v>0.97612011718750002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3.6917072349976397E-2</v>
      </c>
      <c r="BM4" s="31">
        <v>0</v>
      </c>
      <c r="BN4" s="31">
        <v>0</v>
      </c>
      <c r="BO4" s="107">
        <f>H25*H39</f>
        <v>1.667334178617293E-2</v>
      </c>
      <c r="BQ4" s="31">
        <v>1</v>
      </c>
      <c r="BR4" s="31">
        <v>0</v>
      </c>
      <c r="BS4" s="107">
        <f>$H$26*H39</f>
        <v>3.6303502856993533E-2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32</v>
      </c>
      <c r="F5" s="279" t="s">
        <v>2</v>
      </c>
      <c r="G5" s="279" t="s">
        <v>2</v>
      </c>
      <c r="H5" s="279" t="s">
        <v>162</v>
      </c>
      <c r="I5" s="279" t="s">
        <v>162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8.7011718749999984E-3</v>
      </c>
      <c r="AB5" s="282">
        <f t="shared" si="7"/>
        <v>0.99129882812500003</v>
      </c>
      <c r="AC5" s="282">
        <f>AA5*PRODUCT(AB3:AB4)*PRODUCT(AB6:AB17)</f>
        <v>7.8979567976853442E-3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7.7827247560331042E-4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3.7982126258730535E-2</v>
      </c>
      <c r="BM5" s="31">
        <v>1</v>
      </c>
      <c r="BN5" s="31">
        <v>1</v>
      </c>
      <c r="BO5" s="107">
        <f>$H$26*H40</f>
        <v>8.0380949345177949E-2</v>
      </c>
      <c r="BQ5" s="31">
        <f>BQ4+1</f>
        <v>2</v>
      </c>
      <c r="BR5" s="31">
        <v>0</v>
      </c>
      <c r="BS5" s="107">
        <f>$H$27*H39</f>
        <v>3.5938987007521926E-2</v>
      </c>
    </row>
    <row r="6" spans="1:71" ht="15.75" x14ac:dyDescent="0.25">
      <c r="A6" s="2" t="s">
        <v>35</v>
      </c>
      <c r="B6" s="269">
        <f>7.75*1.2</f>
        <v>9.2999999999999989</v>
      </c>
      <c r="C6" s="270">
        <v>9.5</v>
      </c>
      <c r="E6" s="248"/>
      <c r="F6" s="279" t="s">
        <v>6</v>
      </c>
      <c r="G6" s="279" t="s">
        <v>162</v>
      </c>
      <c r="H6" s="279" t="s">
        <v>162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1</v>
      </c>
      <c r="Q6" s="251">
        <f>COUNTIF(E9:I11,"IMP")</f>
        <v>1</v>
      </c>
      <c r="R6" s="258">
        <f t="shared" si="2"/>
        <v>0.45</v>
      </c>
      <c r="S6" s="258">
        <f t="shared" si="3"/>
        <v>0.50273437499999996</v>
      </c>
      <c r="T6" s="263">
        <f t="shared" si="4"/>
        <v>1.9335937499999997E-2</v>
      </c>
      <c r="U6" s="265">
        <f t="shared" si="5"/>
        <v>1.9335937499999997E-2</v>
      </c>
      <c r="V6" s="255">
        <f>$G$18</f>
        <v>0.45</v>
      </c>
      <c r="W6" s="253">
        <f>$H$18</f>
        <v>0.45</v>
      </c>
      <c r="X6" s="288">
        <f t="shared" si="11"/>
        <v>8.7011718749999984E-3</v>
      </c>
      <c r="Y6" s="289">
        <f t="shared" si="11"/>
        <v>8.7011718749999984E-3</v>
      </c>
      <c r="Z6" s="236"/>
      <c r="AA6" s="281">
        <f t="shared" si="6"/>
        <v>6.2841796875000007E-4</v>
      </c>
      <c r="AB6" s="282">
        <f t="shared" si="7"/>
        <v>0.99937158203124998</v>
      </c>
      <c r="AC6" s="282">
        <f>AA6*PRODUCT(AB3:AB5)*PRODUCT(AB7:AB17)</f>
        <v>5.6580033207126337E-4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5.5398741743568151E-5</v>
      </c>
      <c r="AE6" s="220"/>
      <c r="AF6" s="234"/>
      <c r="AG6" s="283">
        <f t="shared" si="12"/>
        <v>8.7011718749999984E-3</v>
      </c>
      <c r="AH6" s="284">
        <f t="shared" si="8"/>
        <v>0.99129882812500003</v>
      </c>
      <c r="AI6" s="284">
        <f>AG6*PRODUCT(AH3:AH5)*PRODUCT(AH7:AH17)</f>
        <v>5.1601652570474332E-3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2.5825274190729576E-3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2.543099190554763E-2</v>
      </c>
      <c r="BM6" s="31">
        <f>BI14+1</f>
        <v>2</v>
      </c>
      <c r="BN6" s="31">
        <v>2</v>
      </c>
      <c r="BO6" s="107">
        <f>$H$27*H41</f>
        <v>8.186955918234641E-2</v>
      </c>
      <c r="BQ6" s="31">
        <f>BM5+1</f>
        <v>2</v>
      </c>
      <c r="BR6" s="31">
        <v>1</v>
      </c>
      <c r="BS6" s="107">
        <f>$H$27*H40</f>
        <v>7.9573861110543667E-2</v>
      </c>
    </row>
    <row r="7" spans="1:71" ht="15.75" x14ac:dyDescent="0.25">
      <c r="A7" s="5" t="s">
        <v>40</v>
      </c>
      <c r="B7" s="269">
        <v>9.5</v>
      </c>
      <c r="C7" s="270">
        <v>8.75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1</v>
      </c>
      <c r="Q7" s="251">
        <f>COUNTIF(E4:I4,"IMP")+COUNTIF(F5:H5,"IMP")</f>
        <v>1</v>
      </c>
      <c r="R7" s="258">
        <f t="shared" si="2"/>
        <v>0.02</v>
      </c>
      <c r="S7" s="258">
        <f t="shared" si="3"/>
        <v>2.2343750000000002E-2</v>
      </c>
      <c r="T7" s="263">
        <f t="shared" si="4"/>
        <v>1.3964843750000002E-3</v>
      </c>
      <c r="U7" s="265">
        <f t="shared" si="5"/>
        <v>1.3964843750000002E-3</v>
      </c>
      <c r="V7" s="255">
        <f>$G$18</f>
        <v>0.45</v>
      </c>
      <c r="W7" s="253">
        <f>$H$18</f>
        <v>0.45</v>
      </c>
      <c r="X7" s="288">
        <f t="shared" si="11"/>
        <v>6.2841796875000007E-4</v>
      </c>
      <c r="Y7" s="289">
        <f t="shared" si="11"/>
        <v>6.2841796875000007E-4</v>
      </c>
      <c r="Z7" s="236"/>
      <c r="AA7" s="281">
        <f t="shared" si="6"/>
        <v>0</v>
      </c>
      <c r="AB7" s="282">
        <f t="shared" si="7"/>
        <v>1</v>
      </c>
      <c r="AC7" s="282">
        <f>AA7*PRODUCT(AB3:AB6)*PRODUCT(AB8:AB17)</f>
        <v>0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220"/>
      <c r="AF7" s="234"/>
      <c r="AG7" s="283">
        <f t="shared" si="12"/>
        <v>6.2841796875000007E-4</v>
      </c>
      <c r="AH7" s="284">
        <f t="shared" si="8"/>
        <v>0.99937158203124998</v>
      </c>
      <c r="AI7" s="284">
        <f>AG7*PRODUCT(AH3:AH6)*PRODUCT(AH8:AH17)</f>
        <v>3.6966816744752126E-4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1.8477677344607647E-4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1.2812676464677016E-2</v>
      </c>
      <c r="BM7" s="31">
        <f>BI23+1</f>
        <v>3</v>
      </c>
      <c r="BN7" s="31">
        <v>3</v>
      </c>
      <c r="BO7" s="107">
        <f>$H$28*H42</f>
        <v>3.2597618661392873E-2</v>
      </c>
      <c r="BQ7" s="31">
        <f>BQ5+1</f>
        <v>3</v>
      </c>
      <c r="BR7" s="31">
        <v>0</v>
      </c>
      <c r="BS7" s="107">
        <f>$H$28*H39</f>
        <v>2.1372003080940321E-2</v>
      </c>
    </row>
    <row r="8" spans="1:71" ht="15.75" x14ac:dyDescent="0.25">
      <c r="A8" s="5" t="s">
        <v>44</v>
      </c>
      <c r="B8" s="269">
        <v>8.75</v>
      </c>
      <c r="C8" s="270">
        <v>8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0</v>
      </c>
      <c r="Q8" s="251">
        <f>COUNTIF(E10:I11,"RAP")</f>
        <v>3</v>
      </c>
      <c r="R8" s="258">
        <f t="shared" si="2"/>
        <v>0.5</v>
      </c>
      <c r="S8" s="258">
        <f t="shared" si="3"/>
        <v>0.55859375</v>
      </c>
      <c r="T8" s="263">
        <f t="shared" si="4"/>
        <v>0</v>
      </c>
      <c r="U8" s="265">
        <f t="shared" si="5"/>
        <v>0.20947265625</v>
      </c>
      <c r="V8" s="255">
        <f>$G$17</f>
        <v>0.56999999999999995</v>
      </c>
      <c r="W8" s="253">
        <f>$H$17</f>
        <v>0.56999999999999995</v>
      </c>
      <c r="X8" s="288">
        <f t="shared" si="11"/>
        <v>0</v>
      </c>
      <c r="Y8" s="289">
        <f t="shared" si="11"/>
        <v>0.11939941406249999</v>
      </c>
      <c r="Z8" s="236"/>
      <c r="AA8" s="281">
        <f t="shared" si="6"/>
        <v>0</v>
      </c>
      <c r="AB8" s="282">
        <f t="shared" si="7"/>
        <v>1</v>
      </c>
      <c r="AC8" s="282">
        <f>AA8*PRODUCT(AB3:AB7)*PRODUCT(AB9:AB17)</f>
        <v>0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220"/>
      <c r="AF8" s="234"/>
      <c r="AG8" s="283">
        <f t="shared" si="12"/>
        <v>0.11939941406249999</v>
      </c>
      <c r="AH8" s="284">
        <f t="shared" si="8"/>
        <v>0.88060058593750001</v>
      </c>
      <c r="AI8" s="284">
        <f>AG8*PRODUCT(AH3:AH7)*PRODUCT(AH9:AH17)</f>
        <v>7.9710160058217461E-2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2.9034932202859257E-2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5.1057301606978857E-3</v>
      </c>
      <c r="BM8" s="31">
        <f>BI31+1</f>
        <v>4</v>
      </c>
      <c r="BN8" s="31">
        <v>4</v>
      </c>
      <c r="BO8" s="107">
        <f>$H$29*H43</f>
        <v>6.5285138338767503E-3</v>
      </c>
      <c r="BQ8" s="31">
        <f>BQ6+1</f>
        <v>3</v>
      </c>
      <c r="BR8" s="31">
        <v>1</v>
      </c>
      <c r="BS8" s="107">
        <f>$H$28*H40</f>
        <v>4.7320554818668495E-2</v>
      </c>
    </row>
    <row r="9" spans="1:71" ht="15.75" x14ac:dyDescent="0.25">
      <c r="A9" s="5" t="s">
        <v>47</v>
      </c>
      <c r="B9" s="269">
        <v>10</v>
      </c>
      <c r="C9" s="270">
        <v>8.5</v>
      </c>
      <c r="E9" s="280" t="s">
        <v>162</v>
      </c>
      <c r="F9" s="280" t="s">
        <v>162</v>
      </c>
      <c r="G9" s="280" t="s">
        <v>37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0</v>
      </c>
      <c r="Q9" s="251">
        <f>COUNTIF(E10:I11,"RAP")</f>
        <v>3</v>
      </c>
      <c r="R9" s="258">
        <f t="shared" si="2"/>
        <v>0.5</v>
      </c>
      <c r="S9" s="258">
        <f t="shared" si="3"/>
        <v>0.55859375</v>
      </c>
      <c r="T9" s="263">
        <f t="shared" si="4"/>
        <v>0</v>
      </c>
      <c r="U9" s="265">
        <f t="shared" si="5"/>
        <v>0.20947265625</v>
      </c>
      <c r="V9" s="255">
        <f>$G$17</f>
        <v>0.56999999999999995</v>
      </c>
      <c r="W9" s="253">
        <f>$H$17</f>
        <v>0.56999999999999995</v>
      </c>
      <c r="X9" s="288">
        <f t="shared" si="11"/>
        <v>0</v>
      </c>
      <c r="Y9" s="289">
        <f t="shared" si="11"/>
        <v>0.11939941406249999</v>
      </c>
      <c r="Z9" s="236"/>
      <c r="AA9" s="281">
        <f t="shared" si="6"/>
        <v>3.7303960272606386E-2</v>
      </c>
      <c r="AB9" s="282">
        <f t="shared" si="7"/>
        <v>0.96269603972739359</v>
      </c>
      <c r="AC9" s="282">
        <f>AA9*PRODUCT(AB3:AB8)*PRODUCT(AB10:AB17)</f>
        <v>3.4866419719084135E-2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2.0627917797202892E-3</v>
      </c>
      <c r="AE9" s="220"/>
      <c r="AF9" s="234"/>
      <c r="AG9" s="283">
        <f t="shared" si="12"/>
        <v>0.11939941406249999</v>
      </c>
      <c r="AH9" s="284">
        <f t="shared" si="8"/>
        <v>0.88060058593750001</v>
      </c>
      <c r="AI9" s="284">
        <f>AG9*PRODUCT(AH3:AH8)*PRODUCT(AH10:AH17)</f>
        <v>7.9710160058217461E-2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1.8227141976775146E-2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1.5989683860547319E-3</v>
      </c>
      <c r="BM9" s="31">
        <f>BI38+1</f>
        <v>5</v>
      </c>
      <c r="BN9" s="31">
        <v>5</v>
      </c>
      <c r="BO9" s="107">
        <f>$H$30*H44</f>
        <v>7.2767862759478966E-4</v>
      </c>
      <c r="BQ9" s="31">
        <f>BM6+1</f>
        <v>3</v>
      </c>
      <c r="BR9" s="31">
        <v>2</v>
      </c>
      <c r="BS9" s="107">
        <f>$H$28*H41</f>
        <v>4.8685748174096356E-2</v>
      </c>
    </row>
    <row r="10" spans="1:71" ht="15.75" x14ac:dyDescent="0.25">
      <c r="A10" s="6" t="s">
        <v>50</v>
      </c>
      <c r="B10" s="269">
        <v>7.75</v>
      </c>
      <c r="C10" s="270">
        <v>4.75</v>
      </c>
      <c r="E10" s="280" t="s">
        <v>2</v>
      </c>
      <c r="F10" s="280" t="s">
        <v>162</v>
      </c>
      <c r="G10" s="280" t="s">
        <v>162</v>
      </c>
      <c r="H10" s="280" t="s">
        <v>1</v>
      </c>
      <c r="I10" s="280" t="s">
        <v>144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0.16757812499999999</v>
      </c>
      <c r="T10" s="263">
        <f>S10*G13</f>
        <v>8.2897689494680848E-2</v>
      </c>
      <c r="U10" s="265">
        <f>S10*G14</f>
        <v>8.4680435505319132E-2</v>
      </c>
      <c r="V10" s="255">
        <f>$G$18</f>
        <v>0.45</v>
      </c>
      <c r="W10" s="253">
        <f>$H$18</f>
        <v>0.45</v>
      </c>
      <c r="X10" s="288">
        <f t="shared" si="11"/>
        <v>3.7303960272606386E-2</v>
      </c>
      <c r="Y10" s="289">
        <f t="shared" si="11"/>
        <v>3.8106195977393613E-2</v>
      </c>
      <c r="Z10" s="236"/>
      <c r="AA10" s="281">
        <f t="shared" si="6"/>
        <v>1.9066468583776596E-2</v>
      </c>
      <c r="AB10" s="282">
        <f t="shared" si="7"/>
        <v>0.98093353141622341</v>
      </c>
      <c r="AC10" s="282">
        <f>AA10*PRODUCT(AB3:AB9)*PRODUCT(AB11:AB17)</f>
        <v>1.7489294103460822E-2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6.9477344331452754E-4</v>
      </c>
      <c r="AE10" s="220"/>
      <c r="AF10" s="234"/>
      <c r="AG10" s="283">
        <f t="shared" si="12"/>
        <v>3.8106195977393613E-2</v>
      </c>
      <c r="AH10" s="284">
        <f t="shared" si="8"/>
        <v>0.96189380402260638</v>
      </c>
      <c r="AI10" s="284">
        <f>AG10*PRODUCT(AH3:AH9)*PRODUCT(AH11:AH17)</f>
        <v>2.3289433521959932E-2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4.4029124538852178E-3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3.8405464706066817E-4</v>
      </c>
      <c r="BM10" s="31">
        <f>BI44+1</f>
        <v>6</v>
      </c>
      <c r="BN10" s="31">
        <v>6</v>
      </c>
      <c r="BO10" s="107">
        <f>$H$31*H45</f>
        <v>4.5966376621142828E-5</v>
      </c>
      <c r="BQ10" s="31">
        <f>BQ7+1</f>
        <v>4</v>
      </c>
      <c r="BR10" s="31">
        <v>0</v>
      </c>
      <c r="BS10" s="107">
        <f>$H$29*H39</f>
        <v>8.4956599667584936E-3</v>
      </c>
    </row>
    <row r="11" spans="1:71" ht="15.75" x14ac:dyDescent="0.25">
      <c r="A11" s="6" t="s">
        <v>53</v>
      </c>
      <c r="B11" s="269">
        <v>5.5</v>
      </c>
      <c r="C11" s="270">
        <v>7.5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1</v>
      </c>
      <c r="R11" s="258">
        <f t="shared" si="2"/>
        <v>0.23</v>
      </c>
      <c r="S11" s="258">
        <f t="shared" si="3"/>
        <v>0.256953125</v>
      </c>
      <c r="T11" s="263">
        <f>IF(P11&gt;0,S11*G13,0)</f>
        <v>0.12710979055851065</v>
      </c>
      <c r="U11" s="265">
        <f>IF(Q11&gt;0,S11*G14,0)</f>
        <v>0.12984333444148935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1.9066468583776596E-2</v>
      </c>
      <c r="Y11" s="289">
        <f t="shared" si="11"/>
        <v>1.94765001662234E-2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1.94765001662234E-2</v>
      </c>
      <c r="AH11" s="284">
        <f t="shared" si="8"/>
        <v>0.98052349983377662</v>
      </c>
      <c r="AI11" s="284">
        <f>AG11*PRODUCT(AH3:AH10)*PRODUCT(AH12:AH17)</f>
        <v>1.1677325011217619E-2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1.9756698631869987E-3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6.9072978813009586E-5</v>
      </c>
      <c r="BM11" s="31">
        <f>BI50+1</f>
        <v>7</v>
      </c>
      <c r="BN11" s="31">
        <v>7</v>
      </c>
      <c r="BO11" s="107">
        <f>$H$32*H46</f>
        <v>1.6184051154622067E-6</v>
      </c>
      <c r="BQ11" s="31">
        <f>BQ8+1</f>
        <v>4</v>
      </c>
      <c r="BR11" s="31">
        <v>1</v>
      </c>
      <c r="BS11" s="107">
        <f>$H$29*H40</f>
        <v>1.8810559855116527E-2</v>
      </c>
    </row>
    <row r="12" spans="1:71" ht="15.75" x14ac:dyDescent="0.25">
      <c r="A12" s="6" t="s">
        <v>57</v>
      </c>
      <c r="B12" s="269">
        <v>8.25</v>
      </c>
      <c r="C12" s="270">
        <v>7.5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9.0834669887542994E-6</v>
      </c>
      <c r="BM12" s="31">
        <f>BI54+1</f>
        <v>8</v>
      </c>
      <c r="BN12" s="31">
        <v>8</v>
      </c>
      <c r="BO12" s="107">
        <f>$H$33*H47</f>
        <v>3.0834542131157504E-8</v>
      </c>
      <c r="BQ12" s="31">
        <f>BQ9+1</f>
        <v>4</v>
      </c>
      <c r="BR12" s="31">
        <v>2</v>
      </c>
      <c r="BS12" s="107">
        <f>$H$29*H41</f>
        <v>1.9353242658065237E-2</v>
      </c>
    </row>
    <row r="13" spans="1:71" ht="15.75" x14ac:dyDescent="0.25">
      <c r="A13" s="7" t="s">
        <v>60</v>
      </c>
      <c r="B13" s="269">
        <v>6.25</v>
      </c>
      <c r="C13" s="270">
        <v>9</v>
      </c>
      <c r="E13" s="247"/>
      <c r="F13" s="247" t="s">
        <v>163</v>
      </c>
      <c r="G13" s="254">
        <f>B22</f>
        <v>0.49468085106382981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0.20109374999999999</v>
      </c>
      <c r="T13" s="263">
        <f>IF((Q13+P13)=0,0,S13*P13/(Q13+P13))</f>
        <v>0</v>
      </c>
      <c r="U13" s="265">
        <f>IF(P13+Q13=0,0,S13*Q13/(Q13+P13))</f>
        <v>0.20109374999999999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0.11462343749999998</v>
      </c>
      <c r="Z13" s="236"/>
      <c r="AA13" s="281">
        <f t="shared" si="6"/>
        <v>3.82078125E-2</v>
      </c>
      <c r="AB13" s="282">
        <f t="shared" si="7"/>
        <v>0.96179218749999995</v>
      </c>
      <c r="AC13" s="282">
        <f>AA13*PRODUCT(AB3:AB12)*PRODUCT(AB14:AB17)</f>
        <v>3.5744771733168812E-2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0.11462343749999998</v>
      </c>
      <c r="AH13" s="284">
        <f t="shared" si="8"/>
        <v>0.88537656250000007</v>
      </c>
      <c r="AI13" s="284">
        <f>AG13*PRODUCT(AH3:AH12)*PRODUCT(AH14:AH17)</f>
        <v>7.6108973244184641E-2</v>
      </c>
      <c r="AJ13" s="284">
        <f>AG13*AG14*PRODUCT(AH3:AH12)*PRODUCT(AH15:AH17)+AG13*AG15*PRODUCT(AH3:AH12)*AH14*PRODUCT(AH16:AH17)+AG13*AG16*PRODUCT(AH3:AH12)*AH14*AH15*AH17+AG13*AG17*PRODUCT(AH3:AH12)*AH14*AH15*AH16</f>
        <v>3.0234778542337915E-3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8.4623261609594426E-7</v>
      </c>
      <c r="BM13" s="31">
        <f>BI57+1</f>
        <v>9</v>
      </c>
      <c r="BN13" s="31">
        <v>9</v>
      </c>
      <c r="BO13" s="107">
        <f>$H$34*H48</f>
        <v>3.0458633329751247E-10</v>
      </c>
      <c r="BQ13" s="31">
        <f>BM7+1</f>
        <v>4</v>
      </c>
      <c r="BR13" s="31">
        <v>3</v>
      </c>
      <c r="BS13" s="107">
        <f>$H$29*H42</f>
        <v>1.2957993821376071E-2</v>
      </c>
    </row>
    <row r="14" spans="1:71" ht="15.75" x14ac:dyDescent="0.25">
      <c r="A14" s="7" t="s">
        <v>63</v>
      </c>
      <c r="B14" s="269">
        <v>4.75</v>
      </c>
      <c r="C14" s="270">
        <v>4</v>
      </c>
      <c r="E14" s="247"/>
      <c r="F14" s="247" t="s">
        <v>164</v>
      </c>
      <c r="G14" s="252">
        <f>C22</f>
        <v>0.50531914893617014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0.1340625</v>
      </c>
      <c r="T14" s="263">
        <f>S14*P14/(Q14+P14)</f>
        <v>6.7031250000000001E-2</v>
      </c>
      <c r="U14" s="265">
        <f>S14*Q14/(Q14+P14)</f>
        <v>6.7031250000000001E-2</v>
      </c>
      <c r="V14" s="255">
        <f>$G$17</f>
        <v>0.56999999999999995</v>
      </c>
      <c r="W14" s="253">
        <f>$H$17</f>
        <v>0.56999999999999995</v>
      </c>
      <c r="X14" s="288">
        <f t="shared" si="11"/>
        <v>3.82078125E-2</v>
      </c>
      <c r="Y14" s="289">
        <f t="shared" si="11"/>
        <v>3.82078125E-2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3.82078125E-2</v>
      </c>
      <c r="AH14" s="284">
        <f t="shared" si="8"/>
        <v>0.96179218749999995</v>
      </c>
      <c r="AI14" s="284">
        <f>AG14*PRODUCT(AH3:AH13)*PRODUCT(AH15:AH17)</f>
        <v>2.3354005845239029E-2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8.2699931833221982E-2</v>
      </c>
      <c r="BM14" s="31">
        <f>BQ39+1</f>
        <v>10</v>
      </c>
      <c r="BN14" s="31">
        <v>10</v>
      </c>
      <c r="BO14" s="107">
        <f>$H$35*H49</f>
        <v>1.458541977257735E-12</v>
      </c>
      <c r="BQ14" s="31">
        <f>BQ10+1</f>
        <v>5</v>
      </c>
      <c r="BR14" s="31">
        <v>0</v>
      </c>
      <c r="BS14" s="107">
        <f>$H$30*H39</f>
        <v>2.3763172135056157E-3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2</v>
      </c>
      <c r="Q15" s="251">
        <f>COUNTIF(E10:I11,"TEC")</f>
        <v>1</v>
      </c>
      <c r="R15" s="258">
        <f t="shared" si="2"/>
        <v>0.6</v>
      </c>
      <c r="S15" s="258">
        <f t="shared" si="3"/>
        <v>0.67031249999999998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4.1894531249999999E-2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2.3879882812499996E-2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2.3879882812499996E-2</v>
      </c>
      <c r="AH15" s="284">
        <f t="shared" si="8"/>
        <v>0.97612011718750002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5.5371868407619311E-2</v>
      </c>
      <c r="BQ15" s="31">
        <f>BQ11+1</f>
        <v>5</v>
      </c>
      <c r="BR15" s="31">
        <v>1</v>
      </c>
      <c r="BS15" s="107">
        <f>$H$30*H40</f>
        <v>5.2614932040937435E-3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2.7897529038052642E-2</v>
      </c>
      <c r="BQ16" s="31">
        <f>BQ12+1</f>
        <v>5</v>
      </c>
      <c r="BR16" s="31">
        <v>2</v>
      </c>
      <c r="BS16" s="107">
        <f>$H$30*H41</f>
        <v>5.4132867658848631E-3</v>
      </c>
    </row>
    <row r="17" spans="1:71" x14ac:dyDescent="0.25">
      <c r="A17" s="183" t="s">
        <v>74</v>
      </c>
      <c r="B17" s="273" t="s">
        <v>192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1.1116900970005179E-2</v>
      </c>
      <c r="BQ17" s="31">
        <f>BQ13+1</f>
        <v>5</v>
      </c>
      <c r="BR17" s="31">
        <v>3</v>
      </c>
      <c r="BS17" s="107">
        <f>$H$30*H42</f>
        <v>3.6244746012338491E-3</v>
      </c>
    </row>
    <row r="18" spans="1:71" x14ac:dyDescent="0.25">
      <c r="A18" s="183" t="s">
        <v>78</v>
      </c>
      <c r="B18" s="273">
        <v>11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0.8997909052483074</v>
      </c>
      <c r="AC18" s="176">
        <f>SUM(AC3:AC17)</f>
        <v>9.6564242685470383E-2</v>
      </c>
      <c r="AD18" s="176">
        <f>SUM(AD3:AD17)</f>
        <v>3.5912364403816953E-3</v>
      </c>
      <c r="AE18" s="176">
        <f>1-AB18-AC18-AD18</f>
        <v>5.361562584051691E-5</v>
      </c>
      <c r="AF18" s="234"/>
      <c r="AG18" s="158"/>
      <c r="AH18" s="179">
        <f>PRODUCT(AH3:AH17)</f>
        <v>0.58788239627118755</v>
      </c>
      <c r="AI18" s="176">
        <f>SUM(AI3:AI17)</f>
        <v>0.29937989116353114</v>
      </c>
      <c r="AJ18" s="176">
        <f>SUM(AJ3:AJ17)</f>
        <v>5.943143854345944E-2</v>
      </c>
      <c r="AK18" s="176">
        <f>1-AH18-AI18-AJ18</f>
        <v>5.3306274021821871E-2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3.4814948386363174E-3</v>
      </c>
      <c r="BQ18" s="31">
        <f>BM8+1</f>
        <v>5</v>
      </c>
      <c r="BR18" s="31">
        <v>4</v>
      </c>
      <c r="BS18" s="107">
        <f>$H$30*H43</f>
        <v>1.8260876568451147E-3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8.3621682777300452E-4</v>
      </c>
      <c r="BQ19" s="31">
        <f>BQ15+1</f>
        <v>6</v>
      </c>
      <c r="BR19" s="31">
        <v>1</v>
      </c>
      <c r="BS19" s="107">
        <f>$H$31*H40</f>
        <v>1.0612742979715848E-3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1.5039523065248219E-4</v>
      </c>
      <c r="BQ20" s="31">
        <f>BQ16+1</f>
        <v>6</v>
      </c>
      <c r="BR20" s="31">
        <v>2</v>
      </c>
      <c r="BS20" s="107">
        <f>$H$31*H41</f>
        <v>1.0918919571564596E-3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1.9777779044337524E-5</v>
      </c>
      <c r="BQ21" s="31">
        <f>BQ17+1</f>
        <v>6</v>
      </c>
      <c r="BR21" s="31">
        <v>3</v>
      </c>
      <c r="BS21" s="107">
        <f>$H$31*H42</f>
        <v>7.3107796375132582E-4</v>
      </c>
    </row>
    <row r="22" spans="1:71" x14ac:dyDescent="0.25">
      <c r="A22" s="26" t="s">
        <v>87</v>
      </c>
      <c r="B22" s="206">
        <f>(B6)/((B6)+(C6))</f>
        <v>0.49468085106382981</v>
      </c>
      <c r="C22" s="207">
        <f>1-B22</f>
        <v>0.50531914893617014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1.8425345434708883E-6</v>
      </c>
      <c r="BQ22" s="31">
        <f>BQ18+1</f>
        <v>6</v>
      </c>
      <c r="BR22" s="31">
        <v>4</v>
      </c>
      <c r="BS22" s="107">
        <f>$H$31*H43</f>
        <v>3.6833268064377915E-4</v>
      </c>
    </row>
    <row r="23" spans="1:71" ht="15.75" thickBot="1" x14ac:dyDescent="0.3">
      <c r="A23" s="40" t="s">
        <v>88</v>
      </c>
      <c r="B23" s="56">
        <f>((B22^2.8)/((B22^2.8)+(C22^2.8)))*B21</f>
        <v>2.425551124775664</v>
      </c>
      <c r="C23" s="57">
        <f>B21-B23</f>
        <v>2.574448875224336</v>
      </c>
      <c r="D23" s="149">
        <f>SUM(D25:D30)</f>
        <v>0.99999999999999989</v>
      </c>
      <c r="E23" s="149">
        <f>SUM(E25:E30)</f>
        <v>1</v>
      </c>
      <c r="H23" s="266">
        <f>SUM(H25:H35)</f>
        <v>0.99999999202397205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</v>
      </c>
      <c r="V23" s="208">
        <f>SUM(V25:V34)</f>
        <v>0.99916113341533996</v>
      </c>
      <c r="Y23" s="205">
        <f>SUM(Y25:Y35)</f>
        <v>1.2900659625961176E-3</v>
      </c>
      <c r="Z23" s="81"/>
      <c r="AA23" s="205">
        <f>SUM(AA25:AA35)</f>
        <v>1.2173975658669661E-2</v>
      </c>
      <c r="AB23" s="81"/>
      <c r="AC23" s="205">
        <f>SUM(AC25:AC35)</f>
        <v>5.1715302716569177E-2</v>
      </c>
      <c r="AD23" s="81"/>
      <c r="AE23" s="205">
        <f>SUM(AE25:AE35)</f>
        <v>0.13024852961431083</v>
      </c>
      <c r="AF23" s="81"/>
      <c r="AG23" s="205">
        <f>SUM(AG25:AG35)</f>
        <v>0.21542523710660197</v>
      </c>
      <c r="AH23" s="81"/>
      <c r="AI23" s="205">
        <f>SUM(AI25:AI35)</f>
        <v>0.24457570299351625</v>
      </c>
      <c r="AJ23" s="81"/>
      <c r="AK23" s="205">
        <f>SUM(AK25:AK35)</f>
        <v>0.19314541775756777</v>
      </c>
      <c r="AL23" s="81"/>
      <c r="AM23" s="205">
        <f>SUM(AM25:AM35)</f>
        <v>0.1048928352840833</v>
      </c>
      <c r="AN23" s="81"/>
      <c r="AO23" s="205">
        <f>SUM(AO25:AO35)</f>
        <v>3.7596404918364384E-2</v>
      </c>
      <c r="AP23" s="81"/>
      <c r="AQ23" s="205">
        <f>SUM(AQ25:AQ35)</f>
        <v>8.0976614030604053E-3</v>
      </c>
      <c r="AR23" s="81"/>
      <c r="AS23" s="205">
        <f>SUM(AS25:AS35)</f>
        <v>8.3886658466003638E-4</v>
      </c>
      <c r="BI23" s="31">
        <f t="shared" ref="BI23:BI30" si="14">BI15+1</f>
        <v>2</v>
      </c>
      <c r="BJ23" s="31">
        <v>3</v>
      </c>
      <c r="BK23" s="107">
        <f t="shared" ref="BK23:BK30" si="15">$H$27*H42</f>
        <v>5.4815891103474818E-2</v>
      </c>
      <c r="BQ23" s="31">
        <f>BM9+1</f>
        <v>6</v>
      </c>
      <c r="BR23" s="31">
        <v>5</v>
      </c>
      <c r="BS23" s="107">
        <f>$H$31*H44</f>
        <v>1.4677708298638852E-4</v>
      </c>
    </row>
    <row r="24" spans="1:71" ht="15.75" thickBot="1" x14ac:dyDescent="0.3">
      <c r="A24" s="26" t="s">
        <v>89</v>
      </c>
      <c r="B24" s="64">
        <f>B23/B21</f>
        <v>0.48511022495513278</v>
      </c>
      <c r="C24" s="65">
        <f>C23/B21</f>
        <v>0.51488977504486722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2.7617415806678727E-2</v>
      </c>
      <c r="BQ24" s="31">
        <f>BI49+1</f>
        <v>7</v>
      </c>
      <c r="BR24" s="31">
        <v>0</v>
      </c>
      <c r="BS24" s="107">
        <f t="shared" ref="BS24:BS30" si="16">$H$32*H39</f>
        <v>7.0261411611898588E-5</v>
      </c>
    </row>
    <row r="25" spans="1:71" x14ac:dyDescent="0.25">
      <c r="A25" s="26" t="s">
        <v>114</v>
      </c>
      <c r="B25" s="209">
        <f>1/(1+EXP(-3.1416*4*((B11/(B11+C8))-(3.1416/6))))</f>
        <v>0.18844857525939171</v>
      </c>
      <c r="C25" s="207">
        <f>1/(1+EXP(-3.1416*4*((C11/(C11+B8))-(3.1416/6))))</f>
        <v>0.31434356886380677</v>
      </c>
      <c r="D25" s="204">
        <f>IF(B17="AOW",0.36-0.08,IF(B17="AIM",0.36+0.08,IF(B17="TL",(0.361)-(0.36*B32),0.36)))</f>
        <v>0.27999999999999997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0.13698401965690007</v>
      </c>
      <c r="I25" s="97">
        <v>0</v>
      </c>
      <c r="J25" s="98">
        <f t="shared" ref="J25:J35" si="17">Y25+AA25+AC25+AE25+AG25+AI25+AK25+AM25+AO25+AQ25+AS25</f>
        <v>0.15223983578617944</v>
      </c>
      <c r="K25" s="97">
        <v>0</v>
      </c>
      <c r="L25" s="98">
        <f>AB18</f>
        <v>0.8997909052483074</v>
      </c>
      <c r="M25" s="85">
        <v>0</v>
      </c>
      <c r="N25" s="210">
        <f>(1-$B$24)^$B$21</f>
        <v>3.6188562926586336E-2</v>
      </c>
      <c r="O25" s="72">
        <v>0</v>
      </c>
      <c r="P25" s="210">
        <f t="shared" ref="P25:P30" si="18">N25</f>
        <v>3.6188562926586336E-2</v>
      </c>
      <c r="Q25" s="28">
        <v>0</v>
      </c>
      <c r="R25" s="211">
        <f>P25*N25</f>
        <v>1.309612086691499E-3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1.2900659625961176E-3</v>
      </c>
      <c r="W25" s="134">
        <f>B31</f>
        <v>0.35277930126531443</v>
      </c>
      <c r="X25" s="28">
        <v>0</v>
      </c>
      <c r="Y25" s="213">
        <f>V25</f>
        <v>1.2900659625961176E-3</v>
      </c>
      <c r="Z25" s="28">
        <v>0</v>
      </c>
      <c r="AA25" s="213">
        <f>((1-W25)^Z26)*V26</f>
        <v>7.8792490321832314E-3</v>
      </c>
      <c r="AB25" s="28">
        <v>0</v>
      </c>
      <c r="AC25" s="213">
        <f>(((1-$W$25)^AB27))*V27</f>
        <v>2.1663262745249944E-2</v>
      </c>
      <c r="AD25" s="28">
        <v>0</v>
      </c>
      <c r="AE25" s="213">
        <f>(((1-$W$25)^AB28))*V28</f>
        <v>3.5312626680036263E-2</v>
      </c>
      <c r="AF25" s="28">
        <v>0</v>
      </c>
      <c r="AG25" s="213">
        <f>(((1-$W$25)^AB29))*V29</f>
        <v>3.7801250900232654E-2</v>
      </c>
      <c r="AH25" s="28">
        <v>0</v>
      </c>
      <c r="AI25" s="213">
        <f>(((1-$W$25)^AB30))*V30</f>
        <v>2.777635796109254E-2</v>
      </c>
      <c r="AJ25" s="28">
        <v>0</v>
      </c>
      <c r="AK25" s="213">
        <f>(((1-$W$25)^AB31))*V31</f>
        <v>1.4197072401442291E-2</v>
      </c>
      <c r="AL25" s="28">
        <v>0</v>
      </c>
      <c r="AM25" s="213">
        <f>(((1-$W$25)^AB32))*V32</f>
        <v>4.9901386263894393E-3</v>
      </c>
      <c r="AN25" s="28">
        <v>0</v>
      </c>
      <c r="AO25" s="213">
        <f>(((1-$W$25)^AB33))*V33</f>
        <v>1.157618616010438E-3</v>
      </c>
      <c r="AP25" s="28">
        <v>0</v>
      </c>
      <c r="AQ25" s="213">
        <f>(((1-$W$25)^AB34))*V34</f>
        <v>1.6137311969750815E-4</v>
      </c>
      <c r="AR25" s="28">
        <v>0</v>
      </c>
      <c r="AS25" s="213">
        <f>(((1-$W$25)^AB35))*V35</f>
        <v>1.0819741249038149E-5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1.1005278501602175E-2</v>
      </c>
      <c r="BQ25" s="31">
        <f>BQ19+1</f>
        <v>7</v>
      </c>
      <c r="BR25" s="31">
        <v>1</v>
      </c>
      <c r="BS25" s="107">
        <f t="shared" si="16"/>
        <v>1.5556843068130393E-4</v>
      </c>
    </row>
    <row r="26" spans="1:71" x14ac:dyDescent="0.25">
      <c r="A26" s="40" t="s">
        <v>115</v>
      </c>
      <c r="B26" s="206">
        <f>1/(1+EXP(-3.1416*4*((B10/(B10+C9))-(3.1416/6))))</f>
        <v>0.35742433519183242</v>
      </c>
      <c r="C26" s="207">
        <f>1/(1+EXP(-3.1416*4*((C10/(C10+B9))-(3.1416/6))))</f>
        <v>7.357960365099861E-2</v>
      </c>
      <c r="D26" s="204">
        <f>IF(B17="AOW",0.257+0.04,IF(B17="AIM",0.257-0.04,IF(B17="TL",(0.257)-(0.257*B32),0.257)))</f>
        <v>0.29699999999999999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0.29826052945791581</v>
      </c>
      <c r="I26" s="138">
        <v>1</v>
      </c>
      <c r="J26" s="86">
        <f t="shared" si="17"/>
        <v>0.31513944334702021</v>
      </c>
      <c r="K26" s="138">
        <v>1</v>
      </c>
      <c r="L26" s="86">
        <f>AC18</f>
        <v>9.6564242685470383E-2</v>
      </c>
      <c r="M26" s="85">
        <v>1</v>
      </c>
      <c r="N26" s="210">
        <f>(($B$24)^M26)*((1-($B$24))^($B$21-M26))*HLOOKUP($B$21,$AV$24:$BF$34,M26+1)</f>
        <v>0.1704776706877652</v>
      </c>
      <c r="O26" s="72">
        <v>1</v>
      </c>
      <c r="P26" s="210">
        <f t="shared" si="18"/>
        <v>0.1704776706877652</v>
      </c>
      <c r="Q26" s="28">
        <v>1</v>
      </c>
      <c r="R26" s="211">
        <f>N26*P25+P26*N25</f>
        <v>1.2338683826524107E-2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1.2173975658669659E-2</v>
      </c>
      <c r="W26" s="214"/>
      <c r="X26" s="28">
        <v>1</v>
      </c>
      <c r="Y26" s="211"/>
      <c r="Z26" s="28">
        <v>1</v>
      </c>
      <c r="AA26" s="213">
        <f>(1-((1-W25)^Z26))*V26</f>
        <v>4.2947266264864283E-3</v>
      </c>
      <c r="AB26" s="28">
        <v>1</v>
      </c>
      <c r="AC26" s="213">
        <f>((($W$25)^M26)*((1-($W$25))^($U$27-M26))*HLOOKUP($U$27,$AV$24:$BF$34,M26+1))*V27</f>
        <v>2.3615903228487483E-2</v>
      </c>
      <c r="AD26" s="28">
        <v>1</v>
      </c>
      <c r="AE26" s="213">
        <f>((($W$25)^M26)*((1-($W$25))^($U$28-M26))*HLOOKUP($U$28,$AV$24:$BF$34,M26+1))*V28</f>
        <v>5.7743349944063549E-2</v>
      </c>
      <c r="AF26" s="28">
        <v>1</v>
      </c>
      <c r="AG26" s="213">
        <f>((($W$25)^M26)*((1-($W$25))^($U$29-M26))*HLOOKUP($U$29,$AV$24:$BF$34,M26+1))*V29</f>
        <v>8.2417011109871929E-2</v>
      </c>
      <c r="AH26" s="28">
        <v>1</v>
      </c>
      <c r="AI26" s="213">
        <f>((($W$25)^M26)*((1-($W$25))^($U$30-M26))*HLOOKUP($U$30,$AV$24:$BF$34,M26+1))*V30</f>
        <v>7.5700021432923453E-2</v>
      </c>
      <c r="AJ26" s="28">
        <v>1</v>
      </c>
      <c r="AK26" s="213">
        <f>((($W$25)^M26)*((1-($W$25))^($U$31-M26))*HLOOKUP($U$31,$AV$24:$BF$34,M26+1))*V31</f>
        <v>4.6430220401653052E-2</v>
      </c>
      <c r="AL26" s="28">
        <v>1</v>
      </c>
      <c r="AM26" s="213">
        <f>((($W$25)^Q26)*((1-($W$25))^($U$32-Q26))*HLOOKUP($U$32,$AV$24:$BF$34,Q26+1))*V32</f>
        <v>1.903975467554473E-2</v>
      </c>
      <c r="AN26" s="28">
        <v>1</v>
      </c>
      <c r="AO26" s="213">
        <f>((($W$25)^Q26)*((1-($W$25))^($U$33-Q26))*HLOOKUP($U$33,$AV$24:$BF$34,Q26+1))*V33</f>
        <v>5.0478470455134926E-3</v>
      </c>
      <c r="AP26" s="28">
        <v>1</v>
      </c>
      <c r="AQ26" s="213">
        <f>((($W$25)^Q26)*((1-($W$25))^($U$34-Q26))*HLOOKUP($U$34,$AV$24:$BF$34,Q26+1))*V34</f>
        <v>7.9163393366541541E-4</v>
      </c>
      <c r="AR26" s="28">
        <v>1</v>
      </c>
      <c r="AS26" s="213">
        <f>((($W$25)^Q26)*((1-($W$25))^($U$35-Q26))*HLOOKUP($U$35,$AV$24:$BF$34,Q26+1))*V35</f>
        <v>5.8974948810650898E-5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3.4465378799776558E-3</v>
      </c>
      <c r="BQ26" s="31">
        <f>BQ20+1</f>
        <v>7</v>
      </c>
      <c r="BR26" s="31">
        <v>2</v>
      </c>
      <c r="BS26" s="107">
        <f t="shared" si="16"/>
        <v>1.600565646157917E-4</v>
      </c>
    </row>
    <row r="27" spans="1:71" x14ac:dyDescent="0.25">
      <c r="A27" s="26" t="s">
        <v>116</v>
      </c>
      <c r="B27" s="206">
        <f>1/(1+EXP(-3.1416*4*((B12/(B12+C7))-(3.1416/6))))</f>
        <v>0.38192937064440097</v>
      </c>
      <c r="C27" s="207">
        <f>1/(1+EXP(-3.1416*4*((C12/(C12+B7))-(3.1416/6))))</f>
        <v>0.2619675717884965</v>
      </c>
      <c r="D27" s="204">
        <f>D26</f>
        <v>0.29699999999999999</v>
      </c>
      <c r="E27" s="204">
        <f>E26</f>
        <v>0.25700000000000001</v>
      </c>
      <c r="G27" s="87">
        <v>2</v>
      </c>
      <c r="H27" s="126">
        <f>L25*J27+J26*L26+J25*L27</f>
        <v>0.29526575810795891</v>
      </c>
      <c r="I27" s="138">
        <v>2</v>
      </c>
      <c r="J27" s="86">
        <f t="shared" si="17"/>
        <v>0.29372138086008653</v>
      </c>
      <c r="K27" s="138">
        <v>2</v>
      </c>
      <c r="L27" s="86">
        <f>AD18</f>
        <v>3.5912364403816953E-3</v>
      </c>
      <c r="M27" s="85">
        <v>2</v>
      </c>
      <c r="N27" s="210">
        <f>(($B$24)^M27)*((1-($B$24))^($B$21-M27))*HLOOKUP($B$21,$AV$24:$BF$34,M27+1)</f>
        <v>0.3212355932683354</v>
      </c>
      <c r="O27" s="72">
        <v>2</v>
      </c>
      <c r="P27" s="210">
        <f t="shared" si="18"/>
        <v>0.3212355932683354</v>
      </c>
      <c r="Q27" s="28">
        <v>2</v>
      </c>
      <c r="R27" s="211">
        <f>P25*N27+P26*N26+P27*N25</f>
        <v>5.231274516562702E-2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5.1715302716569177E-2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6.4361367428317504E-3</v>
      </c>
      <c r="AD27" s="28">
        <v>2</v>
      </c>
      <c r="AE27" s="213">
        <f>((($W$25)^M27)*((1-($W$25))^($U$28-M27))*HLOOKUP($U$28,$AV$24:$BF$34,M27+1))*V28</f>
        <v>3.1474053110183038E-2</v>
      </c>
      <c r="AF27" s="28">
        <v>2</v>
      </c>
      <c r="AG27" s="213">
        <f>((($W$25)^M27)*((1-($W$25))^($U$29-M27))*HLOOKUP($U$29,$AV$24:$BF$34,M27+1))*V29</f>
        <v>6.7384314921999186E-2</v>
      </c>
      <c r="AH27" s="28">
        <v>2</v>
      </c>
      <c r="AI27" s="213">
        <f>((($W$25)^M27)*((1-($W$25))^($U$30-M27))*HLOOKUP($U$30,$AV$24:$BF$34,M27+1))*V30</f>
        <v>8.2523320774768316E-2</v>
      </c>
      <c r="AJ27" s="28">
        <v>2</v>
      </c>
      <c r="AK27" s="213">
        <f>((($W$25)^M27)*((1-($W$25))^($U$31-M27))*HLOOKUP($U$31,$AV$24:$BF$34,M27+1))*V31</f>
        <v>6.326907012906037E-2</v>
      </c>
      <c r="AL27" s="28">
        <v>2</v>
      </c>
      <c r="AM27" s="213">
        <f>((($W$25)^Q27)*((1-($W$25))^($U$32-Q27))*HLOOKUP($U$32,$AV$24:$BF$34,Q27+1))*V32</f>
        <v>3.1133883838231954E-2</v>
      </c>
      <c r="AN27" s="28">
        <v>2</v>
      </c>
      <c r="AO27" s="213">
        <f>((($W$25)^Q27)*((1-($W$25))^($U$33-Q27))*HLOOKUP($U$33,$AV$24:$BF$34,Q27+1))*V33</f>
        <v>9.6299698848035156E-3</v>
      </c>
      <c r="AP27" s="28">
        <v>2</v>
      </c>
      <c r="AQ27" s="213">
        <f>((($W$25)^Q27)*((1-($W$25))^($U$34-Q27))*HLOOKUP($U$34,$AV$24:$BF$34,Q27+1))*V34</f>
        <v>1.7259773460420751E-3</v>
      </c>
      <c r="AR27" s="28">
        <v>2</v>
      </c>
      <c r="AS27" s="213">
        <f>((($W$25)^Q27)*((1-($W$25))^($U$35-Q27))*HLOOKUP($U$35,$AV$24:$BF$34,Q27+1))*V35</f>
        <v>1.4465411216628101E-4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8.2782055018737173E-4</v>
      </c>
      <c r="BQ27" s="31">
        <f>BQ21+1</f>
        <v>7</v>
      </c>
      <c r="BR27" s="31">
        <v>3</v>
      </c>
      <c r="BS27" s="107">
        <f t="shared" si="16"/>
        <v>1.0716612259795074E-4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0.17558704953644697</v>
      </c>
      <c r="I28" s="138">
        <v>3</v>
      </c>
      <c r="J28" s="86">
        <f t="shared" si="17"/>
        <v>0.16235345711348967</v>
      </c>
      <c r="K28" s="138">
        <v>3</v>
      </c>
      <c r="L28" s="86">
        <f>AE18</f>
        <v>5.361562584051691E-5</v>
      </c>
      <c r="M28" s="85">
        <v>3</v>
      </c>
      <c r="N28" s="210">
        <f>(($B$24)^M28)*((1-($B$24))^($B$21-M28))*HLOOKUP($B$21,$AV$24:$BF$34,M28+1)</f>
        <v>0.30265637126007872</v>
      </c>
      <c r="O28" s="72">
        <v>3</v>
      </c>
      <c r="P28" s="210">
        <f t="shared" si="18"/>
        <v>0.30265637126007872</v>
      </c>
      <c r="Q28" s="28">
        <v>3</v>
      </c>
      <c r="R28" s="211">
        <f>P25*N28+P26*N27+P27*N26+P28*N25</f>
        <v>0.1314323896377316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0.13024852961431083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5.7184998800279777E-3</v>
      </c>
      <c r="AF28" s="28">
        <v>3</v>
      </c>
      <c r="AG28" s="213">
        <f>((($W$25)^M28)*((1-($W$25))^($U$29-M28))*HLOOKUP($U$29,$AV$24:$BF$34,M28+1))*V29</f>
        <v>2.4486023166336256E-2</v>
      </c>
      <c r="AH28" s="28">
        <v>3</v>
      </c>
      <c r="AI28" s="213">
        <f>((($W$25)^M28)*((1-($W$25))^($U$30-M28))*HLOOKUP($U$30,$AV$24:$BF$34,M28+1))*V30</f>
        <v>4.4980822612643648E-2</v>
      </c>
      <c r="AJ28" s="28">
        <v>3</v>
      </c>
      <c r="AK28" s="213">
        <f>((($W$25)^M28)*((1-($W$25))^($U$31-M28))*HLOOKUP($U$31,$AV$24:$BF$34,M28+1))*V31</f>
        <v>4.5981261920849489E-2</v>
      </c>
      <c r="AL28" s="28">
        <v>3</v>
      </c>
      <c r="AM28" s="213">
        <f>((($W$25)^Q28)*((1-($W$25))^($U$32-Q28))*HLOOKUP($U$32,$AV$24:$BF$34,Q28+1))*V32</f>
        <v>2.8283473750657821E-2</v>
      </c>
      <c r="AN28" s="28">
        <v>3</v>
      </c>
      <c r="AO28" s="213">
        <f>((($W$25)^Q28)*((1-($W$25))^($U$33-Q28))*HLOOKUP($U$33,$AV$24:$BF$34,Q28+1))*V33</f>
        <v>1.0497977131475017E-2</v>
      </c>
      <c r="AP28" s="28">
        <v>3</v>
      </c>
      <c r="AQ28" s="213">
        <f>((($W$25)^Q28)*((1-($W$25))^($U$34-Q28))*HLOOKUP($U$34,$AV$24:$BF$34,Q28+1))*V34</f>
        <v>2.195141772241436E-3</v>
      </c>
      <c r="AR28" s="28">
        <v>3</v>
      </c>
      <c r="AS28" s="213">
        <f>((($W$25)^Q28)*((1-($W$25))^($U$35-Q28))*HLOOKUP($U$35,$AV$24:$BF$34,Q28+1))*V35</f>
        <v>2.1025687925799421E-4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1.4888514372027293E-4</v>
      </c>
      <c r="BQ28" s="31">
        <f>BQ22+1</f>
        <v>7</v>
      </c>
      <c r="BR28" s="31">
        <v>4</v>
      </c>
      <c r="BS28" s="107">
        <f t="shared" si="16"/>
        <v>5.3992579680776193E-5</v>
      </c>
    </row>
    <row r="29" spans="1:71" x14ac:dyDescent="0.25">
      <c r="A29" s="26" t="s">
        <v>118</v>
      </c>
      <c r="B29" s="206">
        <f>1/(1+EXP(-3.1416*4*((B14/(B14+C13))-(3.1416/6))))</f>
        <v>9.6333256847201065E-2</v>
      </c>
      <c r="C29" s="207">
        <f>1/(1+EXP(-3.1416*4*((C14/(C14+B13))-(3.1416/6))))</f>
        <v>0.15765161407498177</v>
      </c>
      <c r="D29" s="204">
        <v>0.04</v>
      </c>
      <c r="E29" s="204">
        <v>0.04</v>
      </c>
      <c r="G29" s="87">
        <v>4</v>
      </c>
      <c r="H29" s="126">
        <f>J29*L25+J28*L26+J27*L27+J26*L28</f>
        <v>6.9798224423725866E-2</v>
      </c>
      <c r="I29" s="138">
        <v>4</v>
      </c>
      <c r="J29" s="86">
        <f t="shared" si="17"/>
        <v>5.8956993403715525E-2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0.1425758555151799</v>
      </c>
      <c r="O29" s="72">
        <v>4</v>
      </c>
      <c r="P29" s="210">
        <f t="shared" si="18"/>
        <v>0.1425758555151799</v>
      </c>
      <c r="Q29" s="28">
        <v>4</v>
      </c>
      <c r="R29" s="211">
        <f>P25*N29+P26*N28+P27*N27+P28*N26+P29*N25</f>
        <v>0.21670384340316476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0.215425237106602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3.336637008161971E-3</v>
      </c>
      <c r="AH29" s="28">
        <v>4</v>
      </c>
      <c r="AI29" s="213">
        <f>((($W$25)^M29)*((1-($W$25))^($U$30-M29))*HLOOKUP($U$30,$AV$24:$BF$34,M29+1))*V30</f>
        <v>1.225880383820385E-2</v>
      </c>
      <c r="AJ29" s="28">
        <v>4</v>
      </c>
      <c r="AK29" s="213">
        <f>((($W$25)^M29)*((1-($W$25))^($U$31-M29))*HLOOKUP($U$31,$AV$24:$BF$34,M29+1))*V31</f>
        <v>1.8797186357892091E-2</v>
      </c>
      <c r="AL29" s="28">
        <v>4</v>
      </c>
      <c r="AM29" s="213">
        <f>((($W$25)^Q29)*((1-($W$25))^($U$32-Q29))*HLOOKUP($U$32,$AV$24:$BF$34,Q29+1))*V32</f>
        <v>1.5416416883173764E-2</v>
      </c>
      <c r="AN29" s="28">
        <v>4</v>
      </c>
      <c r="AO29" s="213">
        <f>((($W$25)^Q29)*((1-($W$25))^($U$33-Q29))*HLOOKUP($U$33,$AV$24:$BF$34,Q29+1))*V33</f>
        <v>7.152639440420547E-3</v>
      </c>
      <c r="AP29" s="28">
        <v>4</v>
      </c>
      <c r="AQ29" s="213">
        <f>((($W$25)^Q29)*((1-($W$25))^($U$34-Q29))*HLOOKUP($U$34,$AV$24:$BF$34,Q29+1))*V34</f>
        <v>1.7947523513314435E-3</v>
      </c>
      <c r="AR29" s="28">
        <v>4</v>
      </c>
      <c r="AS29" s="213">
        <f>((($W$25)^Q29)*((1-($W$25))^($U$35-Q29))*HLOOKUP($U$35,$AV$24:$BF$34,Q29+1))*V35</f>
        <v>2.005575245318555E-4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1.957919451773117E-5</v>
      </c>
      <c r="BQ29" s="31">
        <f>BQ23+1</f>
        <v>7</v>
      </c>
      <c r="BR29" s="31">
        <v>5</v>
      </c>
      <c r="BS29" s="107">
        <f t="shared" si="16"/>
        <v>2.1515531379412853E-5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1.9523229839613333E-2</v>
      </c>
      <c r="I30" s="138">
        <v>5</v>
      </c>
      <c r="J30" s="86">
        <f t="shared" si="17"/>
        <v>1.4704854912769409E-2</v>
      </c>
      <c r="K30" s="138">
        <v>5</v>
      </c>
      <c r="L30" s="86"/>
      <c r="M30" s="85">
        <v>5</v>
      </c>
      <c r="N30" s="210">
        <f>(($B$24)^M30)*((1-($B$24))^($B$21-M30))*HLOOKUP($B$21,$AV$24:$BF$34,M30+1)</f>
        <v>2.6865946342054449E-2</v>
      </c>
      <c r="O30" s="72">
        <v>5</v>
      </c>
      <c r="P30" s="210">
        <f t="shared" si="18"/>
        <v>2.6865946342054449E-2</v>
      </c>
      <c r="Q30" s="28">
        <v>5</v>
      </c>
      <c r="R30" s="211">
        <f>P25*N30+P26*N29+P27*N28+P28*N27+P29*N26+P30*N25</f>
        <v>0.24500447742499587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0.24457570299351625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1.336376373884454E-3</v>
      </c>
      <c r="AJ30" s="28">
        <v>5</v>
      </c>
      <c r="AK30" s="213">
        <f>((($W$25)^M30)*((1-($W$25))^($U$31-M30))*HLOOKUP($U$31,$AV$24:$BF$34,M30+1))*V31</f>
        <v>4.0982980192414498E-3</v>
      </c>
      <c r="AL30" s="28">
        <v>5</v>
      </c>
      <c r="AM30" s="213">
        <f>((($W$25)^Q30)*((1-($W$25))^($U$32-Q30))*HLOOKUP($U$32,$AV$24:$BF$34,Q30+1))*V32</f>
        <v>5.0417974456255206E-3</v>
      </c>
      <c r="AN30" s="28">
        <v>5</v>
      </c>
      <c r="AO30" s="213">
        <f>((($W$25)^Q30)*((1-($W$25))^($U$33-Q30))*HLOOKUP($U$33,$AV$24:$BF$34,Q30+1))*V33</f>
        <v>3.1189399831338402E-3</v>
      </c>
      <c r="AP30" s="28">
        <v>5</v>
      </c>
      <c r="AQ30" s="213">
        <f>((($W$25)^Q30)*((1-($W$25))^($U$34-Q30))*HLOOKUP($U$34,$AV$24:$BF$34,Q30+1))*V34</f>
        <v>9.782621008332952E-4</v>
      </c>
      <c r="AR30" s="28">
        <v>5</v>
      </c>
      <c r="AS30" s="213">
        <f>((($W$25)^Q30)*((1-($W$25))^($U$35-Q30))*HLOOKUP($U$35,$AV$24:$BF$34,Q30+1))*V35</f>
        <v>1.3118099005085001E-4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1.8240340410003756E-6</v>
      </c>
      <c r="BQ30" s="31">
        <f>BM10+1</f>
        <v>7</v>
      </c>
      <c r="BR30" s="31">
        <v>6</v>
      </c>
      <c r="BS30" s="107">
        <f t="shared" si="16"/>
        <v>6.7380479191143388E-6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0.35277930126531443</v>
      </c>
      <c r="C31" s="61">
        <f>(C25*E25)+(C26*E26)+(C27*E27)+(C28*E28)+(C29*E29)+(C30*E30)/(C25+C26+C27+C28+C29+C30)</f>
        <v>0.28228612530166808</v>
      </c>
      <c r="G31" s="87">
        <v>6</v>
      </c>
      <c r="H31" s="126">
        <f>J31*L25+J30*L26+J29*L27+J28*L28</f>
        <v>3.9379509273246944E-3</v>
      </c>
      <c r="I31" s="138">
        <v>6</v>
      </c>
      <c r="J31" s="86">
        <f t="shared" si="17"/>
        <v>2.5534316363223118E-3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0.19236184603506903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0.19314541775756777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3.7230852742903747E-4</v>
      </c>
      <c r="AL31" s="28">
        <v>6</v>
      </c>
      <c r="AM31" s="213">
        <f>((($W$25)^Q31)*((1-($W$25))^($U$32-Q31))*HLOOKUP($U$32,$AV$24:$BF$34,Q31+1))*V32</f>
        <v>9.1604084122889212E-4</v>
      </c>
      <c r="AN31" s="28">
        <v>6</v>
      </c>
      <c r="AO31" s="213">
        <f>((($W$25)^Q31)*((1-($W$25))^($U$33-Q31))*HLOOKUP($U$33,$AV$24:$BF$34,Q31+1))*V33</f>
        <v>8.500172121267798E-4</v>
      </c>
      <c r="AP31" s="28">
        <v>6</v>
      </c>
      <c r="AQ31" s="213">
        <f>((($W$25)^Q31)*((1-($W$25))^($U$34-Q31))*HLOOKUP($U$34,$AV$24:$BF$34,Q31+1))*V34</f>
        <v>3.5547958737104532E-4</v>
      </c>
      <c r="AR31" s="28">
        <v>6</v>
      </c>
      <c r="AS31" s="213">
        <f>((($W$25)^Q31)*((1-($W$25))^($U$35-Q31))*HLOOKUP($U$35,$AV$24:$BF$34,Q31+1))*V35</f>
        <v>5.9585468166557211E-5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1.6423375972851217E-2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7.4430677322418722E-6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5.7725024250072899E-4</v>
      </c>
      <c r="I32" s="138">
        <v>7</v>
      </c>
      <c r="J32" s="86">
        <f t="shared" si="17"/>
        <v>3.0530473443944768E-4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0.10356357854286151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0.10489283528408329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7.1329223231182773E-5</v>
      </c>
      <c r="AN32" s="28">
        <v>7</v>
      </c>
      <c r="AO32" s="213">
        <f>((($W$25)^Q32)*((1-($W$25))^($U$33-Q32))*HLOOKUP($U$33,$AV$24:$BF$34,Q32+1))*V33</f>
        <v>1.323763411963174E-4</v>
      </c>
      <c r="AP32" s="28">
        <v>7</v>
      </c>
      <c r="AQ32" s="213">
        <f>((($W$25)^Q32)*((1-($W$25))^($U$34-Q32))*HLOOKUP($U$34,$AV$24:$BF$34,Q32+1))*V34</f>
        <v>8.3040236964878768E-5</v>
      </c>
      <c r="AR32" s="28">
        <v>7</v>
      </c>
      <c r="AS32" s="213">
        <f>((($W$25)^Q32)*((1-($W$25))^($U$35-Q32))*HLOOKUP($U$35,$AV$24:$BF$34,Q32+1))*V35</f>
        <v>1.8558933047068787E-5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6.5445597004061421E-3</v>
      </c>
      <c r="BQ32" s="31">
        <f t="shared" si="23"/>
        <v>8</v>
      </c>
      <c r="BR32" s="31">
        <v>1</v>
      </c>
      <c r="BS32" s="107">
        <f t="shared" si="24"/>
        <v>1.6479975850121283E-5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6.1150389023188496E-5</v>
      </c>
      <c r="I33" s="138">
        <v>8</v>
      </c>
      <c r="J33" s="86">
        <f t="shared" si="17"/>
        <v>2.412836325383513E-5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3.6590174236593824E-2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3.7596404918364378E-2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9.0192636844343333E-6</v>
      </c>
      <c r="AP33" s="28">
        <v>8</v>
      </c>
      <c r="AQ33" s="213">
        <f>((($W$25)^Q33)*((1-($W$25))^($U$34-Q33))*HLOOKUP($U$34,$AV$24:$BF$34,Q33+1))*V34</f>
        <v>1.1315644273525036E-5</v>
      </c>
      <c r="AR33" s="28">
        <v>8</v>
      </c>
      <c r="AS33" s="213">
        <f>((($W$25)^Q33)*((1-($W$25))^($U$35-Q33))*HLOOKUP($U$35,$AV$24:$BF$34,Q33+1))*V35</f>
        <v>3.7934552958757629E-6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2.0495685694770214E-3</v>
      </c>
      <c r="BQ33" s="31">
        <f t="shared" si="23"/>
        <v>8</v>
      </c>
      <c r="BR33" s="31">
        <v>2</v>
      </c>
      <c r="BS33" s="107">
        <f t="shared" si="24"/>
        <v>1.6955421533596687E-5</v>
      </c>
    </row>
    <row r="34" spans="1:71" x14ac:dyDescent="0.25">
      <c r="A34" s="40" t="s">
        <v>123</v>
      </c>
      <c r="B34" s="56">
        <f>B23*2</f>
        <v>4.8511022495513281</v>
      </c>
      <c r="C34" s="57">
        <f>C23*2</f>
        <v>5.1488977504486719</v>
      </c>
      <c r="G34" s="87">
        <v>9</v>
      </c>
      <c r="H34" s="126">
        <f>J34*L25+J33*L26+J32*L27+J31*L28</f>
        <v>4.593340881769582E-6</v>
      </c>
      <c r="I34" s="138">
        <v>9</v>
      </c>
      <c r="J34" s="86">
        <f t="shared" si="17"/>
        <v>1.1447975612471902E-6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7.6608705678866624E-3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8.0976614030604053E-3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6.8531063978385994E-7</v>
      </c>
      <c r="AR34" s="28">
        <v>9</v>
      </c>
      <c r="AS34" s="213">
        <f>((($W$25)^Q34)*((1-($W$25))^($U$35-Q34))*HLOOKUP($U$35,$AV$24:$BF$34,Q34+1))*V35</f>
        <v>4.5948692146333035E-7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4.9228386279689224E-4</v>
      </c>
      <c r="BQ34" s="31">
        <f t="shared" si="23"/>
        <v>8</v>
      </c>
      <c r="BR34" s="31">
        <v>3</v>
      </c>
      <c r="BS34" s="107">
        <f t="shared" si="24"/>
        <v>1.1352528945820448E-5</v>
      </c>
    </row>
    <row r="35" spans="1:71" ht="15.75" thickBot="1" x14ac:dyDescent="0.3">
      <c r="G35" s="88">
        <v>10</v>
      </c>
      <c r="H35" s="127">
        <f>J35*L25+J34*L26+J33*L27+J32*L28</f>
        <v>2.3610168065235016E-7</v>
      </c>
      <c r="I35" s="94">
        <v>10</v>
      </c>
      <c r="J35" s="89">
        <f t="shared" si="17"/>
        <v>2.5045162401524576E-8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7.217790728541488E-4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8.3886658466003627E-4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2.5045162401524576E-8</v>
      </c>
      <c r="BI35" s="31">
        <f t="shared" si="21"/>
        <v>3</v>
      </c>
      <c r="BJ35" s="31">
        <v>8</v>
      </c>
      <c r="BK35" s="107">
        <f t="shared" si="22"/>
        <v>8.8538214770214239E-5</v>
      </c>
      <c r="BQ35" s="31">
        <f t="shared" si="23"/>
        <v>8</v>
      </c>
      <c r="BR35" s="31">
        <v>4</v>
      </c>
      <c r="BS35" s="107">
        <f t="shared" si="24"/>
        <v>5.7196463660919074E-6</v>
      </c>
    </row>
    <row r="36" spans="1:71" ht="15.75" x14ac:dyDescent="0.25">
      <c r="A36" s="109" t="s">
        <v>124</v>
      </c>
      <c r="B36" s="219">
        <f>SUM(BO4:BO14)</f>
        <v>0.21882527735888532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1.0000000000000002</v>
      </c>
      <c r="BI36" s="31">
        <f t="shared" si="21"/>
        <v>3</v>
      </c>
      <c r="BJ36" s="31">
        <v>9</v>
      </c>
      <c r="BK36" s="107">
        <f t="shared" si="22"/>
        <v>1.1643249863099946E-5</v>
      </c>
      <c r="BQ36" s="31">
        <f t="shared" si="23"/>
        <v>8</v>
      </c>
      <c r="BR36" s="31">
        <v>5</v>
      </c>
      <c r="BS36" s="107">
        <f t="shared" si="24"/>
        <v>2.27922487861069E-6</v>
      </c>
    </row>
    <row r="37" spans="1:71" ht="16.5" thickBot="1" x14ac:dyDescent="0.3">
      <c r="A37" s="110" t="s">
        <v>125</v>
      </c>
      <c r="B37" s="219">
        <f>SUM(BK4:BK59)</f>
        <v>0.42981994334948814</v>
      </c>
      <c r="G37" s="158"/>
      <c r="H37" s="266">
        <f>SUM(H39:H49)</f>
        <v>0.99999959835048968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</v>
      </c>
      <c r="S37" s="267"/>
      <c r="T37" s="266">
        <f>SUM(T39:T49)</f>
        <v>1</v>
      </c>
      <c r="U37" s="267"/>
      <c r="V37" s="208">
        <f>SUM(V39:V48)</f>
        <v>0.99850230470811241</v>
      </c>
      <c r="W37" s="158"/>
      <c r="X37" s="158"/>
      <c r="Y37" s="205">
        <f>SUM(Y39:Y49)</f>
        <v>7.1100642996941655E-4</v>
      </c>
      <c r="Z37" s="81"/>
      <c r="AA37" s="205">
        <f>SUM(AA39:AA49)</f>
        <v>7.5572498069511693E-3</v>
      </c>
      <c r="AB37" s="81"/>
      <c r="AC37" s="205">
        <f>SUM(AC39:AC49)</f>
        <v>3.6157881975863775E-2</v>
      </c>
      <c r="AD37" s="81"/>
      <c r="AE37" s="205">
        <f>SUM(AE39:AE49)</f>
        <v>0.10256182877907929</v>
      </c>
      <c r="AF37" s="81"/>
      <c r="AG37" s="205">
        <f>SUM(AG39:AG49)</f>
        <v>0.19103151091482959</v>
      </c>
      <c r="AH37" s="81"/>
      <c r="AI37" s="205">
        <f>SUM(AI39:AI49)</f>
        <v>0.24421213352900176</v>
      </c>
      <c r="AJ37" s="81"/>
      <c r="AK37" s="205">
        <f>SUM(AK39:AK49)</f>
        <v>0.21712228776704004</v>
      </c>
      <c r="AL37" s="81"/>
      <c r="AM37" s="205">
        <f>SUM(AM39:AM49)</f>
        <v>0.13270718563617662</v>
      </c>
      <c r="AN37" s="81"/>
      <c r="AO37" s="205">
        <f>SUM(AO39:AO49)</f>
        <v>5.3499993328076957E-2</v>
      </c>
      <c r="AP37" s="81"/>
      <c r="AQ37" s="205">
        <f>SUM(AQ39:AQ49)</f>
        <v>1.2941226541123899E-2</v>
      </c>
      <c r="AR37" s="81"/>
      <c r="AS37" s="205">
        <f>SUM(AS39:AS49)</f>
        <v>1.4976952918875914E-3</v>
      </c>
      <c r="BI37" s="31">
        <f t="shared" si="21"/>
        <v>3</v>
      </c>
      <c r="BJ37" s="31">
        <v>10</v>
      </c>
      <c r="BK37" s="107">
        <f t="shared" si="22"/>
        <v>1.0847067318798097E-6</v>
      </c>
      <c r="BQ37" s="31">
        <f t="shared" si="23"/>
        <v>8</v>
      </c>
      <c r="BR37" s="31">
        <v>6</v>
      </c>
      <c r="BS37" s="107">
        <f t="shared" si="24"/>
        <v>7.1378792276593491E-7</v>
      </c>
    </row>
    <row r="38" spans="1:71" ht="16.5" thickBot="1" x14ac:dyDescent="0.3">
      <c r="A38" s="111" t="s">
        <v>126</v>
      </c>
      <c r="B38" s="219">
        <f>SUM(BS4:BS47)</f>
        <v>0.35135413356596396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2.6015508998492587E-3</v>
      </c>
      <c r="BQ38" s="31">
        <f>BM11+1</f>
        <v>8</v>
      </c>
      <c r="BR38" s="31">
        <v>7</v>
      </c>
      <c r="BS38" s="107">
        <f t="shared" si="24"/>
        <v>1.7144402049776056E-7</v>
      </c>
    </row>
    <row r="39" spans="1:71" x14ac:dyDescent="0.25">
      <c r="G39" s="128">
        <v>0</v>
      </c>
      <c r="H39" s="129">
        <f>L39*J39</f>
        <v>0.12171742242587252</v>
      </c>
      <c r="I39" s="97">
        <v>0</v>
      </c>
      <c r="J39" s="98">
        <f t="shared" ref="J39:J49" si="28">Y39+AA39+AC39+AE39+AG39+AI39+AK39+AM39+AO39+AQ39+AS39</f>
        <v>0.20704382917042616</v>
      </c>
      <c r="K39" s="102">
        <v>0</v>
      </c>
      <c r="L39" s="98">
        <f>AH18</f>
        <v>0.58788239627118755</v>
      </c>
      <c r="M39" s="85">
        <v>0</v>
      </c>
      <c r="N39" s="210">
        <f>(1-$C$24)^$B$21</f>
        <v>2.6865946342054449E-2</v>
      </c>
      <c r="O39" s="72">
        <v>0</v>
      </c>
      <c r="P39" s="210">
        <f t="shared" ref="P39:P44" si="29">N39</f>
        <v>2.6865946342054449E-2</v>
      </c>
      <c r="Q39" s="28">
        <v>0</v>
      </c>
      <c r="R39" s="211">
        <f>P39*N39</f>
        <v>7.217790728541488E-4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7.1100642996941655E-4</v>
      </c>
      <c r="W39" s="134">
        <f>C31</f>
        <v>0.28228612530166808</v>
      </c>
      <c r="X39" s="28">
        <v>0</v>
      </c>
      <c r="Y39" s="213">
        <f>V39</f>
        <v>7.1100642996941655E-4</v>
      </c>
      <c r="Z39" s="28">
        <v>0</v>
      </c>
      <c r="AA39" s="213">
        <f>((1-W39)^Z40)*V40</f>
        <v>5.4239430410101446E-3</v>
      </c>
      <c r="AB39" s="28">
        <v>0</v>
      </c>
      <c r="AC39" s="213">
        <f>(((1-$W$39)^AB41))*V41</f>
        <v>1.8625402504388208E-2</v>
      </c>
      <c r="AD39" s="28">
        <v>0</v>
      </c>
      <c r="AE39" s="213">
        <f>(((1-$W$39)^AB42))*V42</f>
        <v>3.7917507571746244E-2</v>
      </c>
      <c r="AF39" s="28">
        <v>0</v>
      </c>
      <c r="AG39" s="213">
        <f>(((1-$W$39)^AB43))*V43</f>
        <v>5.0688609608297998E-2</v>
      </c>
      <c r="AH39" s="28">
        <v>0</v>
      </c>
      <c r="AI39" s="213">
        <f>(((1-$W$39)^AB44))*V44</f>
        <v>4.6507602063973287E-2</v>
      </c>
      <c r="AJ39" s="28">
        <v>0</v>
      </c>
      <c r="AK39" s="213">
        <f>(((1-$W$39)^AB45))*V45</f>
        <v>2.967648488616979E-2</v>
      </c>
      <c r="AL39" s="28">
        <v>0</v>
      </c>
      <c r="AM39" s="213">
        <f>(((1-$W$39)^AB46))*V46</f>
        <v>1.3018286741032998E-2</v>
      </c>
      <c r="AN39" s="28">
        <v>0</v>
      </c>
      <c r="AO39" s="213">
        <f>(((1-$W$39)^AB47))*V47</f>
        <v>3.7667297650326439E-3</v>
      </c>
      <c r="AP39" s="28">
        <v>0</v>
      </c>
      <c r="AQ39" s="213">
        <f>(((1-$W$39)^AB48))*V48</f>
        <v>6.53939420060519E-4</v>
      </c>
      <c r="AR39" s="28">
        <v>0</v>
      </c>
      <c r="AS39" s="213">
        <f>(((1-$W$39)^AB49))*V49</f>
        <v>5.4317138744937999E-5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8.1473119664487244E-4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5.5908961245237804E-7</v>
      </c>
    </row>
    <row r="40" spans="1:71" x14ac:dyDescent="0.25">
      <c r="G40" s="91">
        <v>1</v>
      </c>
      <c r="H40" s="130">
        <f>L39*J40+L40*J39</f>
        <v>0.2694991170681188</v>
      </c>
      <c r="I40" s="138">
        <v>1</v>
      </c>
      <c r="J40" s="86">
        <f t="shared" si="28"/>
        <v>0.35298617434577922</v>
      </c>
      <c r="K40" s="95">
        <v>1</v>
      </c>
      <c r="L40" s="86">
        <f>AI18</f>
        <v>0.29937989116353114</v>
      </c>
      <c r="M40" s="85">
        <v>1</v>
      </c>
      <c r="N40" s="210">
        <f>(($C$24)^M26)*((1-($C$24))^($B$21-M26))*HLOOKUP($B$21,$AV$24:$BF$34,M26+1)</f>
        <v>0.1425758555151799</v>
      </c>
      <c r="O40" s="72">
        <v>1</v>
      </c>
      <c r="P40" s="210">
        <f t="shared" si="29"/>
        <v>0.1425758555151799</v>
      </c>
      <c r="Q40" s="28">
        <v>1</v>
      </c>
      <c r="R40" s="211">
        <f>P40*N39+P39*N40</f>
        <v>7.6608705678866624E-3</v>
      </c>
      <c r="S40" s="72">
        <v>1</v>
      </c>
      <c r="T40" s="212">
        <f t="shared" ref="T40:T49" si="32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7.5572498069511693E-3</v>
      </c>
      <c r="W40" s="214"/>
      <c r="X40" s="28">
        <v>1</v>
      </c>
      <c r="Y40" s="211"/>
      <c r="Z40" s="28">
        <v>1</v>
      </c>
      <c r="AA40" s="213">
        <f>(1-((1-W39)^Z40))*V40</f>
        <v>2.1333067659410248E-3</v>
      </c>
      <c r="AB40" s="28">
        <v>1</v>
      </c>
      <c r="AC40" s="213">
        <f>((($W$39)^M40)*((1-($W$39))^($U$27-M40))*HLOOKUP($U$27,$AV$24:$BF$34,M40+1))*V41</f>
        <v>1.4651222138787924E-2</v>
      </c>
      <c r="AD40" s="28">
        <v>1</v>
      </c>
      <c r="AE40" s="213">
        <f>((($W$39)^M40)*((1-($W$39))^($U$28-M40))*HLOOKUP($U$28,$AV$24:$BF$34,M40+1))*V42</f>
        <v>4.4740334571449464E-2</v>
      </c>
      <c r="AF40" s="28">
        <v>1</v>
      </c>
      <c r="AG40" s="213">
        <f>((($W$39)^M40)*((1-($W$39))^($U$29-M40))*HLOOKUP($U$29,$AV$24:$BF$34,M40+1))*V43</f>
        <v>7.9745936132387271E-2</v>
      </c>
      <c r="AH40" s="28">
        <v>1</v>
      </c>
      <c r="AI40" s="213">
        <f>((($W$39)^M40)*((1-($W$39))^($U$30-M40))*HLOOKUP($U$30,$AV$24:$BF$34,M40+1))*V44</f>
        <v>9.1460199158257913E-2</v>
      </c>
      <c r="AJ40" s="28">
        <v>1</v>
      </c>
      <c r="AK40" s="213">
        <f>((($W$39)^M40)*((1-($W$39))^($U$31-M40))*HLOOKUP($U$31,$AV$24:$BF$34,M40+1))*V45</f>
        <v>7.0032865963012045E-2</v>
      </c>
      <c r="AL40" s="28">
        <v>1</v>
      </c>
      <c r="AM40" s="213">
        <f>((($W$39)^Q40)*((1-($W$39))^($U$32-Q40))*HLOOKUP($U$32,$AV$24:$BF$34,Q40+1))*V46</f>
        <v>3.5841820762010944E-2</v>
      </c>
      <c r="AN40" s="28">
        <v>1</v>
      </c>
      <c r="AO40" s="213">
        <f>((($W$39)^Q40)*((1-($W$39))^($U$33-Q40))*HLOOKUP($U$33,$AV$24:$BF$34,Q40+1))*V47</f>
        <v>1.1852027253913126E-2</v>
      </c>
      <c r="AP40" s="28">
        <v>1</v>
      </c>
      <c r="AQ40" s="213">
        <f>((($W$39)^Q40)*((1-($W$39))^($U$34-Q40))*HLOOKUP($U$34,$AV$24:$BF$34,Q40+1))*V48</f>
        <v>2.3148252865202632E-3</v>
      </c>
      <c r="AR40" s="28">
        <v>1</v>
      </c>
      <c r="AS40" s="213">
        <f>((($W$39)^Q40)*((1-($W$39))^($U$35-Q40))*HLOOKUP($U$35,$AV$24:$BF$34,Q40+1))*V49</f>
        <v>2.1363631349925318E-4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1.9568948636239754E-4</v>
      </c>
      <c r="BQ40" s="31">
        <f t="shared" si="30"/>
        <v>9</v>
      </c>
      <c r="BR40" s="31">
        <v>1</v>
      </c>
      <c r="BS40" s="107">
        <f t="shared" si="31"/>
        <v>1.2379013120297966E-6</v>
      </c>
    </row>
    <row r="41" spans="1:71" x14ac:dyDescent="0.25">
      <c r="G41" s="91">
        <v>2</v>
      </c>
      <c r="H41" s="130">
        <f>L39*J41+J40*L40+J39*L41</f>
        <v>0.27727414010673124</v>
      </c>
      <c r="I41" s="138">
        <v>2</v>
      </c>
      <c r="J41" s="86">
        <f t="shared" si="28"/>
        <v>0.27095940625212239</v>
      </c>
      <c r="K41" s="95">
        <v>2</v>
      </c>
      <c r="L41" s="86">
        <f>AJ18</f>
        <v>5.943143854345944E-2</v>
      </c>
      <c r="M41" s="85">
        <v>2</v>
      </c>
      <c r="N41" s="210">
        <f>(($C$24)^M27)*((1-($C$24))^($B$21-M27))*HLOOKUP($B$21,$AV$24:$BF$34,M27+1)</f>
        <v>0.30265637126007872</v>
      </c>
      <c r="O41" s="72">
        <v>2</v>
      </c>
      <c r="P41" s="210">
        <f t="shared" si="29"/>
        <v>0.30265637126007872</v>
      </c>
      <c r="Q41" s="28">
        <v>2</v>
      </c>
      <c r="R41" s="211">
        <f>P41*N39+P40*N40+P39*N41</f>
        <v>3.6590174236593824E-2</v>
      </c>
      <c r="S41" s="72">
        <v>2</v>
      </c>
      <c r="T41" s="212">
        <f t="shared" si="32"/>
        <v>7.4625000000000011E-5</v>
      </c>
      <c r="U41" s="138">
        <v>2</v>
      </c>
      <c r="V41" s="86">
        <f>R41*T39+T40*R40+R39*T41</f>
        <v>3.6157881975863775E-2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2.8812573326876451E-3</v>
      </c>
      <c r="AD41" s="28">
        <v>2</v>
      </c>
      <c r="AE41" s="213">
        <f>((($W$39)^M41)*((1-($W$39))^($U$28-M41))*HLOOKUP($U$28,$AV$24:$BF$34,M41+1))*V42</f>
        <v>1.759695072940198E-2</v>
      </c>
      <c r="AF41" s="28">
        <v>2</v>
      </c>
      <c r="AG41" s="213">
        <f>((($W$39)^M41)*((1-($W$39))^($U$29-M41))*HLOOKUP($U$29,$AV$24:$BF$34,M41+1))*V43</f>
        <v>4.70476580841378E-2</v>
      </c>
      <c r="AH41" s="28">
        <v>2</v>
      </c>
      <c r="AI41" s="213">
        <f>((($W$39)^M41)*((1-($W$39))^($U$30-M41))*HLOOKUP($U$30,$AV$24:$BF$34,M41+1))*V44</f>
        <v>7.1944952298867729E-2</v>
      </c>
      <c r="AJ41" s="28">
        <v>2</v>
      </c>
      <c r="AK41" s="213">
        <f>((($W$39)^M41)*((1-($W$39))^($U$31-M41))*HLOOKUP($U$31,$AV$24:$BF$34,M41+1))*V45</f>
        <v>6.8862073987280573E-2</v>
      </c>
      <c r="AL41" s="28">
        <v>2</v>
      </c>
      <c r="AM41" s="213">
        <f>((($W$39)^Q41)*((1-($W$39))^($U$32-Q41))*HLOOKUP($U$32,$AV$24:$BF$34,Q41+1))*V46</f>
        <v>4.2291151376657912E-2</v>
      </c>
      <c r="AN41" s="28">
        <v>2</v>
      </c>
      <c r="AO41" s="213">
        <f>((($W$39)^Q41)*((1-($W$39))^($U$33-Q41))*HLOOKUP($U$33,$AV$24:$BF$34,Q41+1))*V47</f>
        <v>1.631544322811234E-2</v>
      </c>
      <c r="AP41" s="28">
        <v>2</v>
      </c>
      <c r="AQ41" s="213">
        <f>((($W$39)^Q41)*((1-($W$39))^($U$34-Q41))*HLOOKUP($U$34,$AV$24:$BF$34,Q41+1))*V48</f>
        <v>3.6418025841107363E-3</v>
      </c>
      <c r="AR41" s="28">
        <v>2</v>
      </c>
      <c r="AS41" s="213">
        <f>((($W$39)^Q41)*((1-($W$39))^($U$35-Q41))*HLOOKUP($U$35,$AV$24:$BF$34,Q41+1))*V49</f>
        <v>3.7811663086565037E-4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3.5195136548636504E-5</v>
      </c>
      <c r="BQ41" s="31">
        <f t="shared" si="30"/>
        <v>9</v>
      </c>
      <c r="BR41" s="31">
        <v>2</v>
      </c>
      <c r="BS41" s="107">
        <f t="shared" si="31"/>
        <v>1.2736146432097555E-6</v>
      </c>
    </row>
    <row r="42" spans="1:71" ht="15" customHeight="1" x14ac:dyDescent="0.25">
      <c r="G42" s="91">
        <v>3</v>
      </c>
      <c r="H42" s="130">
        <f>J42*L39+J41*L40+L42*J39+L41*J40</f>
        <v>0.18564933317947527</v>
      </c>
      <c r="I42" s="138">
        <v>3</v>
      </c>
      <c r="J42" s="86">
        <f t="shared" si="28"/>
        <v>0.12334835141571626</v>
      </c>
      <c r="K42" s="95">
        <v>3</v>
      </c>
      <c r="L42" s="86">
        <f>AK18</f>
        <v>5.3306274021821871E-2</v>
      </c>
      <c r="M42" s="85">
        <v>3</v>
      </c>
      <c r="N42" s="210">
        <f>(($C$24)^M28)*((1-($C$24))^($B$21-M28))*HLOOKUP($B$21,$AV$24:$BF$34,M28+1)</f>
        <v>0.3212355932683354</v>
      </c>
      <c r="O42" s="72">
        <v>3</v>
      </c>
      <c r="P42" s="210">
        <f t="shared" si="29"/>
        <v>0.3212355932683354</v>
      </c>
      <c r="Q42" s="28">
        <v>3</v>
      </c>
      <c r="R42" s="211">
        <f>P42*N39+P41*N40+P40*N41+P39*N42</f>
        <v>0.10356357854286151</v>
      </c>
      <c r="S42" s="72">
        <v>3</v>
      </c>
      <c r="T42" s="212">
        <f t="shared" si="32"/>
        <v>1.2500000000000002E-7</v>
      </c>
      <c r="U42" s="138">
        <v>3</v>
      </c>
      <c r="V42" s="86">
        <f>R42*T39+R41*T40+R40*T41+R39*T42</f>
        <v>0.10256182877907927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2.3070359064815923E-3</v>
      </c>
      <c r="AF42" s="28">
        <v>3</v>
      </c>
      <c r="AG42" s="213">
        <f>((($W$39)^M42)*((1-($W$39))^($U$29-M42))*HLOOKUP($U$29,$AV$24:$BF$34,M42+1))*V43</f>
        <v>1.233630055400667E-2</v>
      </c>
      <c r="AH42" s="28">
        <v>3</v>
      </c>
      <c r="AI42" s="213">
        <f>((($W$39)^M42)*((1-($W$39))^($U$30-M42))*HLOOKUP($U$30,$AV$24:$BF$34,M42+1))*V44</f>
        <v>2.8296877816381873E-2</v>
      </c>
      <c r="AJ42" s="28">
        <v>3</v>
      </c>
      <c r="AK42" s="213">
        <f>((($W$39)^M42)*((1-($W$39))^($U$31-M42))*HLOOKUP($U$31,$AV$24:$BF$34,M42+1))*V45</f>
        <v>3.6112456010461834E-2</v>
      </c>
      <c r="AL42" s="28">
        <v>3</v>
      </c>
      <c r="AM42" s="213">
        <f>((($W$39)^Q42)*((1-($W$39))^($U$32-Q42))*HLOOKUP($U$32,$AV$24:$BF$34,Q42+1))*V46</f>
        <v>2.7722758974763003E-2</v>
      </c>
      <c r="AN42" s="28">
        <v>3</v>
      </c>
      <c r="AO42" s="213">
        <f>((($W$39)^Q42)*((1-($W$39))^($U$33-Q42))*HLOOKUP($U$33,$AV$24:$BF$34,Q42+1))*V47</f>
        <v>1.2834148575932151E-2</v>
      </c>
      <c r="AP42" s="28">
        <v>3</v>
      </c>
      <c r="AQ42" s="213">
        <f>((($W$39)^Q42)*((1-($W$39))^($U$34-Q42))*HLOOKUP($U$34,$AV$24:$BF$34,Q42+1))*V48</f>
        <v>3.3421918482023916E-3</v>
      </c>
      <c r="AR42" s="28">
        <v>3</v>
      </c>
      <c r="AS42" s="213">
        <f>((($W$39)^Q42)*((1-($W$39))^($U$35-Q42))*HLOOKUP($U$35,$AV$24:$BF$34,Q42+1))*V49</f>
        <v>3.9658172948674121E-4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4.6283491243326359E-6</v>
      </c>
      <c r="BQ42" s="31">
        <f t="shared" si="30"/>
        <v>9</v>
      </c>
      <c r="BR42" s="31">
        <v>3</v>
      </c>
      <c r="BS42" s="107">
        <f t="shared" si="31"/>
        <v>8.5275067176654587E-7</v>
      </c>
    </row>
    <row r="43" spans="1:71" ht="15" customHeight="1" x14ac:dyDescent="0.25">
      <c r="G43" s="91">
        <v>4</v>
      </c>
      <c r="H43" s="130">
        <f>J43*L39+J42*L40+J41*L41+J40*L42</f>
        <v>9.3534096143247633E-2</v>
      </c>
      <c r="I43" s="138">
        <v>4</v>
      </c>
      <c r="J43" s="86">
        <f t="shared" si="28"/>
        <v>3.6888662124813461E-2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0.1704776706877652</v>
      </c>
      <c r="O43" s="72">
        <v>4</v>
      </c>
      <c r="P43" s="210">
        <f t="shared" si="29"/>
        <v>0.1704776706877652</v>
      </c>
      <c r="Q43" s="28">
        <v>4</v>
      </c>
      <c r="R43" s="211">
        <f>P43*N39+P42*N40+P41*N41+P40*N42+P39*N43</f>
        <v>0.19236184603506903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0.19103151091482956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1.213006535999832E-3</v>
      </c>
      <c r="AH43" s="28">
        <v>4</v>
      </c>
      <c r="AI43" s="213">
        <f>((($W$39)^M43)*((1-($W$39))^($U$30-M43))*HLOOKUP($U$30,$AV$24:$BF$34,M43+1))*V44</f>
        <v>5.5647635349662062E-3</v>
      </c>
      <c r="AJ43" s="28">
        <v>4</v>
      </c>
      <c r="AK43" s="213">
        <f>((($W$39)^M43)*((1-($W$39))^($U$31-M43))*HLOOKUP($U$31,$AV$24:$BF$34,M43+1))*V45</f>
        <v>1.0652621094936627E-2</v>
      </c>
      <c r="AL43" s="28">
        <v>4</v>
      </c>
      <c r="AM43" s="213">
        <f>((($W$39)^Q43)*((1-($W$39))^($U$32-Q43))*HLOOKUP($U$32,$AV$24:$BF$34,Q43+1))*V46</f>
        <v>1.0903718723491582E-2</v>
      </c>
      <c r="AN43" s="28">
        <v>4</v>
      </c>
      <c r="AO43" s="213">
        <f>((($W$39)^Q43)*((1-($W$39))^($U$33-Q43))*HLOOKUP($U$33,$AV$24:$BF$34,Q43+1))*V47</f>
        <v>6.3097952414682299E-3</v>
      </c>
      <c r="AP43" s="28">
        <v>4</v>
      </c>
      <c r="AQ43" s="213">
        <f>((($W$39)^Q43)*((1-($W$39))^($U$34-Q43))*HLOOKUP($U$34,$AV$24:$BF$34,Q43+1))*V48</f>
        <v>1.9717907513779596E-3</v>
      </c>
      <c r="AR43" s="28">
        <v>4</v>
      </c>
      <c r="AS43" s="213">
        <f>((($W$39)^Q43)*((1-($W$39))^($U$35-Q43))*HLOOKUP($U$35,$AV$24:$BF$34,Q43+1))*V49</f>
        <v>2.7296624257302615E-4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4.3118558063109195E-7</v>
      </c>
      <c r="BQ43" s="31">
        <f t="shared" si="30"/>
        <v>9</v>
      </c>
      <c r="BR43" s="31">
        <v>4</v>
      </c>
      <c r="BS43" s="107">
        <f t="shared" si="31"/>
        <v>4.2963398765414594E-7</v>
      </c>
    </row>
    <row r="44" spans="1:71" ht="15" customHeight="1" thickBot="1" x14ac:dyDescent="0.3">
      <c r="G44" s="91">
        <v>5</v>
      </c>
      <c r="H44" s="130">
        <f>J44*L39+J43*L40+J42*L41+J41*L42</f>
        <v>3.7272451001847229E-2</v>
      </c>
      <c r="I44" s="138">
        <v>5</v>
      </c>
      <c r="J44" s="86">
        <f t="shared" si="28"/>
        <v>7.5765511145390214E-3</v>
      </c>
      <c r="K44" s="95">
        <v>5</v>
      </c>
      <c r="L44" s="86"/>
      <c r="M44" s="85">
        <v>5</v>
      </c>
      <c r="N44" s="210">
        <f>(($C$24)^M30)*((1-($C$24))^($B$21-M30))*HLOOKUP($B$21,$AV$24:$BF$34,M30+1)</f>
        <v>3.6188562926586336E-2</v>
      </c>
      <c r="O44" s="72">
        <v>5</v>
      </c>
      <c r="P44" s="210">
        <f t="shared" si="29"/>
        <v>3.6188562926586336E-2</v>
      </c>
      <c r="Q44" s="28">
        <v>5</v>
      </c>
      <c r="R44" s="211">
        <f>P44*N39+P43*N40+P42*N41+P41*N42+P40*N43+P39*N44</f>
        <v>0.24500447742499587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0.2442121335290017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4.3773865655471209E-4</v>
      </c>
      <c r="AJ44" s="28">
        <v>5</v>
      </c>
      <c r="AK44" s="213">
        <f>((($W$39)^M44)*((1-($W$39))^($U$31-M44))*HLOOKUP($U$31,$AV$24:$BF$34,M44+1))*V45</f>
        <v>1.6759253174312152E-3</v>
      </c>
      <c r="AL44" s="28">
        <v>5</v>
      </c>
      <c r="AM44" s="213">
        <f>((($W$39)^Q44)*((1-($W$39))^($U$32-Q44))*HLOOKUP($U$32,$AV$24:$BF$34,Q44+1))*V46</f>
        <v>2.5731439380023815E-3</v>
      </c>
      <c r="AN44" s="28">
        <v>5</v>
      </c>
      <c r="AO44" s="213">
        <f>((($W$39)^Q44)*((1-($W$39))^($U$33-Q44))*HLOOKUP($U$33,$AV$24:$BF$34,Q44+1))*V47</f>
        <v>1.9853790909750793E-3</v>
      </c>
      <c r="AP44" s="28">
        <v>5</v>
      </c>
      <c r="AQ44" s="213">
        <f>((($W$39)^Q44)*((1-($W$39))^($U$34-Q44))*HLOOKUP($U$34,$AV$24:$BF$34,Q44+1))*V48</f>
        <v>7.7553073827101634E-4</v>
      </c>
      <c r="AR44" s="28">
        <v>5</v>
      </c>
      <c r="AS44" s="213">
        <f>((($W$39)^Q44)*((1-($W$39))^($U$35-Q44))*HLOOKUP($U$35,$AV$24:$BF$34,Q44+1))*V49</f>
        <v>1.2883337330461757E-4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2.278880951618335E-4</v>
      </c>
      <c r="BQ44" s="31">
        <f t="shared" si="30"/>
        <v>9</v>
      </c>
      <c r="BR44" s="31">
        <v>5</v>
      </c>
      <c r="BS44" s="107">
        <f t="shared" si="31"/>
        <v>1.7120507295053849E-7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1.1672663643975567E-2</v>
      </c>
      <c r="I45" s="138">
        <v>6</v>
      </c>
      <c r="J45" s="86">
        <f t="shared" si="28"/>
        <v>1.0832256982376872E-3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0.21670384340316476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0.21712228776704001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1.0986050774794582E-4</v>
      </c>
      <c r="AL45" s="28">
        <v>6</v>
      </c>
      <c r="AM45" s="213">
        <f>((($W$39)^Q45)*((1-($W$39))^($U$32-Q45))*HLOOKUP($U$32,$AV$24:$BF$34,Q45+1))*V46</f>
        <v>3.3735023464026483E-4</v>
      </c>
      <c r="AN45" s="28">
        <v>6</v>
      </c>
      <c r="AO45" s="213">
        <f>((($W$39)^Q45)*((1-($W$39))^($U$33-Q45))*HLOOKUP($U$33,$AV$24:$BF$34,Q45+1))*V47</f>
        <v>3.9043760376087765E-4</v>
      </c>
      <c r="AP45" s="28">
        <v>6</v>
      </c>
      <c r="AQ45" s="213">
        <f>((($W$39)^Q45)*((1-($W$39))^($U$34-Q45))*HLOOKUP($U$34,$AV$24:$BF$34,Q45+1))*V48</f>
        <v>2.0335082904812072E-4</v>
      </c>
      <c r="AR45" s="28">
        <v>6</v>
      </c>
      <c r="AS45" s="213">
        <f>((($W$39)^Q45)*((1-($W$39))^($U$35-Q45))*HLOOKUP($U$35,$AV$24:$BF$34,Q45+1))*V49</f>
        <v>4.222652304047804E-5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5.4736217876486586E-5</v>
      </c>
      <c r="BQ45" s="31">
        <f t="shared" si="30"/>
        <v>9</v>
      </c>
      <c r="BR45" s="31">
        <v>6</v>
      </c>
      <c r="BS45" s="107">
        <f t="shared" si="31"/>
        <v>5.3616523115018471E-8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2.8036456224791676E-3</v>
      </c>
      <c r="I46" s="138">
        <v>7</v>
      </c>
      <c r="J46" s="86">
        <f t="shared" si="28"/>
        <v>1.0659813556912061E-4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0.1314323896377316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0.13270718563617662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1.8954885577534148E-5</v>
      </c>
      <c r="AN46" s="28">
        <v>7</v>
      </c>
      <c r="AO46" s="213">
        <f>((($W$39)^Q46)*((1-($W$39))^($U$33-Q46))*HLOOKUP($U$33,$AV$24:$BF$34,Q46+1))*V47</f>
        <v>4.3875470324458649E-5</v>
      </c>
      <c r="AP46" s="28">
        <v>7</v>
      </c>
      <c r="AQ46" s="213">
        <f>((($W$39)^Q46)*((1-($W$39))^($U$34-Q46))*HLOOKUP($U$34,$AV$24:$BF$34,Q46+1))*V48</f>
        <v>3.4277358966245499E-5</v>
      </c>
      <c r="AR46" s="28">
        <v>7</v>
      </c>
      <c r="AS46" s="213">
        <f>((($W$39)^Q46)*((1-($W$39))^($U$35-Q46))*HLOOKUP($U$35,$AV$24:$BF$34,Q46+1))*V49</f>
        <v>9.490420700882333E-6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9.8444157533904085E-6</v>
      </c>
      <c r="BQ46" s="31">
        <f t="shared" si="30"/>
        <v>9</v>
      </c>
      <c r="BR46" s="31">
        <v>7</v>
      </c>
      <c r="BS46" s="107">
        <f t="shared" si="31"/>
        <v>1.2878100055727889E-8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5.0424114422992325E-4</v>
      </c>
      <c r="I47" s="138">
        <v>8</v>
      </c>
      <c r="J47" s="86">
        <f t="shared" si="28"/>
        <v>6.9272947537961793E-6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5.231274516562702E-2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5.3499993328076964E-2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2.1570985580579681E-6</v>
      </c>
      <c r="AP47" s="28">
        <v>8</v>
      </c>
      <c r="AQ47" s="213">
        <f>((($W$39)^Q47)*((1-($W$39))^($U$34-Q47))*HLOOKUP($U$34,$AV$24:$BF$34,Q47+1))*V48</f>
        <v>3.3704318633323198E-6</v>
      </c>
      <c r="AR47" s="28">
        <v>8</v>
      </c>
      <c r="AS47" s="213">
        <f>((($W$39)^Q47)*((1-($W$39))^($U$35-Q47))*HLOOKUP($U$35,$AV$24:$BF$34,Q47+1))*V49</f>
        <v>1.3997643324058905E-6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1.2945934438642225E-6</v>
      </c>
      <c r="BQ47" s="31">
        <f>BM12+1</f>
        <v>9</v>
      </c>
      <c r="BR47" s="31">
        <v>8</v>
      </c>
      <c r="BS47" s="107">
        <f t="shared" si="31"/>
        <v>2.3161514620615785E-9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6.6310413517616125E-5</v>
      </c>
      <c r="I48" s="138">
        <v>9</v>
      </c>
      <c r="J48" s="86">
        <f t="shared" si="28"/>
        <v>2.6963611856947208E-7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1.2338683826524107E-2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1.2941226541123898E-2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1.4729270331412646E-7</v>
      </c>
      <c r="AR48" s="28">
        <v>9</v>
      </c>
      <c r="AS48" s="213">
        <f>((($W$39)^Q48)*((1-($W$39))^($U$35-Q48))*HLOOKUP($U$35,$AV$24:$BF$34,Q48+1))*V49</f>
        <v>1.223434152553456E-7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1.2060672407773221E-7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6.1776009947399612E-6</v>
      </c>
      <c r="I49" s="94">
        <v>10</v>
      </c>
      <c r="J49" s="89">
        <f t="shared" si="28"/>
        <v>4.8119243428477028E-9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1.309612086691499E-3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1.4976952918875908E-3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4.8119243428477028E-9</v>
      </c>
      <c r="BI49" s="31">
        <f>BQ14+1</f>
        <v>6</v>
      </c>
      <c r="BJ49" s="31">
        <v>0</v>
      </c>
      <c r="BK49" s="107">
        <f>$H$31*H39</f>
        <v>4.7931723651353629E-4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7"/>
      <c r="J50" s="297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7"/>
      <c r="X50" s="158"/>
      <c r="Y50" s="158"/>
      <c r="BI50" s="31">
        <f>BI45+1</f>
        <v>6</v>
      </c>
      <c r="BJ50" s="31">
        <v>7</v>
      </c>
      <c r="BK50" s="107">
        <f>$H$31*H46</f>
        <v>1.1040618878931659E-5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1.9856768815154913E-6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2.6112715440298038E-7</v>
      </c>
    </row>
    <row r="53" spans="1:63" x14ac:dyDescent="0.25">
      <c r="BI53" s="31">
        <f>BI48+1</f>
        <v>6</v>
      </c>
      <c r="BJ53" s="31">
        <v>10</v>
      </c>
      <c r="BK53" s="107">
        <f>$H$31*H49</f>
        <v>2.4327089565878183E-8</v>
      </c>
    </row>
    <row r="54" spans="1:63" x14ac:dyDescent="0.25">
      <c r="BI54" s="31">
        <f>BI51+1</f>
        <v>7</v>
      </c>
      <c r="BJ54" s="31">
        <v>8</v>
      </c>
      <c r="BK54" s="107">
        <f>$H$32*H47</f>
        <v>2.9107332278556827E-7</v>
      </c>
    </row>
    <row r="55" spans="1:63" x14ac:dyDescent="0.25">
      <c r="BI55" s="31">
        <f>BI52+1</f>
        <v>7</v>
      </c>
      <c r="BJ55" s="31">
        <v>9</v>
      </c>
      <c r="BK55" s="107">
        <f>$H$32*H48</f>
        <v>3.8277702283367525E-8</v>
      </c>
    </row>
    <row r="56" spans="1:63" x14ac:dyDescent="0.25">
      <c r="BI56" s="31">
        <f>BI53+1</f>
        <v>7</v>
      </c>
      <c r="BJ56" s="31">
        <v>10</v>
      </c>
      <c r="BK56" s="107">
        <f>$H$32*H49</f>
        <v>3.566021672286387E-9</v>
      </c>
    </row>
    <row r="57" spans="1:63" x14ac:dyDescent="0.25">
      <c r="BI57" s="31">
        <f>BI55+1</f>
        <v>8</v>
      </c>
      <c r="BJ57" s="31">
        <v>9</v>
      </c>
      <c r="BK57" s="107">
        <f>$H$33*H48</f>
        <v>4.0549075828907228E-9</v>
      </c>
    </row>
    <row r="58" spans="1:63" x14ac:dyDescent="0.25">
      <c r="BI58" s="31">
        <f>BI56+1</f>
        <v>8</v>
      </c>
      <c r="BJ58" s="31">
        <v>10</v>
      </c>
      <c r="BK58" s="107">
        <f>$H$33*H49</f>
        <v>3.7776270405838484E-10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2.8375827200399501E-11</v>
      </c>
    </row>
  </sheetData>
  <mergeCells count="2">
    <mergeCell ref="Q1:R1"/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18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2"/>
      <c r="R1" s="30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18" t="s">
        <v>145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1.6799999999999997</v>
      </c>
      <c r="S2" s="198">
        <f>SUM(S4:S15)</f>
        <v>3.5750000000000006</v>
      </c>
      <c r="T2" s="256">
        <f t="shared" ref="T2:U2" si="0">SUM(T4:T15)</f>
        <v>1.6724879535147399</v>
      </c>
      <c r="U2" s="256">
        <f t="shared" si="0"/>
        <v>0.83852395124716561</v>
      </c>
      <c r="V2" s="158"/>
      <c r="W2" s="158"/>
      <c r="X2" s="290">
        <f t="shared" ref="X2:Y2" si="1">SUM(X4:X15)</f>
        <v>0.83719143282312936</v>
      </c>
      <c r="Y2" s="291">
        <f t="shared" si="1"/>
        <v>0.50404156037414971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2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3" t="s">
        <v>5</v>
      </c>
      <c r="C3" s="303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162</v>
      </c>
      <c r="F4" s="279" t="s">
        <v>162</v>
      </c>
      <c r="G4" s="279" t="s">
        <v>162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0</v>
      </c>
      <c r="R4" s="258">
        <f t="shared" ref="R4:R15" si="2">IF(P4+Q4=0,0,N4)</f>
        <v>0</v>
      </c>
      <c r="S4" s="258">
        <f t="shared" ref="S4:S15" si="3">R4*$N$2/$R$2</f>
        <v>0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88">
        <f>V4*T4</f>
        <v>0</v>
      </c>
      <c r="Y4" s="289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162</v>
      </c>
      <c r="G5" s="279" t="s">
        <v>144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35</v>
      </c>
      <c r="B6" s="269">
        <v>10</v>
      </c>
      <c r="C6" s="270">
        <v>11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0</v>
      </c>
      <c r="R6" s="258">
        <f t="shared" si="2"/>
        <v>0</v>
      </c>
      <c r="S6" s="258">
        <f t="shared" si="3"/>
        <v>0</v>
      </c>
      <c r="T6" s="263">
        <f t="shared" si="4"/>
        <v>0</v>
      </c>
      <c r="U6" s="265">
        <f t="shared" si="5"/>
        <v>0</v>
      </c>
      <c r="V6" s="255">
        <f>$G$18</f>
        <v>0.45</v>
      </c>
      <c r="W6" s="253">
        <f>$H$18</f>
        <v>0.45</v>
      </c>
      <c r="X6" s="288">
        <f t="shared" si="11"/>
        <v>0</v>
      </c>
      <c r="Y6" s="289">
        <f t="shared" si="11"/>
        <v>0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0</v>
      </c>
      <c r="AH6" s="284">
        <f t="shared" si="8"/>
        <v>1</v>
      </c>
      <c r="AI6" s="284">
        <f>AG6*PRODUCT(AH3:AH5)*PRODUCT(AH7:AH17)</f>
        <v>0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40</v>
      </c>
      <c r="B7" s="269">
        <v>10</v>
      </c>
      <c r="C7" s="270">
        <v>12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0</v>
      </c>
      <c r="R7" s="258">
        <f t="shared" si="2"/>
        <v>0</v>
      </c>
      <c r="S7" s="258">
        <f t="shared" si="3"/>
        <v>0</v>
      </c>
      <c r="T7" s="263">
        <f t="shared" si="4"/>
        <v>0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0</v>
      </c>
      <c r="Z7" s="236"/>
      <c r="AA7" s="281">
        <f t="shared" si="6"/>
        <v>0.30323660714285722</v>
      </c>
      <c r="AB7" s="282">
        <f t="shared" si="7"/>
        <v>0.69676339285714284</v>
      </c>
      <c r="AC7" s="282">
        <f>AA7*PRODUCT(AB3:AB6)*PRODUCT(AB8:AB17)</f>
        <v>0.16651377767806427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44</v>
      </c>
      <c r="B8" s="269">
        <v>10</v>
      </c>
      <c r="C8" s="270">
        <v>12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4</v>
      </c>
      <c r="Q8" s="251">
        <f>COUNTIF(E10:I11,"RAP")</f>
        <v>0</v>
      </c>
      <c r="R8" s="258">
        <f t="shared" si="2"/>
        <v>0.5</v>
      </c>
      <c r="S8" s="258">
        <f t="shared" si="3"/>
        <v>1.0639880952380956</v>
      </c>
      <c r="T8" s="263">
        <f t="shared" si="4"/>
        <v>0.53199404761904778</v>
      </c>
      <c r="U8" s="265">
        <f t="shared" si="5"/>
        <v>0</v>
      </c>
      <c r="V8" s="255">
        <f>$G$17</f>
        <v>0.56999999999999995</v>
      </c>
      <c r="W8" s="253">
        <f>$H$17</f>
        <v>0.56999999999999995</v>
      </c>
      <c r="X8" s="288">
        <f t="shared" si="11"/>
        <v>0.30323660714285722</v>
      </c>
      <c r="Y8" s="289">
        <f t="shared" si="11"/>
        <v>0</v>
      </c>
      <c r="Z8" s="236"/>
      <c r="AA8" s="281">
        <f t="shared" si="6"/>
        <v>0.30323660714285722</v>
      </c>
      <c r="AB8" s="282">
        <f t="shared" si="7"/>
        <v>0.69676339285714284</v>
      </c>
      <c r="AC8" s="282">
        <f>AA8*PRODUCT(AB3:AB7)*PRODUCT(AB9:AB17)</f>
        <v>0.16651377767806425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220"/>
      <c r="AF8" s="234"/>
      <c r="AG8" s="283">
        <f t="shared" si="12"/>
        <v>0</v>
      </c>
      <c r="AH8" s="284">
        <f t="shared" si="8"/>
        <v>1</v>
      </c>
      <c r="AI8" s="284">
        <f>AG8*PRODUCT(AH3:AH7)*PRODUCT(AH9:AH17)</f>
        <v>0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47</v>
      </c>
      <c r="B9" s="269">
        <v>10</v>
      </c>
      <c r="C9" s="270">
        <v>12</v>
      </c>
      <c r="E9" s="280" t="s">
        <v>162</v>
      </c>
      <c r="F9" s="280" t="s">
        <v>162</v>
      </c>
      <c r="G9" s="280" t="s">
        <v>162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4</v>
      </c>
      <c r="Q9" s="251">
        <f>COUNTIF(E10:I11,"RAP")</f>
        <v>0</v>
      </c>
      <c r="R9" s="258">
        <f t="shared" si="2"/>
        <v>0.5</v>
      </c>
      <c r="S9" s="258">
        <f t="shared" si="3"/>
        <v>1.0639880952380956</v>
      </c>
      <c r="T9" s="263">
        <f t="shared" si="4"/>
        <v>0.53199404761904778</v>
      </c>
      <c r="U9" s="265">
        <f t="shared" si="5"/>
        <v>0</v>
      </c>
      <c r="V9" s="255">
        <f>$G$17</f>
        <v>0.56999999999999995</v>
      </c>
      <c r="W9" s="253">
        <f>$H$17</f>
        <v>0.56999999999999995</v>
      </c>
      <c r="X9" s="288">
        <f t="shared" si="11"/>
        <v>0.30323660714285722</v>
      </c>
      <c r="Y9" s="289">
        <f t="shared" si="11"/>
        <v>0</v>
      </c>
      <c r="Z9" s="236"/>
      <c r="AA9" s="281">
        <f t="shared" si="6"/>
        <v>6.8399234693877556E-2</v>
      </c>
      <c r="AB9" s="282">
        <f t="shared" si="7"/>
        <v>0.93160076530612246</v>
      </c>
      <c r="AC9" s="282">
        <f>AA9*PRODUCT(AB3:AB8)*PRODUCT(AB10:AB17)</f>
        <v>2.8091522398663849E-2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220"/>
      <c r="AF9" s="234"/>
      <c r="AG9" s="283">
        <f t="shared" si="12"/>
        <v>0</v>
      </c>
      <c r="AH9" s="284">
        <f t="shared" si="8"/>
        <v>1</v>
      </c>
      <c r="AI9" s="284">
        <f>AG9*PRODUCT(AH3:AH8)*PRODUCT(AH10:AH17)</f>
        <v>0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50</v>
      </c>
      <c r="B10" s="269">
        <v>9</v>
      </c>
      <c r="C10" s="270">
        <v>14</v>
      </c>
      <c r="E10" s="280" t="s">
        <v>162</v>
      </c>
      <c r="F10" s="280" t="s">
        <v>144</v>
      </c>
      <c r="G10" s="280" t="s">
        <v>162</v>
      </c>
      <c r="H10" s="280" t="s">
        <v>144</v>
      </c>
      <c r="I10" s="280" t="s">
        <v>162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0.3191964285714286</v>
      </c>
      <c r="T10" s="263">
        <f>S10*G13</f>
        <v>0.15199829931972789</v>
      </c>
      <c r="U10" s="265">
        <f>S10*G14</f>
        <v>0.16719812925170072</v>
      </c>
      <c r="V10" s="255">
        <f>$G$18</f>
        <v>0.45</v>
      </c>
      <c r="W10" s="253">
        <f>$H$18</f>
        <v>0.45</v>
      </c>
      <c r="X10" s="288">
        <f t="shared" si="11"/>
        <v>6.8399234693877556E-2</v>
      </c>
      <c r="Y10" s="289">
        <f t="shared" si="11"/>
        <v>7.5239158163265318E-2</v>
      </c>
      <c r="Z10" s="236"/>
      <c r="AA10" s="281">
        <f t="shared" si="6"/>
        <v>3.4959608843537417E-2</v>
      </c>
      <c r="AB10" s="282">
        <f t="shared" si="7"/>
        <v>0.96504039115646256</v>
      </c>
      <c r="AC10" s="282">
        <f>AA10*PRODUCT(AB3:AB9)*PRODUCT(AB11:AB17)</f>
        <v>1.3860373838941585E-2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220"/>
      <c r="AF10" s="234"/>
      <c r="AG10" s="283">
        <f t="shared" si="12"/>
        <v>7.5239158163265318E-2</v>
      </c>
      <c r="AH10" s="284">
        <f t="shared" si="8"/>
        <v>0.92476084183673468</v>
      </c>
      <c r="AI10" s="284">
        <f>AG10*PRODUCT(AH3:AH9)*PRODUCT(AH11:AH17)</f>
        <v>4.7122411477524759E-2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53</v>
      </c>
      <c r="B11" s="269">
        <v>9</v>
      </c>
      <c r="C11" s="270">
        <v>14</v>
      </c>
      <c r="E11" s="250"/>
      <c r="F11" s="280" t="s">
        <v>144</v>
      </c>
      <c r="G11" s="280" t="s">
        <v>162</v>
      </c>
      <c r="H11" s="280" t="s">
        <v>162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3</v>
      </c>
      <c r="R11" s="258">
        <f t="shared" si="2"/>
        <v>0.23</v>
      </c>
      <c r="S11" s="258">
        <f t="shared" si="3"/>
        <v>0.4894345238095239</v>
      </c>
      <c r="T11" s="263">
        <f>IF(P11&gt;0,S11*G13,0)</f>
        <v>0.23306405895691612</v>
      </c>
      <c r="U11" s="265">
        <f>IF(Q11&gt;0,S11*G14,0)</f>
        <v>0.25637046485260778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0.75</v>
      </c>
      <c r="X11" s="288">
        <f t="shared" si="11"/>
        <v>3.4959608843537417E-2</v>
      </c>
      <c r="Y11" s="289">
        <f t="shared" si="11"/>
        <v>0.19227784863945585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0.19227784863945585</v>
      </c>
      <c r="AH11" s="284">
        <f t="shared" si="8"/>
        <v>0.80772215136054415</v>
      </c>
      <c r="AI11" s="284">
        <f>AG11*PRODUCT(AH3:AH10)*PRODUCT(AH12:AH17)</f>
        <v>0.1378733322509218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57</v>
      </c>
      <c r="B12" s="269">
        <v>9</v>
      </c>
      <c r="C12" s="270">
        <v>14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5.4582589285714286E-2</v>
      </c>
      <c r="AB12" s="282">
        <f t="shared" si="7"/>
        <v>0.94541741071428576</v>
      </c>
      <c r="AC12" s="282">
        <f>AA12*PRODUCT(AB3:AB11)*PRODUCT(AB13:AB17)</f>
        <v>2.2089424848711934E-2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60</v>
      </c>
      <c r="B13" s="269">
        <v>9</v>
      </c>
      <c r="C13" s="270">
        <v>9</v>
      </c>
      <c r="E13" s="247"/>
      <c r="F13" s="247" t="s">
        <v>163</v>
      </c>
      <c r="G13" s="254">
        <f>B22</f>
        <v>0.47619047619047616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1</v>
      </c>
      <c r="Q13" s="251">
        <f>COUNTIF(E10:I11,"CAB")</f>
        <v>3</v>
      </c>
      <c r="R13" s="258">
        <f t="shared" si="2"/>
        <v>0.18</v>
      </c>
      <c r="S13" s="258">
        <f t="shared" si="3"/>
        <v>0.38303571428571431</v>
      </c>
      <c r="T13" s="263">
        <f>IF((Q13+P13)=0,0,S13*P13/(Q13+P13))</f>
        <v>9.5758928571428578E-2</v>
      </c>
      <c r="U13" s="265">
        <f>IF(P13+Q13=0,0,S13*Q13/(Q13+P13))</f>
        <v>0.28727678571428572</v>
      </c>
      <c r="V13" s="255">
        <f>$G$17</f>
        <v>0.56999999999999995</v>
      </c>
      <c r="W13" s="253">
        <f>$H$17</f>
        <v>0.56999999999999995</v>
      </c>
      <c r="X13" s="288">
        <f t="shared" si="11"/>
        <v>5.4582589285714286E-2</v>
      </c>
      <c r="Y13" s="289">
        <f t="shared" si="11"/>
        <v>0.16374776785714285</v>
      </c>
      <c r="Z13" s="236"/>
      <c r="AA13" s="281">
        <f t="shared" si="6"/>
        <v>7.2776785714285724E-2</v>
      </c>
      <c r="AB13" s="282">
        <f t="shared" si="7"/>
        <v>0.9272232142857143</v>
      </c>
      <c r="AC13" s="282">
        <f>AA13*PRODUCT(AB3:AB12)*PRODUCT(AB14:AB17)</f>
        <v>3.0030491792241279E-2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0.16374776785714285</v>
      </c>
      <c r="AH13" s="284">
        <f t="shared" si="8"/>
        <v>0.83625223214285715</v>
      </c>
      <c r="AI13" s="284">
        <f>AG13*PRODUCT(AH3:AH12)*PRODUCT(AH14:AH17)</f>
        <v>0.11340993716565342</v>
      </c>
      <c r="AJ13" s="284">
        <f>AG13*AG14*PRODUCT(AH3:AH12)*PRODUCT(AH15:AH17)+AG13*AG15*PRODUCT(AH3:AH12)*AH14*PRODUCT(AH16:AH17)+AG13*AG16*PRODUCT(AH3:AH12)*AH14*AH15*AH17+AG13*AG17*PRODUCT(AH3:AH12)*AH14*AH15*AH16</f>
        <v>8.9014280141093433E-3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63</v>
      </c>
      <c r="B14" s="269">
        <v>4</v>
      </c>
      <c r="C14" s="270">
        <v>4</v>
      </c>
      <c r="E14" s="247"/>
      <c r="F14" s="247" t="s">
        <v>164</v>
      </c>
      <c r="G14" s="252">
        <f>C22</f>
        <v>0.52380952380952384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0.25535714285714289</v>
      </c>
      <c r="T14" s="263">
        <f>S14*P14/(Q14+P14)</f>
        <v>0.12767857142857145</v>
      </c>
      <c r="U14" s="265">
        <f>S14*Q14/(Q14+P14)</f>
        <v>0.12767857142857145</v>
      </c>
      <c r="V14" s="255">
        <f>$G$17</f>
        <v>0.56999999999999995</v>
      </c>
      <c r="W14" s="253">
        <f>$H$17</f>
        <v>0.56999999999999995</v>
      </c>
      <c r="X14" s="288">
        <f t="shared" si="11"/>
        <v>7.2776785714285724E-2</v>
      </c>
      <c r="Y14" s="289">
        <f t="shared" si="11"/>
        <v>7.2776785714285724E-2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7.2776785714285724E-2</v>
      </c>
      <c r="AH14" s="284">
        <f t="shared" si="8"/>
        <v>0.9272232142857143</v>
      </c>
      <c r="AI14" s="284">
        <f>AG14*PRODUCT(AH3:AH13)*PRODUCT(AH15:AH17)</f>
        <v>4.5459178732451901E-2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0.38260784469788545</v>
      </c>
      <c r="AC18" s="176">
        <f>SUM(AC3:AC17)</f>
        <v>0.42709936823468714</v>
      </c>
      <c r="AD18" s="176">
        <f>SUM(AD3:AD17)</f>
        <v>0.16281576428542216</v>
      </c>
      <c r="AE18" s="176">
        <f>1-AB18-AC18-AD18</f>
        <v>2.7477022782005256E-2</v>
      </c>
      <c r="AF18" s="234"/>
      <c r="AG18" s="158"/>
      <c r="AH18" s="179">
        <f>PRODUCT(AH3:AH17)</f>
        <v>0.57917927275014069</v>
      </c>
      <c r="AI18" s="176">
        <f>SUM(AI3:AI17)</f>
        <v>0.34386485962655194</v>
      </c>
      <c r="AJ18" s="176">
        <f>SUM(AJ3:AJ17)</f>
        <v>7.0863303781438375E-2</v>
      </c>
      <c r="AK18" s="176">
        <f>1-AH18-AI18-AJ18</f>
        <v>6.0925638418689865E-3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87</v>
      </c>
      <c r="B22" s="206">
        <f>(B6)/((B6)+(C6))</f>
        <v>0.47619047619047616</v>
      </c>
      <c r="C22" s="207">
        <f>1-B22</f>
        <v>0.52380952380952384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88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66">
        <f>SUM(H25:H35)</f>
        <v>0.99999993956596989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0.99999999999999989</v>
      </c>
      <c r="S23" s="81"/>
      <c r="T23" s="266">
        <f>SUM(T25:T35)</f>
        <v>1</v>
      </c>
      <c r="V23" s="208">
        <f>SUM(V25:V34)</f>
        <v>0.99974931781276</v>
      </c>
      <c r="Y23" s="205">
        <f>SUM(Y25:Y35)</f>
        <v>3.3765445915655752E-3</v>
      </c>
      <c r="Z23" s="81"/>
      <c r="AA23" s="205">
        <f>SUM(AA25:AA35)</f>
        <v>2.5873660086668103E-2</v>
      </c>
      <c r="AB23" s="81"/>
      <c r="AC23" s="205">
        <f>SUM(AC25:AC35)</f>
        <v>8.9231628252390352E-2</v>
      </c>
      <c r="AD23" s="81"/>
      <c r="AE23" s="205">
        <f>SUM(AE25:AE35)</f>
        <v>0.18239905448332949</v>
      </c>
      <c r="AF23" s="81"/>
      <c r="AG23" s="205">
        <f>SUM(AG25:AG35)</f>
        <v>0.24474801787537889</v>
      </c>
      <c r="AH23" s="81"/>
      <c r="AI23" s="205">
        <f>SUM(AI25:AI35)</f>
        <v>0.22529102499748441</v>
      </c>
      <c r="AJ23" s="81"/>
      <c r="AK23" s="205">
        <f>SUM(AK25:AK35)</f>
        <v>0.14411233921871039</v>
      </c>
      <c r="AL23" s="81"/>
      <c r="AM23" s="205">
        <f>SUM(AM25:AM35)</f>
        <v>6.3287220894066035E-2</v>
      </c>
      <c r="AN23" s="81"/>
      <c r="AO23" s="205">
        <f>SUM(AO25:AO35)</f>
        <v>1.8281965297063971E-2</v>
      </c>
      <c r="AP23" s="81"/>
      <c r="AQ23" s="205">
        <f>SUM(AQ25:AQ35)</f>
        <v>3.1478621161027897E-3</v>
      </c>
      <c r="AR23" s="81"/>
      <c r="AS23" s="205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89</v>
      </c>
      <c r="B24" s="64">
        <f>B23/B21</f>
        <v>0.43367603379824315</v>
      </c>
      <c r="C24" s="65">
        <f>C23/B21</f>
        <v>0.56632396620175685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114</v>
      </c>
      <c r="B25" s="209">
        <f>1/(1+EXP(-3.1416*4*((B11/(B11+C8))-(3.1416/6))))</f>
        <v>0.23251449252298675</v>
      </c>
      <c r="C25" s="207">
        <f>1/(1+EXP(-3.1416*4*((C11/(C11+B8))-(3.1416/6))))</f>
        <v>0.6793166023460353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210">
        <f>(1-$B$24)^$B$21</f>
        <v>5.8253859548764761E-2</v>
      </c>
      <c r="O25" s="72">
        <v>0</v>
      </c>
      <c r="P25" s="210">
        <f t="shared" ref="P25:P30" si="18">N25</f>
        <v>5.8253859548764761E-2</v>
      </c>
      <c r="Q25" s="28">
        <v>0</v>
      </c>
      <c r="R25" s="211">
        <f>P25*N25</f>
        <v>3.3935121523272112E-3</v>
      </c>
      <c r="S25" s="72">
        <v>0</v>
      </c>
      <c r="T25" s="212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213">
        <f>V25</f>
        <v>3.3765445915655752E-3</v>
      </c>
      <c r="Z25" s="28">
        <v>0</v>
      </c>
      <c r="AA25" s="213">
        <f>((1-W25)^Z26)*V26</f>
        <v>1.8569822111388933E-2</v>
      </c>
      <c r="AB25" s="28">
        <v>0</v>
      </c>
      <c r="AC25" s="213">
        <f>(((1-$W$25)^AB27))*V27</f>
        <v>4.596407959974879E-2</v>
      </c>
      <c r="AD25" s="28">
        <v>0</v>
      </c>
      <c r="AE25" s="213">
        <f>(((1-$W$25)^AB28))*V28</f>
        <v>6.7432957582147166E-2</v>
      </c>
      <c r="AF25" s="28">
        <v>0</v>
      </c>
      <c r="AG25" s="213">
        <f>(((1-$W$25)^AB29))*V29</f>
        <v>6.4940956922224E-2</v>
      </c>
      <c r="AH25" s="28">
        <v>0</v>
      </c>
      <c r="AI25" s="213">
        <f>(((1-$W$25)^AB30))*V30</f>
        <v>4.290355372466393E-2</v>
      </c>
      <c r="AJ25" s="28">
        <v>0</v>
      </c>
      <c r="AK25" s="213">
        <f>(((1-$W$25)^AB31))*V31</f>
        <v>1.9697015124709574E-2</v>
      </c>
      <c r="AL25" s="28">
        <v>0</v>
      </c>
      <c r="AM25" s="213">
        <f>(((1-$W$25)^AB32))*V32</f>
        <v>6.2081921588654221E-3</v>
      </c>
      <c r="AN25" s="28">
        <v>0</v>
      </c>
      <c r="AO25" s="213">
        <f>(((1-$W$25)^AB33))*V33</f>
        <v>1.2871284244145504E-3</v>
      </c>
      <c r="AP25" s="28">
        <v>0</v>
      </c>
      <c r="AQ25" s="213">
        <f>(((1-$W$25)^AB34))*V34</f>
        <v>1.5906131811362984E-4</v>
      </c>
      <c r="AR25" s="28">
        <v>0</v>
      </c>
      <c r="AS25" s="213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115</v>
      </c>
      <c r="B26" s="206">
        <f>1/(1+EXP(-3.1416*4*((B10/(B10+C9))-(3.1416/6))))</f>
        <v>0.23251449252298675</v>
      </c>
      <c r="C26" s="207">
        <f>1/(1+EXP(-3.1416*4*((C10/(C10+B9))-(3.1416/6))))</f>
        <v>0.6793166023460353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210">
        <f>(($B$24)^M26)*((1-($B$24))^($B$21-M26))*HLOOKUP($B$21,$AV$24:$BF$34,M26+1)</f>
        <v>0.22304638572851768</v>
      </c>
      <c r="O26" s="72">
        <v>1</v>
      </c>
      <c r="P26" s="210">
        <f t="shared" si="18"/>
        <v>0.22304638572851768</v>
      </c>
      <c r="Q26" s="28">
        <v>1</v>
      </c>
      <c r="R26" s="211">
        <f>N26*P25+P26*N25</f>
        <v>2.5986625654177354E-2</v>
      </c>
      <c r="S26" s="72">
        <v>1</v>
      </c>
      <c r="T26" s="212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214"/>
      <c r="X26" s="28">
        <v>1</v>
      </c>
      <c r="Y26" s="211"/>
      <c r="Z26" s="28">
        <v>1</v>
      </c>
      <c r="AA26" s="213">
        <f>(1-((1-W25)^Z26))*V26</f>
        <v>7.3038379752791704E-3</v>
      </c>
      <c r="AB26" s="28">
        <v>1</v>
      </c>
      <c r="AC26" s="213">
        <f>((($W$25)^M26)*((1-($W$25))^($U$27-M26))*HLOOKUP($U$27,$AV$24:$BF$34,M26+1))*V27</f>
        <v>3.6156963493312655E-2</v>
      </c>
      <c r="AD26" s="28">
        <v>1</v>
      </c>
      <c r="AE26" s="213">
        <f>((($W$25)^M26)*((1-($W$25))^($U$28-M26))*HLOOKUP($U$28,$AV$24:$BF$34,M26+1))*V28</f>
        <v>7.9567708309679325E-2</v>
      </c>
      <c r="AF26" s="28">
        <v>1</v>
      </c>
      <c r="AG26" s="213">
        <f>((($W$25)^M26)*((1-($W$25))^($U$29-M26))*HLOOKUP($U$29,$AV$24:$BF$34,M26+1))*V29</f>
        <v>0.10216968681215476</v>
      </c>
      <c r="AH26" s="28">
        <v>1</v>
      </c>
      <c r="AI26" s="213">
        <f>((($W$25)^M26)*((1-($W$25))^($U$30-M26))*HLOOKUP($U$30,$AV$24:$BF$34,M26+1))*V30</f>
        <v>8.4373615183003139E-2</v>
      </c>
      <c r="AJ26" s="28">
        <v>1</v>
      </c>
      <c r="AK26" s="213">
        <f>((($W$25)^M26)*((1-($W$25))^($U$31-M26))*HLOOKUP($U$31,$AV$24:$BF$34,M26+1))*V31</f>
        <v>4.6483096996153724E-2</v>
      </c>
      <c r="AL26" s="28">
        <v>1</v>
      </c>
      <c r="AM26" s="213">
        <f>((($W$25)^Q26)*((1-($W$25))^($U$32-Q26))*HLOOKUP($U$32,$AV$24:$BF$34,Q26+1))*V32</f>
        <v>1.7092538939271571E-2</v>
      </c>
      <c r="AN26" s="28">
        <v>1</v>
      </c>
      <c r="AO26" s="213">
        <f>((($W$25)^Q26)*((1-($W$25))^($U$33-Q26))*HLOOKUP($U$33,$AV$24:$BF$34,Q26+1))*V33</f>
        <v>4.0500021632558728E-3</v>
      </c>
      <c r="AP26" s="28">
        <v>1</v>
      </c>
      <c r="AQ26" s="213">
        <f>((($W$25)^Q26)*((1-($W$25))^($U$34-Q26))*HLOOKUP($U$34,$AV$24:$BF$34,Q26+1))*V34</f>
        <v>5.6305455151958738E-4</v>
      </c>
      <c r="AR26" s="28">
        <v>1</v>
      </c>
      <c r="AS26" s="213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116</v>
      </c>
      <c r="B27" s="206">
        <f>1/(1+EXP(-3.1416*4*((B12/(B12+C7))-(3.1416/6))))</f>
        <v>0.23251449252298675</v>
      </c>
      <c r="C27" s="207">
        <f>1/(1+EXP(-3.1416*4*((C12/(C12+B7))-(3.1416/6))))</f>
        <v>0.6793166023460353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210">
        <f>(($B$24)^M27)*((1-($B$24))^($B$21-M27))*HLOOKUP($B$21,$AV$24:$BF$34,M27+1)</f>
        <v>0.34160613955481417</v>
      </c>
      <c r="O27" s="72">
        <v>2</v>
      </c>
      <c r="P27" s="210">
        <f t="shared" si="18"/>
        <v>0.34160613955481417</v>
      </c>
      <c r="Q27" s="28">
        <v>2</v>
      </c>
      <c r="R27" s="211">
        <f>P25*N27+P26*N26+P27*N25</f>
        <v>8.9549442335798451E-2</v>
      </c>
      <c r="S27" s="72">
        <v>2</v>
      </c>
      <c r="T27" s="212">
        <f t="shared" si="19"/>
        <v>0</v>
      </c>
      <c r="U27" s="138">
        <v>2</v>
      </c>
      <c r="V27" s="86">
        <f>R27*T25+T26*R26+R25*T27</f>
        <v>8.9231628252390352E-2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7.1105851593288999E-3</v>
      </c>
      <c r="AD27" s="28">
        <v>2</v>
      </c>
      <c r="AE27" s="213">
        <f>((($W$25)^M27)*((1-($W$25))^($U$28-M27))*HLOOKUP($U$28,$AV$24:$BF$34,M27+1))*V28</f>
        <v>3.1295380541192741E-2</v>
      </c>
      <c r="AF27" s="28">
        <v>2</v>
      </c>
      <c r="AG27" s="213">
        <f>((($W$25)^M27)*((1-($W$25))^($U$29-M27))*HLOOKUP($U$29,$AV$24:$BF$34,M27+1))*V29</f>
        <v>6.0277704922385572E-2</v>
      </c>
      <c r="AH27" s="28">
        <v>2</v>
      </c>
      <c r="AI27" s="213">
        <f>((($W$25)^M27)*((1-($W$25))^($U$30-M27))*HLOOKUP($U$30,$AV$24:$BF$34,M27+1))*V30</f>
        <v>6.6371256653800767E-2</v>
      </c>
      <c r="AJ27" s="28">
        <v>2</v>
      </c>
      <c r="AK27" s="213">
        <f>((($W$25)^M27)*((1-($W$25))^($U$31-M27))*HLOOKUP($U$31,$AV$24:$BF$34,M27+1))*V31</f>
        <v>4.5706551066107569E-2</v>
      </c>
      <c r="AL27" s="28">
        <v>2</v>
      </c>
      <c r="AM27" s="213">
        <f>((($W$25)^Q27)*((1-($W$25))^($U$32-Q27))*HLOOKUP($U$32,$AV$24:$BF$34,Q27+1))*V32</f>
        <v>2.0168389484252112E-2</v>
      </c>
      <c r="AN27" s="28">
        <v>2</v>
      </c>
      <c r="AO27" s="213">
        <f>((($W$25)^Q27)*((1-($W$25))^($U$33-Q27))*HLOOKUP($U$33,$AV$24:$BF$34,Q27+1))*V33</f>
        <v>5.5752800419306189E-3</v>
      </c>
      <c r="AP27" s="28">
        <v>2</v>
      </c>
      <c r="AQ27" s="213">
        <f>((($W$25)^Q27)*((1-($W$25))^($U$34-Q27))*HLOOKUP($U$34,$AV$24:$BF$34,Q27+1))*V34</f>
        <v>8.8583707283234779E-4</v>
      </c>
      <c r="AR27" s="28">
        <v>2</v>
      </c>
      <c r="AS27" s="213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210">
        <f>(($B$24)^M28)*((1-($B$24))^($B$21-M28))*HLOOKUP($B$21,$AV$24:$BF$34,M28+1)</f>
        <v>0.26159301842169036</v>
      </c>
      <c r="O28" s="72">
        <v>3</v>
      </c>
      <c r="P28" s="210">
        <f t="shared" si="18"/>
        <v>0.26159301842169036</v>
      </c>
      <c r="Q28" s="28">
        <v>3</v>
      </c>
      <c r="R28" s="211">
        <f>P25*N28+P26*N27+P27*N26+P28*N25</f>
        <v>0.182865635448895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0.18239905448332952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4.1030080503102872E-3</v>
      </c>
      <c r="AF28" s="28">
        <v>3</v>
      </c>
      <c r="AG28" s="213">
        <f>((($W$25)^M28)*((1-($W$25))^($U$29-M28))*HLOOKUP($U$29,$AV$24:$BF$34,M28+1))*V29</f>
        <v>1.5805521727095772E-2</v>
      </c>
      <c r="AH28" s="28">
        <v>3</v>
      </c>
      <c r="AI28" s="213">
        <f>((($W$25)^M28)*((1-($W$25))^($U$30-M28))*HLOOKUP($U$30,$AV$24:$BF$34,M28+1))*V30</f>
        <v>2.6104983769215672E-2</v>
      </c>
      <c r="AJ28" s="28">
        <v>3</v>
      </c>
      <c r="AK28" s="213">
        <f>((($W$25)^M28)*((1-($W$25))^($U$31-M28))*HLOOKUP($U$31,$AV$24:$BF$34,M28+1))*V31</f>
        <v>2.3969588320463385E-2</v>
      </c>
      <c r="AL28" s="28">
        <v>3</v>
      </c>
      <c r="AM28" s="213">
        <f>((($W$25)^Q28)*((1-($W$25))^($U$32-Q28))*HLOOKUP($U$32,$AV$24:$BF$34,Q28+1))*V32</f>
        <v>1.3220971112135571E-2</v>
      </c>
      <c r="AN28" s="28">
        <v>3</v>
      </c>
      <c r="AO28" s="213">
        <f>((($W$25)^Q28)*((1-($W$25))^($U$33-Q28))*HLOOKUP($U$33,$AV$24:$BF$34,Q28+1))*V33</f>
        <v>4.3857115968918853E-3</v>
      </c>
      <c r="AP28" s="28">
        <v>3</v>
      </c>
      <c r="AQ28" s="213">
        <f>((($W$25)^Q28)*((1-($W$25))^($U$34-Q28))*HLOOKUP($U$34,$AV$24:$BF$34,Q28+1))*V34</f>
        <v>8.12969072357901E-4</v>
      </c>
      <c r="AR28" s="28">
        <v>3</v>
      </c>
      <c r="AS28" s="213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118</v>
      </c>
      <c r="B29" s="206">
        <f>1/(1+EXP(-3.1416*4*((B14/(B14+C13))-(3.1416/6))))</f>
        <v>6.2199958135446112E-2</v>
      </c>
      <c r="C29" s="207">
        <f>1/(1+EXP(-3.1416*4*((C14/(C14+B13))-(3.1416/6))))</f>
        <v>6.2199958135446112E-2</v>
      </c>
      <c r="D29" s="204">
        <v>0.04</v>
      </c>
      <c r="E29" s="204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0.10016053484306656</v>
      </c>
      <c r="O29" s="72">
        <v>4</v>
      </c>
      <c r="P29" s="210">
        <f t="shared" si="18"/>
        <v>0.10016053484306656</v>
      </c>
      <c r="Q29" s="28">
        <v>4</v>
      </c>
      <c r="R29" s="211">
        <f>P25*N29+P26*N28+P27*N27+P28*N26+P29*N25</f>
        <v>0.24505898462124065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0.24474801787537892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1.5541474915188043E-3</v>
      </c>
      <c r="AH29" s="28">
        <v>4</v>
      </c>
      <c r="AI29" s="213">
        <f>((($W$25)^M29)*((1-($W$25))^($U$30-M29))*HLOOKUP($U$30,$AV$24:$BF$34,M29+1))*V30</f>
        <v>5.1337748593915551E-3</v>
      </c>
      <c r="AJ29" s="28">
        <v>4</v>
      </c>
      <c r="AK29" s="213">
        <f>((($W$25)^M29)*((1-($W$25))^($U$31-M29))*HLOOKUP($U$31,$AV$24:$BF$34,M29+1))*V31</f>
        <v>7.0707458198847354E-3</v>
      </c>
      <c r="AL29" s="28">
        <v>4</v>
      </c>
      <c r="AM29" s="213">
        <f>((($W$25)^Q29)*((1-($W$25))^($U$32-Q29))*HLOOKUP($U$32,$AV$24:$BF$34,Q29+1))*V32</f>
        <v>5.2000407058106265E-3</v>
      </c>
      <c r="AN29" s="28">
        <v>4</v>
      </c>
      <c r="AO29" s="213">
        <f>((($W$25)^Q29)*((1-($W$25))^($U$33-Q29))*HLOOKUP($U$33,$AV$24:$BF$34,Q29+1))*V33</f>
        <v>2.1562219819512675E-3</v>
      </c>
      <c r="AP29" s="28">
        <v>4</v>
      </c>
      <c r="AQ29" s="213">
        <f>((($W$25)^Q29)*((1-($W$25))^($U$34-Q29))*HLOOKUP($U$34,$AV$24:$BF$34,Q29+1))*V34</f>
        <v>4.7963257384464505E-4</v>
      </c>
      <c r="AR29" s="28">
        <v>4</v>
      </c>
      <c r="AS29" s="213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210">
        <f>(($B$24)^M30)*((1-($B$24))^($B$21-M30))*HLOOKUP($B$21,$AV$24:$BF$34,M30+1)</f>
        <v>1.5340061903146452E-2</v>
      </c>
      <c r="O30" s="72">
        <v>5</v>
      </c>
      <c r="P30" s="210">
        <f t="shared" si="18"/>
        <v>1.5340061903146452E-2</v>
      </c>
      <c r="Q30" s="28">
        <v>5</v>
      </c>
      <c r="R30" s="211">
        <f>P25*N30+P26*N29+P27*N28+P28*N27+P29*N26+P30*N25</f>
        <v>0.22519168851696308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0.22529102499748446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4.0384080740936065E-4</v>
      </c>
      <c r="AJ30" s="28">
        <v>5</v>
      </c>
      <c r="AK30" s="213">
        <f>((($W$25)^M30)*((1-($W$25))^($U$31-M30))*HLOOKUP($U$31,$AV$24:$BF$34,M30+1))*V31</f>
        <v>1.1124195271886297E-3</v>
      </c>
      <c r="AL30" s="28">
        <v>5</v>
      </c>
      <c r="AM30" s="213">
        <f>((($W$25)^Q30)*((1-($W$25))^($U$32-Q30))*HLOOKUP($U$32,$AV$24:$BF$34,Q30+1))*V32</f>
        <v>1.2271605366689132E-3</v>
      </c>
      <c r="AN30" s="28">
        <v>5</v>
      </c>
      <c r="AO30" s="213">
        <f>((($W$25)^Q30)*((1-($W$25))^($U$33-Q30))*HLOOKUP($U$33,$AV$24:$BF$34,Q30+1))*V33</f>
        <v>6.7846405422478052E-4</v>
      </c>
      <c r="AP30" s="28">
        <v>5</v>
      </c>
      <c r="AQ30" s="213">
        <f>((($W$25)^Q30)*((1-($W$25))^($U$34-Q30))*HLOOKUP($U$34,$AV$24:$BF$34,Q30+1))*V34</f>
        <v>1.8864793566756416E-4</v>
      </c>
      <c r="AR30" s="28">
        <v>5</v>
      </c>
      <c r="AS30" s="213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0.14370490530263877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0.14411233921871039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7.2922364202754575E-5</v>
      </c>
      <c r="AL31" s="28">
        <v>6</v>
      </c>
      <c r="AM31" s="213">
        <f>((($W$25)^Q31)*((1-($W$25))^($U$32-Q31))*HLOOKUP($U$32,$AV$24:$BF$34,Q31+1))*V32</f>
        <v>1.6088794812219105E-4</v>
      </c>
      <c r="AN31" s="28">
        <v>6</v>
      </c>
      <c r="AO31" s="213">
        <f>((($W$25)^Q31)*((1-($W$25))^($U$33-Q31))*HLOOKUP($U$33,$AV$24:$BF$34,Q31+1))*V33</f>
        <v>1.3342592875646505E-4</v>
      </c>
      <c r="AP31" s="28">
        <v>6</v>
      </c>
      <c r="AQ31" s="213">
        <f>((($W$25)^Q31)*((1-($W$25))^($U$34-Q31))*HLOOKUP($U$34,$AV$24:$BF$34,Q31+1))*V34</f>
        <v>4.9465702946134123E-5</v>
      </c>
      <c r="AR31" s="28">
        <v>6</v>
      </c>
      <c r="AS31" s="213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6.2883111927188803E-2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9.0400089396264658E-6</v>
      </c>
      <c r="AN32" s="28">
        <v>7</v>
      </c>
      <c r="AO32" s="213">
        <f>((($W$25)^Q32)*((1-($W$25))^($U$33-Q32))*HLOOKUP($U$33,$AV$24:$BF$34,Q32+1))*V33</f>
        <v>1.4993933390465591E-5</v>
      </c>
      <c r="AP32" s="28">
        <v>7</v>
      </c>
      <c r="AQ32" s="213">
        <f>((($W$25)^Q32)*((1-($W$25))^($U$34-Q32))*HLOOKUP($U$34,$AV$24:$BF$34,Q32+1))*V34</f>
        <v>8.3381707963298113E-6</v>
      </c>
      <c r="AR32" s="28">
        <v>7</v>
      </c>
      <c r="AS32" s="213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1.8057838932088472E-2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7.3717224806453664E-7</v>
      </c>
      <c r="AP33" s="28">
        <v>8</v>
      </c>
      <c r="AQ33" s="213">
        <f>((($W$25)^Q33)*((1-($W$25))^($U$34-Q33))*HLOOKUP($U$34,$AV$24:$BF$34,Q33+1))*V34</f>
        <v>8.1988734384869092E-7</v>
      </c>
      <c r="AR33" s="28">
        <v>8</v>
      </c>
      <c r="AS33" s="213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123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3.0729376094897963E-3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3.5830680801072293E-8</v>
      </c>
      <c r="AR34" s="28">
        <v>9</v>
      </c>
      <c r="AS34" s="213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2.3531749919236515E-4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124</v>
      </c>
      <c r="B36" s="219">
        <f>SUM(BO4:BO14)</f>
        <v>0.10587961634117178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125</v>
      </c>
      <c r="B37" s="219">
        <f>SUM(BK4:BK59)</f>
        <v>0.79888201282353499</v>
      </c>
      <c r="G37" s="158"/>
      <c r="H37" s="266">
        <f>SUM(H39:H49)</f>
        <v>0.999836051776825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0.99999999999999989</v>
      </c>
      <c r="O37" s="267"/>
      <c r="P37" s="268">
        <f>SUM(P39:P49)</f>
        <v>0.99999999999999989</v>
      </c>
      <c r="Q37" s="267"/>
      <c r="R37" s="266">
        <f>SUM(R39:R49)</f>
        <v>0.99999999999999989</v>
      </c>
      <c r="S37" s="267"/>
      <c r="T37" s="266">
        <f>SUM(T39:T49)</f>
        <v>1</v>
      </c>
      <c r="U37" s="267"/>
      <c r="V37" s="208">
        <f>SUM(V39:V48)</f>
        <v>0.99621191753243699</v>
      </c>
      <c r="W37" s="158"/>
      <c r="X37" s="158"/>
      <c r="Y37" s="205">
        <f>SUM(Y39:Y49)</f>
        <v>2.3180535610223171E-4</v>
      </c>
      <c r="Z37" s="81"/>
      <c r="AA37" s="205">
        <f>SUM(AA39:AA49)</f>
        <v>3.0305681846580289E-3</v>
      </c>
      <c r="AB37" s="81"/>
      <c r="AC37" s="205">
        <f>SUM(AC39:AC49)</f>
        <v>1.7833975265218092E-2</v>
      </c>
      <c r="AD37" s="81"/>
      <c r="AE37" s="205">
        <f>SUM(AE39:AE49)</f>
        <v>6.2212968648501427E-2</v>
      </c>
      <c r="AF37" s="81"/>
      <c r="AG37" s="205">
        <f>SUM(AG39:AG49)</f>
        <v>0.14249527737151696</v>
      </c>
      <c r="AH37" s="81"/>
      <c r="AI37" s="205">
        <f>SUM(AI39:AI49)</f>
        <v>0.22396944105942748</v>
      </c>
      <c r="AJ37" s="81"/>
      <c r="AK37" s="205">
        <f>SUM(AK39:AK49)</f>
        <v>0.24475636150370289</v>
      </c>
      <c r="AL37" s="81"/>
      <c r="AM37" s="205">
        <f>SUM(AM39:AM49)</f>
        <v>0.18379238369322923</v>
      </c>
      <c r="AN37" s="81"/>
      <c r="AO37" s="205">
        <f>SUM(AO39:AO49)</f>
        <v>9.0946844651974182E-2</v>
      </c>
      <c r="AP37" s="81"/>
      <c r="AQ37" s="205">
        <f>SUM(AQ39:AQ49)</f>
        <v>2.6942291798106491E-2</v>
      </c>
      <c r="AR37" s="81"/>
      <c r="AS37" s="205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126</v>
      </c>
      <c r="B38" s="219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210">
        <f>(1-$C$24)^$B$21</f>
        <v>1.5340061903146452E-2</v>
      </c>
      <c r="O39" s="72">
        <v>0</v>
      </c>
      <c r="P39" s="210">
        <f t="shared" ref="P39:P44" si="30">N39</f>
        <v>1.5340061903146452E-2</v>
      </c>
      <c r="Q39" s="28">
        <v>0</v>
      </c>
      <c r="R39" s="211">
        <f>P39*N39</f>
        <v>2.3531749919236515E-4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213">
        <f>V39</f>
        <v>2.3180535610223171E-4</v>
      </c>
      <c r="Z39" s="28">
        <v>0</v>
      </c>
      <c r="AA39" s="213">
        <f>((1-W39)^Z40)*V40</f>
        <v>9.9172820725343131E-4</v>
      </c>
      <c r="AB39" s="28">
        <v>0</v>
      </c>
      <c r="AC39" s="213">
        <f>(((1-$W$39)^AB41))*V41</f>
        <v>1.9097889332147097E-3</v>
      </c>
      <c r="AD39" s="28">
        <v>0</v>
      </c>
      <c r="AE39" s="213">
        <f>(((1-$W$39)^AB42))*V42</f>
        <v>2.1801518508046645E-3</v>
      </c>
      <c r="AF39" s="28">
        <v>0</v>
      </c>
      <c r="AG39" s="213">
        <f>(((1-$W$39)^AB43))*V43</f>
        <v>1.6340859498438114E-3</v>
      </c>
      <c r="AH39" s="28">
        <v>0</v>
      </c>
      <c r="AI39" s="213">
        <f>(((1-$W$39)^AB44))*V44</f>
        <v>8.4048854186004514E-4</v>
      </c>
      <c r="AJ39" s="28">
        <v>0</v>
      </c>
      <c r="AK39" s="213">
        <f>(((1-$W$39)^AB45))*V45</f>
        <v>3.0056999609432219E-4</v>
      </c>
      <c r="AL39" s="28">
        <v>0</v>
      </c>
      <c r="AM39" s="213">
        <f>(((1-$W$39)^AB46))*V46</f>
        <v>7.385973647996512E-5</v>
      </c>
      <c r="AN39" s="28">
        <v>0</v>
      </c>
      <c r="AO39" s="213">
        <f>(((1-$W$39)^AB47))*V47</f>
        <v>1.1960146124198113E-5</v>
      </c>
      <c r="AP39" s="28">
        <v>0</v>
      </c>
      <c r="AQ39" s="213">
        <f>(((1-$W$39)^AB48))*V48</f>
        <v>1.1594499102868507E-6</v>
      </c>
      <c r="AR39" s="28">
        <v>0</v>
      </c>
      <c r="AS39" s="213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210">
        <f>(($C$24)^M26)*((1-($C$24))^($B$21-M26))*HLOOKUP($B$21,$AV$24:$BF$34,M26+1)</f>
        <v>0.10016053484306656</v>
      </c>
      <c r="O40" s="72">
        <v>1</v>
      </c>
      <c r="P40" s="210">
        <f t="shared" si="30"/>
        <v>0.10016053484306656</v>
      </c>
      <c r="Q40" s="28">
        <v>1</v>
      </c>
      <c r="R40" s="211">
        <f>P40*N39+P39*N40</f>
        <v>3.0729376094897963E-3</v>
      </c>
      <c r="S40" s="72">
        <v>1</v>
      </c>
      <c r="T40" s="212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214"/>
      <c r="X40" s="28">
        <v>1</v>
      </c>
      <c r="Y40" s="211"/>
      <c r="Z40" s="28">
        <v>1</v>
      </c>
      <c r="AA40" s="213">
        <f>(1-((1-W39)^Z40))*V40</f>
        <v>2.0388399774045976E-3</v>
      </c>
      <c r="AB40" s="28">
        <v>1</v>
      </c>
      <c r="AC40" s="213">
        <f>((($W$39)^M40)*((1-($W$39))^($U$27-M40))*HLOOKUP($U$27,$AV$24:$BF$34,M40+1))*V41</f>
        <v>7.852461989009454E-3</v>
      </c>
      <c r="AD40" s="28">
        <v>1</v>
      </c>
      <c r="AE40" s="213">
        <f>((($W$39)^M40)*((1-($W$39))^($U$28-M40))*HLOOKUP($U$28,$AV$24:$BF$34,M40+1))*V42</f>
        <v>1.344616615033099E-2</v>
      </c>
      <c r="AF40" s="28">
        <v>1</v>
      </c>
      <c r="AG40" s="213">
        <f>((($W$39)^M40)*((1-($W$39))^($U$29-M40))*HLOOKUP($U$29,$AV$24:$BF$34,M40+1))*V43</f>
        <v>1.3437713021327194E-2</v>
      </c>
      <c r="AH40" s="28">
        <v>1</v>
      </c>
      <c r="AI40" s="213">
        <f>((($W$39)^M40)*((1-($W$39))^($U$30-M40))*HLOOKUP($U$30,$AV$24:$BF$34,M40+1))*V44</f>
        <v>8.6395729553795479E-3</v>
      </c>
      <c r="AJ40" s="28">
        <v>1</v>
      </c>
      <c r="AK40" s="213">
        <f>((($W$39)^M40)*((1-($W$39))^($U$31-M40))*HLOOKUP($U$31,$AV$24:$BF$34,M40+1))*V45</f>
        <v>3.7075528530702341E-3</v>
      </c>
      <c r="AL40" s="28">
        <v>1</v>
      </c>
      <c r="AM40" s="213">
        <f>((($W$39)^Q40)*((1-($W$39))^($U$32-Q40))*HLOOKUP($U$32,$AV$24:$BF$34,Q40+1))*V46</f>
        <v>1.0629094508774789E-3</v>
      </c>
      <c r="AN40" s="28">
        <v>1</v>
      </c>
      <c r="AO40" s="213">
        <f>((($W$39)^Q40)*((1-($W$39))^($U$33-Q40))*HLOOKUP($U$33,$AV$24:$BF$34,Q40+1))*V47</f>
        <v>1.9670570122149884E-4</v>
      </c>
      <c r="AP40" s="28">
        <v>1</v>
      </c>
      <c r="AQ40" s="213">
        <f>((($W$39)^Q40)*((1-($W$39))^($U$34-Q40))*HLOOKUP($U$34,$AV$24:$BF$34,Q40+1))*V48</f>
        <v>2.1452848980610094E-5</v>
      </c>
      <c r="AR40" s="28">
        <v>1</v>
      </c>
      <c r="AS40" s="213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210">
        <f>(($C$24)^M27)*((1-($C$24))^($B$21-M27))*HLOOKUP($B$21,$AV$24:$BF$34,M27+1)</f>
        <v>0.26159301842169036</v>
      </c>
      <c r="O41" s="72">
        <v>2</v>
      </c>
      <c r="P41" s="210">
        <f t="shared" si="30"/>
        <v>0.26159301842169036</v>
      </c>
      <c r="Q41" s="28">
        <v>2</v>
      </c>
      <c r="R41" s="211">
        <f>P41*N39+P40*N40+P39*N41</f>
        <v>1.8057838932088472E-2</v>
      </c>
      <c r="S41" s="72">
        <v>2</v>
      </c>
      <c r="T41" s="212">
        <f t="shared" si="33"/>
        <v>7.4625000000000011E-5</v>
      </c>
      <c r="U41" s="138">
        <v>2</v>
      </c>
      <c r="V41" s="86">
        <f>R41*T39+T40*R40+R39*T41</f>
        <v>1.7833975265218092E-2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8.071724342993929E-3</v>
      </c>
      <c r="AD41" s="28">
        <v>2</v>
      </c>
      <c r="AE41" s="213">
        <f>((($W$39)^M41)*((1-($W$39))^($U$28-M41))*HLOOKUP($U$28,$AV$24:$BF$34,M41+1))*V42</f>
        <v>2.7643240244263456E-2</v>
      </c>
      <c r="AF41" s="28">
        <v>2</v>
      </c>
      <c r="AG41" s="213">
        <f>((($W$39)^M41)*((1-($W$39))^($U$29-M41))*HLOOKUP($U$29,$AV$24:$BF$34,M41+1))*V43</f>
        <v>4.1438792875492375E-2</v>
      </c>
      <c r="AH41" s="28">
        <v>2</v>
      </c>
      <c r="AI41" s="213">
        <f>((($W$39)^M41)*((1-($W$39))^($U$30-M41))*HLOOKUP($U$30,$AV$24:$BF$34,M41+1))*V44</f>
        <v>3.5523254456813216E-2</v>
      </c>
      <c r="AJ41" s="28">
        <v>2</v>
      </c>
      <c r="AK41" s="213">
        <f>((($W$39)^M41)*((1-($W$39))^($U$31-M41))*HLOOKUP($U$31,$AV$24:$BF$34,M41+1))*V45</f>
        <v>1.9055389672022246E-2</v>
      </c>
      <c r="AL41" s="28">
        <v>2</v>
      </c>
      <c r="AM41" s="213">
        <f>((($W$39)^Q41)*((1-($W$39))^($U$32-Q41))*HLOOKUP($U$32,$AV$24:$BF$34,Q41+1))*V46</f>
        <v>6.5555328515216277E-3</v>
      </c>
      <c r="AN41" s="28">
        <v>2</v>
      </c>
      <c r="AO41" s="213">
        <f>((($W$39)^Q41)*((1-($W$39))^($U$33-Q41))*HLOOKUP($U$33,$AV$24:$BF$34,Q41+1))*V47</f>
        <v>1.4153878610609926E-3</v>
      </c>
      <c r="AP41" s="28">
        <v>2</v>
      </c>
      <c r="AQ41" s="213">
        <f>((($W$39)^Q41)*((1-($W$39))^($U$34-Q41))*HLOOKUP($U$34,$AV$24:$BF$34,Q41+1))*V48</f>
        <v>1.7641497261442347E-4</v>
      </c>
      <c r="AR41" s="28">
        <v>2</v>
      </c>
      <c r="AS41" s="213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210">
        <f>(($C$24)^M28)*((1-($C$24))^($B$21-M28))*HLOOKUP($B$21,$AV$24:$BF$34,M28+1)</f>
        <v>0.34160613955481417</v>
      </c>
      <c r="O42" s="72">
        <v>3</v>
      </c>
      <c r="P42" s="210">
        <f t="shared" si="30"/>
        <v>0.34160613955481417</v>
      </c>
      <c r="Q42" s="28">
        <v>3</v>
      </c>
      <c r="R42" s="211">
        <f>P42*N39+P41*N40+P40*N41+P39*N42</f>
        <v>6.2883111927188803E-2</v>
      </c>
      <c r="S42" s="72">
        <v>3</v>
      </c>
      <c r="T42" s="212">
        <f t="shared" si="33"/>
        <v>1.2500000000000002E-7</v>
      </c>
      <c r="U42" s="138">
        <v>3</v>
      </c>
      <c r="V42" s="86">
        <f>R42*T39+R41*T40+R40*T41+R39*T42</f>
        <v>6.2212968648501427E-2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1.8943410403102316E-2</v>
      </c>
      <c r="AF42" s="28">
        <v>3</v>
      </c>
      <c r="AG42" s="213">
        <f>((($W$39)^M42)*((1-($W$39))^($U$29-M42))*HLOOKUP($U$29,$AV$24:$BF$34,M42+1))*V43</f>
        <v>5.6794504053301519E-2</v>
      </c>
      <c r="AH42" s="28">
        <v>3</v>
      </c>
      <c r="AI42" s="213">
        <f>((($W$39)^M42)*((1-($W$39))^($U$30-M42))*HLOOKUP($U$30,$AV$24:$BF$34,M42+1))*V44</f>
        <v>7.3030323010222359E-2</v>
      </c>
      <c r="AJ42" s="28">
        <v>3</v>
      </c>
      <c r="AK42" s="213">
        <f>((($W$39)^M42)*((1-($W$39))^($U$31-M42))*HLOOKUP($U$31,$AV$24:$BF$34,M42+1))*V45</f>
        <v>5.2233249613067946E-2</v>
      </c>
      <c r="AL42" s="28">
        <v>3</v>
      </c>
      <c r="AM42" s="213">
        <f>((($W$39)^Q42)*((1-($W$39))^($U$32-Q42))*HLOOKUP($U$32,$AV$24:$BF$34,Q42+1))*V46</f>
        <v>2.2461937913223571E-2</v>
      </c>
      <c r="AN42" s="28">
        <v>3</v>
      </c>
      <c r="AO42" s="213">
        <f>((($W$39)^Q42)*((1-($W$39))^($U$33-Q42))*HLOOKUP($U$33,$AV$24:$BF$34,Q42+1))*V47</f>
        <v>5.8196375449607396E-3</v>
      </c>
      <c r="AP42" s="28">
        <v>3</v>
      </c>
      <c r="AQ42" s="213">
        <f>((($W$39)^Q42)*((1-($W$39))^($U$34-Q42))*HLOOKUP($U$34,$AV$24:$BF$34,Q42+1))*V48</f>
        <v>8.4625783322431431E-4</v>
      </c>
      <c r="AR42" s="28">
        <v>3</v>
      </c>
      <c r="AS42" s="213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210">
        <f>(($C$24)^M29)*((1-($C$24))^($B$21-M29))*HLOOKUP($B$21,$AV$24:$BF$34,M29+1)</f>
        <v>0.22304638572851768</v>
      </c>
      <c r="O43" s="72">
        <v>4</v>
      </c>
      <c r="P43" s="210">
        <f t="shared" si="30"/>
        <v>0.22304638572851768</v>
      </c>
      <c r="Q43" s="28">
        <v>4</v>
      </c>
      <c r="R43" s="211">
        <f>P43*N39+P42*N40+P41*N41+P40*N42+P39*N43</f>
        <v>0.14370490530263877</v>
      </c>
      <c r="S43" s="72">
        <v>4</v>
      </c>
      <c r="T43" s="212">
        <f t="shared" si="33"/>
        <v>0</v>
      </c>
      <c r="U43" s="138">
        <v>4</v>
      </c>
      <c r="V43" s="86">
        <f>T43*R39+T42*R40+T41*R41+T40*R42+T39*R43</f>
        <v>0.14249527737151696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2.9190181471552064E-2</v>
      </c>
      <c r="AH43" s="28">
        <v>4</v>
      </c>
      <c r="AI43" s="213">
        <f>((($W$39)^M43)*((1-($W$39))^($U$30-M43))*HLOOKUP($U$30,$AV$24:$BF$34,M43+1))*V44</f>
        <v>7.5069530657184538E-2</v>
      </c>
      <c r="AJ43" s="28">
        <v>4</v>
      </c>
      <c r="AK43" s="213">
        <f>((($W$39)^M43)*((1-($W$39))^($U$31-M43))*HLOOKUP($U$31,$AV$24:$BF$34,M43+1))*V45</f>
        <v>8.0537618584893569E-2</v>
      </c>
      <c r="AL43" s="28">
        <v>4</v>
      </c>
      <c r="AM43" s="213">
        <f>((($W$39)^Q43)*((1-($W$39))^($U$32-Q43))*HLOOKUP($U$32,$AV$24:$BF$34,Q43+1))*V46</f>
        <v>4.6178274100211414E-2</v>
      </c>
      <c r="AN43" s="28">
        <v>4</v>
      </c>
      <c r="AO43" s="213">
        <f>((($W$39)^Q43)*((1-($W$39))^($U$33-Q43))*HLOOKUP($U$33,$AV$24:$BF$34,Q43+1))*V47</f>
        <v>1.495534461192171E-2</v>
      </c>
      <c r="AP43" s="28">
        <v>4</v>
      </c>
      <c r="AQ43" s="213">
        <f>((($W$39)^Q43)*((1-($W$39))^($U$34-Q43))*HLOOKUP($U$34,$AV$24:$BF$34,Q43+1))*V48</f>
        <v>2.6096630441942419E-3</v>
      </c>
      <c r="AR43" s="28">
        <v>4</v>
      </c>
      <c r="AS43" s="213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210">
        <f>(($C$24)^M30)*((1-($C$24))^($B$21-M30))*HLOOKUP($B$21,$AV$24:$BF$34,M30+1)</f>
        <v>5.8253859548764761E-2</v>
      </c>
      <c r="O44" s="72">
        <v>5</v>
      </c>
      <c r="P44" s="210">
        <f t="shared" si="30"/>
        <v>5.8253859548764761E-2</v>
      </c>
      <c r="Q44" s="28">
        <v>5</v>
      </c>
      <c r="R44" s="211">
        <f>P44*N39+P43*N40+P42*N41+P41*N42+P40*N43+P39*N44</f>
        <v>0.22519168851696308</v>
      </c>
      <c r="S44" s="72">
        <v>5</v>
      </c>
      <c r="T44" s="212">
        <f t="shared" si="33"/>
        <v>0</v>
      </c>
      <c r="U44" s="138">
        <v>5</v>
      </c>
      <c r="V44" s="86">
        <f>T44*R39+T43*R40+T42*R41+T41*R42+T40*R43+T39*R44</f>
        <v>0.22396944105942745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3.0866271437967777E-2</v>
      </c>
      <c r="AJ44" s="28">
        <v>5</v>
      </c>
      <c r="AK44" s="213">
        <f>((($W$39)^M44)*((1-($W$39))^($U$31-M44))*HLOOKUP($U$31,$AV$24:$BF$34,M44+1))*V45</f>
        <v>6.622916047153761E-2</v>
      </c>
      <c r="AL44" s="28">
        <v>5</v>
      </c>
      <c r="AM44" s="213">
        <f>((($W$39)^Q44)*((1-($W$39))^($U$32-Q44))*HLOOKUP($U$32,$AV$24:$BF$34,Q44+1))*V46</f>
        <v>5.6961238352071258E-2</v>
      </c>
      <c r="AN44" s="28">
        <v>5</v>
      </c>
      <c r="AO44" s="213">
        <f>((($W$39)^Q44)*((1-($W$39))^($U$33-Q44))*HLOOKUP($U$33,$AV$24:$BF$34,Q44+1))*V47</f>
        <v>2.4596702401029083E-2</v>
      </c>
      <c r="AP44" s="28">
        <v>5</v>
      </c>
      <c r="AQ44" s="213">
        <f>((($W$39)^Q44)*((1-($W$39))^($U$34-Q44))*HLOOKUP($U$34,$AV$24:$BF$34,Q44+1))*V48</f>
        <v>5.3650640398684619E-3</v>
      </c>
      <c r="AR44" s="28">
        <v>5</v>
      </c>
      <c r="AS44" s="213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0.24505898462124065</v>
      </c>
      <c r="S45" s="72">
        <v>6</v>
      </c>
      <c r="T45" s="212">
        <f t="shared" si="33"/>
        <v>0</v>
      </c>
      <c r="U45" s="138">
        <v>6</v>
      </c>
      <c r="V45" s="86">
        <f>T45*R39+T44*R40+T43*R41+T42*R42+T41*R43+T40*R44+T39*R45</f>
        <v>0.24475636150370284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2.2692820313016934E-2</v>
      </c>
      <c r="AL45" s="28">
        <v>6</v>
      </c>
      <c r="AM45" s="213">
        <f>((($W$39)^Q45)*((1-($W$39))^($U$32-Q45))*HLOOKUP($U$32,$AV$24:$BF$34,Q45+1))*V46</f>
        <v>3.9034501948306884E-2</v>
      </c>
      <c r="AN45" s="28">
        <v>6</v>
      </c>
      <c r="AO45" s="213">
        <f>((($W$39)^Q45)*((1-($W$39))^($U$33-Q45))*HLOOKUP($U$33,$AV$24:$BF$34,Q45+1))*V47</f>
        <v>2.5283510038716935E-2</v>
      </c>
      <c r="AP45" s="28">
        <v>6</v>
      </c>
      <c r="AQ45" s="213">
        <f>((($W$39)^Q45)*((1-($W$39))^($U$34-Q45))*HLOOKUP($U$34,$AV$24:$BF$34,Q45+1))*V48</f>
        <v>7.3531618614966982E-3</v>
      </c>
      <c r="AR45" s="28">
        <v>6</v>
      </c>
      <c r="AS45" s="213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0.182865635448895</v>
      </c>
      <c r="S46" s="72">
        <v>7</v>
      </c>
      <c r="T46" s="212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1.1464129340537029E-2</v>
      </c>
      <c r="AN46" s="28">
        <v>7</v>
      </c>
      <c r="AO46" s="213">
        <f>((($W$39)^Q46)*((1-($W$39))^($U$33-Q46))*HLOOKUP($U$33,$AV$24:$BF$34,Q46+1))*V47</f>
        <v>1.4851140134974345E-2</v>
      </c>
      <c r="AP46" s="28">
        <v>7</v>
      </c>
      <c r="AQ46" s="213">
        <f>((($W$39)^Q46)*((1-($W$39))^($U$34-Q46))*HLOOKUP($U$34,$AV$24:$BF$34,Q46+1))*V48</f>
        <v>6.4786991841527947E-3</v>
      </c>
      <c r="AR46" s="28">
        <v>7</v>
      </c>
      <c r="AS46" s="213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8.9549442335798451E-2</v>
      </c>
      <c r="S47" s="72">
        <v>8</v>
      </c>
      <c r="T47" s="212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3.8164562119646778E-3</v>
      </c>
      <c r="AP47" s="28">
        <v>8</v>
      </c>
      <c r="AQ47" s="213">
        <f>((($W$39)^Q47)*((1-($W$39))^($U$34-Q47))*HLOOKUP($U$34,$AV$24:$BF$34,Q47+1))*V48</f>
        <v>3.329801149553713E-3</v>
      </c>
      <c r="AR47" s="28">
        <v>8</v>
      </c>
      <c r="AS47" s="213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2.5986625654177354E-2</v>
      </c>
      <c r="S48" s="72">
        <v>9</v>
      </c>
      <c r="T48" s="212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7.6061741411094519E-4</v>
      </c>
      <c r="AR48" s="28">
        <v>9</v>
      </c>
      <c r="AS48" s="213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3.3935121523272112E-3</v>
      </c>
      <c r="S49" s="72">
        <v>10</v>
      </c>
      <c r="T49" s="212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18"/>
      <c r="J50" s="218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18"/>
      <c r="X50" s="158"/>
      <c r="Y50" s="158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B38" sqref="B3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5</v>
      </c>
      <c r="H1" s="13"/>
      <c r="J1" s="195" t="s">
        <v>1</v>
      </c>
      <c r="K1" s="192">
        <f>IF(D3="SI",COUNTIF($J$6:$J$18,"RAP"),0)</f>
        <v>0</v>
      </c>
      <c r="L1" s="13"/>
      <c r="P1" s="304"/>
      <c r="Q1" s="304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145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201">
        <v>0.45</v>
      </c>
      <c r="R2" s="151"/>
      <c r="S2" s="151"/>
      <c r="Y2" t="s">
        <v>3</v>
      </c>
      <c r="Z2" s="202">
        <v>0.45</v>
      </c>
      <c r="AI2" s="13"/>
    </row>
    <row r="3" spans="1:70" x14ac:dyDescent="0.25">
      <c r="A3" s="157" t="s">
        <v>4</v>
      </c>
      <c r="B3" s="303" t="s">
        <v>5</v>
      </c>
      <c r="C3" s="303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201">
        <v>0.56999999999999995</v>
      </c>
      <c r="Q3" t="s">
        <v>8</v>
      </c>
      <c r="R3" s="201">
        <v>0.7</v>
      </c>
      <c r="Y3" t="s">
        <v>7</v>
      </c>
      <c r="Z3" s="202">
        <v>0.56999999999999995</v>
      </c>
      <c r="AA3" t="s">
        <v>8</v>
      </c>
      <c r="AB3" s="202">
        <v>0.7</v>
      </c>
      <c r="AI3" s="197">
        <f>SUM(AI5:AI19)</f>
        <v>3.5810000000000004</v>
      </c>
      <c r="AM3" s="197">
        <f>SUM(AM5:AM19)</f>
        <v>3.5809999999999995</v>
      </c>
      <c r="AN3" s="197">
        <f>SUM(AN5:AN19)</f>
        <v>2.5809999999999995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3.7016495474050388E-3</v>
      </c>
      <c r="BL4">
        <v>0</v>
      </c>
      <c r="BM4">
        <v>0</v>
      </c>
      <c r="BN4" s="107">
        <f>H25*H39</f>
        <v>7.5212464889746827E-4</v>
      </c>
      <c r="BP4">
        <v>1</v>
      </c>
      <c r="BQ4">
        <v>0</v>
      </c>
      <c r="BR4" s="107">
        <f>$H$26*H39</f>
        <v>2.6170460048061655E-3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 t="s">
        <v>32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0.10405850445563736</v>
      </c>
      <c r="P5" s="199">
        <f>P3</f>
        <v>0.56999999999999995</v>
      </c>
      <c r="Q5" s="203">
        <f t="shared" ref="Q5:Q19" si="2">P5*O5</f>
        <v>5.931334753971329E-2</v>
      </c>
      <c r="R5" s="155">
        <f t="shared" ref="R5:R19" si="3">IF($B$17="JC",IF($C$17="JC",$W$1,$V$1*1.1),IF($C$17="JC",$V$1/0.9,$U$1))*Q5/1.5</f>
        <v>5.931334753971329E-2</v>
      </c>
      <c r="S5" s="171">
        <f t="shared" ref="S5:S19" si="4">(1-R5)</f>
        <v>0.94068665246028671</v>
      </c>
      <c r="T5" s="172">
        <f>R5*PRODUCT(S6:S19)</f>
        <v>2.929486847442998E-2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2.3364633337307792E-2</v>
      </c>
      <c r="V5" s="18"/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71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93">
        <f>IF(COUNTIF(F5:F10,"IMP")+COUNTIF(J5:J10,"IMP")=0,0,COUNTIF(F5:F10,"IMP")/(COUNTIF(F5:F10,"IMP")+COUNTIF(J5:J10,"IMP")))</f>
        <v>1</v>
      </c>
      <c r="AH5">
        <f>COUNTIF(F5:F10,"IMP")</f>
        <v>1</v>
      </c>
      <c r="AI5" s="196">
        <f t="shared" ref="AI5:AI19" si="9">AN5*$AM$3/$AN$3</f>
        <v>0.62435102673382414</v>
      </c>
      <c r="AK5" s="193">
        <f>IF(COUNTIF(F5:F10,"IMP")+COUNTIF(J5:J10,"IMP")=0,0,COUNTIF(J5:J10,"IMP")/(COUNTIF(F5:F10,"IMP")+COUNTIF(J5:J10,"IMP")))</f>
        <v>0</v>
      </c>
      <c r="AL5">
        <f>COUNTIF(J5:J10,"IMP")</f>
        <v>0</v>
      </c>
      <c r="AM5" s="197">
        <v>0.45</v>
      </c>
      <c r="AN5" s="198">
        <f t="shared" ref="AN5:AN19" si="10">IF(AG5=0,IF(AK5=0,0,AM5),AM5)</f>
        <v>0.45</v>
      </c>
      <c r="AO5">
        <f>1/6</f>
        <v>0.16666666666666666</v>
      </c>
      <c r="BH5">
        <v>0</v>
      </c>
      <c r="BI5">
        <v>2</v>
      </c>
      <c r="BJ5" s="107">
        <f t="shared" si="0"/>
        <v>8.3116504192388332E-3</v>
      </c>
      <c r="BL5">
        <v>1</v>
      </c>
      <c r="BM5">
        <v>1</v>
      </c>
      <c r="BN5" s="107">
        <f>$H$26*H40</f>
        <v>1.2880028826909938E-2</v>
      </c>
      <c r="BP5">
        <f>BP4+1</f>
        <v>2</v>
      </c>
      <c r="BQ5">
        <v>0</v>
      </c>
      <c r="BR5" s="107">
        <f>$H$27*H39</f>
        <v>4.2103677454771041E-3</v>
      </c>
    </row>
    <row r="6" spans="1:70" x14ac:dyDescent="0.25">
      <c r="A6" s="2" t="s">
        <v>35</v>
      </c>
      <c r="B6" s="163">
        <v>10</v>
      </c>
      <c r="C6" s="164">
        <v>10</v>
      </c>
      <c r="E6" s="187" t="s">
        <v>36</v>
      </c>
      <c r="F6" s="162" t="s">
        <v>37</v>
      </c>
      <c r="G6" s="162"/>
      <c r="H6" s="10"/>
      <c r="I6" s="10"/>
      <c r="J6" s="161" t="s">
        <v>32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155">
        <f t="shared" si="3"/>
        <v>0</v>
      </c>
      <c r="S6" s="171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1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155">
        <f t="shared" si="7"/>
        <v>0</v>
      </c>
      <c r="AC6" s="171">
        <f t="shared" si="8"/>
        <v>1</v>
      </c>
      <c r="AD6" s="172">
        <f>AB6*AC5*PRODUCT(AC7:AC19)</f>
        <v>0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193">
        <f>IF(COUNTIF(F11:F18,"IMP")+COUNTIF(J11:J18,"IMP")=0,0,COUNTIF(F11:F18,"IMP")/(COUNTIF(F11:F18,"IMP")+COUNTIF(J11:J18,"IMP")))</f>
        <v>0</v>
      </c>
      <c r="AH6">
        <f>COUNTIF(F11:F18,"IMP")</f>
        <v>0</v>
      </c>
      <c r="AI6" s="196">
        <f t="shared" si="9"/>
        <v>0</v>
      </c>
      <c r="AK6" s="193">
        <f>IF(COUNTIF(F11:F18,"IMP")+COUNTIF(J11:J18,"IMP")=0,0,COUNTIF(J11:J18,"IMP")/(COUNTIF(F11:F18,"IMP")+COUNTIF(J11:J18,"IMP")))</f>
        <v>0</v>
      </c>
      <c r="AL6">
        <f>COUNTIF(J11:J18,"IMP")</f>
        <v>0</v>
      </c>
      <c r="AM6" s="197">
        <v>0.35</v>
      </c>
      <c r="AN6" s="198">
        <f t="shared" si="10"/>
        <v>0</v>
      </c>
      <c r="AO6">
        <f>1/8</f>
        <v>0.125</v>
      </c>
      <c r="BH6">
        <v>0</v>
      </c>
      <c r="BI6">
        <v>3</v>
      </c>
      <c r="BJ6" s="107">
        <f t="shared" si="0"/>
        <v>1.1258101366155305E-2</v>
      </c>
      <c r="BL6">
        <f>BH14+1</f>
        <v>2</v>
      </c>
      <c r="BM6">
        <v>2</v>
      </c>
      <c r="BN6" s="107">
        <f>$H$27*H41</f>
        <v>4.652833129208489E-2</v>
      </c>
      <c r="BP6">
        <f>BL5+1</f>
        <v>2</v>
      </c>
      <c r="BQ6">
        <v>1</v>
      </c>
      <c r="BR6" s="107">
        <f>$H$27*H40</f>
        <v>2.0721706012827041E-2</v>
      </c>
    </row>
    <row r="7" spans="1:70" x14ac:dyDescent="0.25">
      <c r="A7" s="5" t="s">
        <v>40</v>
      </c>
      <c r="B7" s="163">
        <v>11.75</v>
      </c>
      <c r="C7" s="164">
        <v>14.5</v>
      </c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f t="shared" si="1"/>
        <v>0</v>
      </c>
      <c r="P7" s="199">
        <f>P2</f>
        <v>0.45</v>
      </c>
      <c r="Q7" s="203">
        <f t="shared" si="2"/>
        <v>0</v>
      </c>
      <c r="R7" s="155">
        <f t="shared" si="3"/>
        <v>0</v>
      </c>
      <c r="S7" s="171">
        <f t="shared" si="4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71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0</v>
      </c>
      <c r="AH7">
        <f>COUNTIF(J14:J18,"IMP")</f>
        <v>0</v>
      </c>
      <c r="AI7" s="196">
        <f t="shared" si="9"/>
        <v>0</v>
      </c>
      <c r="AK7" s="193">
        <f>IF(COUNTIF(F14:F18,"IMP")+COUNTIF(J14:J18,"IMP")=0,0,COUNTIF(F14:F18,"IMP")/(COUNTIF(F14:F18,"IMP")+COUNTIF(J14:J18,"IMP")))</f>
        <v>0</v>
      </c>
      <c r="AL7">
        <f>COUNTIF(F14:F18,"IMP")</f>
        <v>0</v>
      </c>
      <c r="AM7" s="197">
        <v>0.05</v>
      </c>
      <c r="AN7" s="198">
        <f t="shared" si="10"/>
        <v>0</v>
      </c>
      <c r="AO7">
        <v>1</v>
      </c>
      <c r="BH7">
        <v>0</v>
      </c>
      <c r="BI7">
        <v>4</v>
      </c>
      <c r="BJ7" s="107">
        <f t="shared" si="0"/>
        <v>1.0246325682093903E-2</v>
      </c>
      <c r="BL7">
        <f>BH23+1</f>
        <v>3</v>
      </c>
      <c r="BM7">
        <v>3</v>
      </c>
      <c r="BN7" s="107">
        <f>$H$28*H42</f>
        <v>6.2161050767942316E-2</v>
      </c>
      <c r="BP7">
        <f>BP5+1</f>
        <v>3</v>
      </c>
      <c r="BQ7">
        <v>0</v>
      </c>
      <c r="BR7" s="107">
        <f>$H$28*H39</f>
        <v>4.1528191089562592E-3</v>
      </c>
    </row>
    <row r="8" spans="1:70" x14ac:dyDescent="0.25">
      <c r="A8" s="5" t="s">
        <v>44</v>
      </c>
      <c r="B8" s="163">
        <v>10.5</v>
      </c>
      <c r="C8" s="164">
        <v>14.25</v>
      </c>
      <c r="E8" s="187" t="s">
        <v>41</v>
      </c>
      <c r="F8" s="162" t="s">
        <v>32</v>
      </c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4.8027002056448012E-2</v>
      </c>
      <c r="P8" s="199">
        <f>P2</f>
        <v>0.45</v>
      </c>
      <c r="Q8" s="203">
        <f t="shared" si="2"/>
        <v>2.1612150925401606E-2</v>
      </c>
      <c r="R8" s="155">
        <f t="shared" si="3"/>
        <v>2.1612150925401603E-2</v>
      </c>
      <c r="S8" s="171">
        <f t="shared" si="4"/>
        <v>0.97838784907459841</v>
      </c>
      <c r="T8" s="172">
        <f>R8*PRODUCT(S5:S7)*PRODUCT(S9:S19)</f>
        <v>1.0262922280123463E-2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7.9586693062004554E-3</v>
      </c>
      <c r="W8" s="181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155">
        <f t="shared" si="7"/>
        <v>0</v>
      </c>
      <c r="AC8" s="171">
        <f t="shared" si="8"/>
        <v>1</v>
      </c>
      <c r="AD8" s="172">
        <f>AB8*PRODUCT(AC5:AC7)*PRODUCT(AC9:AC19)</f>
        <v>0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93">
        <f>IF(COUNTIF(F6:F18,"IMP")+COUNTIF(J6:J18,"IMP")=0,0,COUNTIF(F6:F18,"IMP")/(COUNTIF(F6:F18,"IMP")+COUNTIF(J6:J18,"IMP")))</f>
        <v>1</v>
      </c>
      <c r="AH8">
        <f>COUNTIF(F6:F18,"IMP")</f>
        <v>1</v>
      </c>
      <c r="AI8" s="196">
        <f t="shared" si="9"/>
        <v>0.62435102673382414</v>
      </c>
      <c r="AK8" s="193">
        <f>IF(COUNTIF(F6:F18,"IMP")+COUNTIF(J6:J18,"IMP")=0,0,COUNTIF(J6:J18,"IMP")/(COUNTIF(F6:F18,"IMP")+COUNTIF(J6:J18,"IMP")))</f>
        <v>0</v>
      </c>
      <c r="AL8">
        <f>COUNTIF(J6:J18,"IMP")</f>
        <v>0</v>
      </c>
      <c r="AM8" s="197">
        <v>0.45</v>
      </c>
      <c r="AN8" s="198">
        <f t="shared" si="10"/>
        <v>0.45</v>
      </c>
      <c r="AO8">
        <f>1/13</f>
        <v>7.6923076923076927E-2</v>
      </c>
      <c r="BH8">
        <v>0</v>
      </c>
      <c r="BI8">
        <v>5</v>
      </c>
      <c r="BJ8" s="107">
        <f t="shared" si="0"/>
        <v>6.6046113867802986E-3</v>
      </c>
      <c r="BL8">
        <f>BH31+1</f>
        <v>4</v>
      </c>
      <c r="BM8">
        <v>4</v>
      </c>
      <c r="BN8" s="107">
        <f>$H$29*H43</f>
        <v>3.8216476829045706E-2</v>
      </c>
      <c r="BP8">
        <f>BP6+1</f>
        <v>3</v>
      </c>
      <c r="BQ8">
        <v>1</v>
      </c>
      <c r="BR8" s="107">
        <f>$H$28*H40</f>
        <v>2.0438475188463773E-2</v>
      </c>
    </row>
    <row r="9" spans="1:70" x14ac:dyDescent="0.25">
      <c r="A9" s="5" t="s">
        <v>47</v>
      </c>
      <c r="B9" s="163">
        <v>11.25</v>
      </c>
      <c r="C9" s="164">
        <v>16.5</v>
      </c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155">
        <f t="shared" si="3"/>
        <v>0</v>
      </c>
      <c r="S9" s="171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5.549786904300659E-2</v>
      </c>
      <c r="Z9" s="69">
        <f>Z2</f>
        <v>0.45</v>
      </c>
      <c r="AA9" s="69">
        <f t="shared" si="6"/>
        <v>2.4974041069352967E-2</v>
      </c>
      <c r="AB9" s="155">
        <f t="shared" si="7"/>
        <v>2.4974041069352967E-2</v>
      </c>
      <c r="AC9" s="171">
        <f t="shared" si="8"/>
        <v>0.97502595893064703</v>
      </c>
      <c r="AD9" s="172">
        <f>AB9*PRODUCT(AC5:AC8)*PRODUCT(AC10:AC19)</f>
        <v>1.8209530305581055E-2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6.1331957157078135E-3</v>
      </c>
      <c r="AG9" s="193">
        <f>IF(COUNTIF(J6:J13,"IMP")+COUNTIF(F6:F13,"IMP")=0,0,COUNTIF(J6:J13,"IMP")/(COUNTIF(J6:J13,"IMP")+COUNTIF(F6:F13,"IMP")))</f>
        <v>0</v>
      </c>
      <c r="AH9">
        <f>COUNTIF(J6:J13,"IMP")</f>
        <v>0</v>
      </c>
      <c r="AI9" s="196">
        <f t="shared" si="9"/>
        <v>5.549786904300659E-2</v>
      </c>
      <c r="AK9" s="193">
        <f>IF(COUNTIF(J6:J13,"IMP")+COUNTIF(F6:F13,"IMP")=0,0,COUNTIF(F6:F13,"IMP")/(COUNTIF(J6:J13,"IMP")+COUNTIF(F6:F13,"IMP")))</f>
        <v>1</v>
      </c>
      <c r="AL9">
        <f>COUNTIF(F6:F13,"IMP")</f>
        <v>1</v>
      </c>
      <c r="AM9" s="197">
        <v>0.04</v>
      </c>
      <c r="AN9" s="198">
        <f t="shared" si="10"/>
        <v>0.04</v>
      </c>
      <c r="AO9">
        <v>1</v>
      </c>
      <c r="BH9">
        <v>0</v>
      </c>
      <c r="BI9">
        <v>6</v>
      </c>
      <c r="BJ9" s="107">
        <f t="shared" si="0"/>
        <v>3.095459386006306E-3</v>
      </c>
      <c r="BL9">
        <f>BH38+1</f>
        <v>5</v>
      </c>
      <c r="BM9">
        <v>5</v>
      </c>
      <c r="BN9" s="107">
        <f>$H$30*H44</f>
        <v>1.2047287325553966E-2</v>
      </c>
      <c r="BP9">
        <f>BL6+1</f>
        <v>3</v>
      </c>
      <c r="BQ9">
        <v>2</v>
      </c>
      <c r="BR9" s="107">
        <f>$H$28*H41</f>
        <v>4.5892367360353258E-2</v>
      </c>
    </row>
    <row r="10" spans="1:70" x14ac:dyDescent="0.25">
      <c r="A10" s="6" t="s">
        <v>50</v>
      </c>
      <c r="B10" s="163">
        <v>11.5</v>
      </c>
      <c r="C10" s="164">
        <v>16.25</v>
      </c>
      <c r="E10" s="187" t="s">
        <v>36</v>
      </c>
      <c r="F10" s="162" t="s">
        <v>32</v>
      </c>
      <c r="G10" s="162"/>
      <c r="H10" s="10"/>
      <c r="I10" s="10"/>
      <c r="J10" s="161" t="s">
        <v>32</v>
      </c>
      <c r="K10" s="161"/>
      <c r="L10" s="10"/>
      <c r="M10" s="10"/>
      <c r="O10" s="67">
        <f t="shared" si="1"/>
        <v>0.43357710189848903</v>
      </c>
      <c r="P10" s="199">
        <f>P3</f>
        <v>0.56999999999999995</v>
      </c>
      <c r="Q10" s="203">
        <f t="shared" si="2"/>
        <v>0.24713894808213871</v>
      </c>
      <c r="R10" s="155">
        <f t="shared" si="3"/>
        <v>0.24713894808213874</v>
      </c>
      <c r="S10" s="171">
        <f t="shared" si="4"/>
        <v>0.75286105191786123</v>
      </c>
      <c r="T10" s="172">
        <f>R10*PRODUCT(S5:S9)*PRODUCT(S11:S19)</f>
        <v>0.15251426369489451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6.8206138909292086E-2</v>
      </c>
      <c r="W10" s="181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5">
        <f t="shared" si="7"/>
        <v>0</v>
      </c>
      <c r="AC10" s="171">
        <f t="shared" si="8"/>
        <v>1</v>
      </c>
      <c r="AD10" s="172">
        <f>AB10*PRODUCT(AC5:AC9)*PRODUCT(AC11:AC19)</f>
        <v>0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93">
        <f>IF(COUNTIF(F11:F18,"RAP")+COUNTIF(J11:J18,"RAP")=0,0,COUNTIF(F11:F18,"RAP")/(COUNTIF(F11:F18,"RAP")+COUNTIF(J11:J18,"RAP")))</f>
        <v>1</v>
      </c>
      <c r="AH10">
        <f>COUNTIF(F11:F18,"RAP")</f>
        <v>5</v>
      </c>
      <c r="AI10" s="196">
        <f t="shared" si="9"/>
        <v>0.69372336303758242</v>
      </c>
      <c r="AK10" s="193">
        <f>IF(COUNTIF(F11:F18,"RAP")+COUNTIF(J11:J18,"RAP")=0,0,COUNTIF(J11:J18,"RAP")/(COUNTIF(F11:F18,"RAP")+COUNTIF(J11:J18,"RAP")))</f>
        <v>0</v>
      </c>
      <c r="AL10">
        <f>COUNTIF(J11:J18,"RAP")</f>
        <v>0</v>
      </c>
      <c r="AM10" s="197">
        <v>0.5</v>
      </c>
      <c r="AN10" s="198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1.0656745997078528E-3</v>
      </c>
      <c r="BL10">
        <f>BH44+1</f>
        <v>6</v>
      </c>
      <c r="BM10">
        <v>6</v>
      </c>
      <c r="BN10" s="107">
        <f>$H$31*H45</f>
        <v>2.0585222477512706E-3</v>
      </c>
      <c r="BP10">
        <f>BP7+1</f>
        <v>4</v>
      </c>
      <c r="BQ10">
        <v>0</v>
      </c>
      <c r="BR10" s="107">
        <f>$H$29*H39</f>
        <v>2.8052547917128382E-3</v>
      </c>
    </row>
    <row r="11" spans="1:70" x14ac:dyDescent="0.25">
      <c r="A11" s="6" t="s">
        <v>53</v>
      </c>
      <c r="B11" s="163">
        <v>17.5</v>
      </c>
      <c r="C11" s="164">
        <v>10.5</v>
      </c>
      <c r="E11" s="187" t="s">
        <v>54</v>
      </c>
      <c r="F11" s="162" t="s">
        <v>32</v>
      </c>
      <c r="G11" s="162"/>
      <c r="H11" s="10"/>
      <c r="I11" s="10"/>
      <c r="J11" s="161" t="s">
        <v>32</v>
      </c>
      <c r="K11" s="161"/>
      <c r="L11" s="10"/>
      <c r="M11" s="10"/>
      <c r="O11" s="67">
        <f t="shared" si="1"/>
        <v>0.43357710189848903</v>
      </c>
      <c r="P11" s="199">
        <f>P3</f>
        <v>0.56999999999999995</v>
      </c>
      <c r="Q11" s="203">
        <f t="shared" si="2"/>
        <v>0.24713894808213871</v>
      </c>
      <c r="R11" s="155">
        <f t="shared" si="3"/>
        <v>0.24713894808213874</v>
      </c>
      <c r="S11" s="171">
        <f t="shared" si="4"/>
        <v>0.75286105191786123</v>
      </c>
      <c r="T11" s="172">
        <f>R11*PRODUCT(S5:S10)*PRODUCT(S12:S19)</f>
        <v>0.15251426369489449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1.8140838544689807E-2</v>
      </c>
      <c r="W11" s="181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5">
        <f t="shared" si="7"/>
        <v>0</v>
      </c>
      <c r="AC11" s="171">
        <f t="shared" si="8"/>
        <v>1</v>
      </c>
      <c r="AD11" s="172">
        <f>AB11*PRODUCT(AC5:AC10)*PRODUCT(AC12:AC19)</f>
        <v>0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93">
        <f>IF(COUNTIF(F11:F18,"RAP")+COUNTIF(J11:J18,"RAP")=0,0,COUNTIF(F11:F18,"RAP")/(COUNTIF(F11:F18,"RAP")+COUNTIF(J11:J18,"RAP")))</f>
        <v>1</v>
      </c>
      <c r="AH11">
        <f>COUNTIF(F11:F18,"RAP")</f>
        <v>5</v>
      </c>
      <c r="AI11" s="196">
        <f t="shared" si="9"/>
        <v>0.69372336303758242</v>
      </c>
      <c r="AK11" s="193">
        <f>IF(COUNTIF(F11:F18,"RAP")+COUNTIF(J11:J18,"RAP")=0,0,COUNTIF(J11:J18,"RAP")/(COUNTIF(F11:F18,"RAP")+COUNTIF(J11:J18,"RAP")))</f>
        <v>0</v>
      </c>
      <c r="AL11">
        <f>COUNTIF(J11:J18,"RAP")</f>
        <v>0</v>
      </c>
      <c r="AM11" s="197">
        <v>0.5</v>
      </c>
      <c r="AN11" s="198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2.6891739278451924E-4</v>
      </c>
      <c r="BL11">
        <f>BH50+1</f>
        <v>7</v>
      </c>
      <c r="BM11">
        <v>7</v>
      </c>
      <c r="BN11" s="107">
        <f>$H$32*H46</f>
        <v>1.9513359983311461E-4</v>
      </c>
      <c r="BP11">
        <f>BP8+1</f>
        <v>4</v>
      </c>
      <c r="BQ11">
        <v>1</v>
      </c>
      <c r="BR11" s="107">
        <f>$H$29*H40</f>
        <v>1.3806315409715057E-2</v>
      </c>
    </row>
    <row r="12" spans="1:70" x14ac:dyDescent="0.25">
      <c r="A12" s="6" t="s">
        <v>57</v>
      </c>
      <c r="B12" s="163">
        <v>12</v>
      </c>
      <c r="C12" s="164">
        <v>17.5</v>
      </c>
      <c r="E12" s="187" t="s">
        <v>54</v>
      </c>
      <c r="F12" s="162" t="s">
        <v>1</v>
      </c>
      <c r="G12" s="162"/>
      <c r="H12" s="10"/>
      <c r="I12" s="10"/>
      <c r="J12" s="161" t="s">
        <v>144</v>
      </c>
      <c r="K12" s="161"/>
      <c r="L12" s="10"/>
      <c r="M12" s="10"/>
      <c r="O12" s="67">
        <f t="shared" si="1"/>
        <v>3.4686168151879117E-4</v>
      </c>
      <c r="P12" s="199">
        <f>P2</f>
        <v>0.45</v>
      </c>
      <c r="Q12" s="203">
        <f t="shared" si="2"/>
        <v>1.5608775668345603E-4</v>
      </c>
      <c r="R12" s="155">
        <f t="shared" si="3"/>
        <v>1.5608775668345603E-4</v>
      </c>
      <c r="S12" s="171">
        <f t="shared" si="4"/>
        <v>0.99984391224331659</v>
      </c>
      <c r="T12" s="172">
        <f>R12*PRODUCT(S5:S11)*PRODUCT(S13:S19)</f>
        <v>7.2530509965317694E-5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8.6158326210324467E-6</v>
      </c>
      <c r="W12" s="182" t="s">
        <v>58</v>
      </c>
      <c r="X12" s="15" t="s">
        <v>59</v>
      </c>
      <c r="Y12" s="69">
        <f t="shared" si="5"/>
        <v>3.4686168151879112E-4</v>
      </c>
      <c r="Z12" s="69">
        <f>Z2</f>
        <v>0.45</v>
      </c>
      <c r="AA12" s="69">
        <f t="shared" si="6"/>
        <v>1.56087756683456E-4</v>
      </c>
      <c r="AB12" s="155">
        <f t="shared" si="7"/>
        <v>1.56087756683456E-4</v>
      </c>
      <c r="AC12" s="171">
        <f t="shared" si="8"/>
        <v>0.99984391224331659</v>
      </c>
      <c r="AD12" s="172">
        <f>AB12*PRODUCT(AC5:AC11)*PRODUCT(AC13:AC19)</f>
        <v>1.1098460301193453E-4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3.7363665135570348E-5</v>
      </c>
      <c r="AG12" s="193">
        <f>IF(COUNTA(F6:F10)+COUNTA(J6:J10)=0,0,COUNTA(F6:F10)/(COUNTA(F6:F10)+COUNTA(J6:J10)))</f>
        <v>0.5</v>
      </c>
      <c r="AH12">
        <f>COUNTA(J6:J10)</f>
        <v>3</v>
      </c>
      <c r="AI12" s="196">
        <f t="shared" si="9"/>
        <v>1.3874467260751647E-3</v>
      </c>
      <c r="AK12" s="193">
        <f>IF(COUNTA(J6:J10)+COUNTA(F6:F10)=0,0,COUNTA(J6:J10)/(COUNTA(J6:J10)+COUNTA(F6:F10)))</f>
        <v>0.5</v>
      </c>
      <c r="AL12">
        <f>COUNTA(F6:F10)</f>
        <v>3</v>
      </c>
      <c r="AM12" s="197">
        <v>1E-3</v>
      </c>
      <c r="AN12" s="198">
        <f t="shared" si="10"/>
        <v>1E-3</v>
      </c>
      <c r="AO12">
        <f>1/6</f>
        <v>0.16666666666666666</v>
      </c>
      <c r="BH12">
        <v>0</v>
      </c>
      <c r="BI12">
        <v>9</v>
      </c>
      <c r="BJ12" s="107">
        <f t="shared" si="0"/>
        <v>4.9053640163572095E-5</v>
      </c>
      <c r="BL12">
        <f>BH54+1</f>
        <v>8</v>
      </c>
      <c r="BM12">
        <v>8</v>
      </c>
      <c r="BN12" s="107">
        <f>$H$33*H47</f>
        <v>1.0243809231600734E-5</v>
      </c>
      <c r="BP12">
        <f>BP9+1</f>
        <v>4</v>
      </c>
      <c r="BQ12">
        <v>2</v>
      </c>
      <c r="BR12" s="107">
        <f>$H$29*H41</f>
        <v>3.1000575768645362E-2</v>
      </c>
    </row>
    <row r="13" spans="1:70" x14ac:dyDescent="0.25">
      <c r="A13" s="7" t="s">
        <v>60</v>
      </c>
      <c r="B13" s="163">
        <v>6.5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 t="s">
        <v>32</v>
      </c>
      <c r="K13" s="161"/>
      <c r="L13" s="10"/>
      <c r="M13" s="10"/>
      <c r="O13" s="67">
        <f t="shared" si="1"/>
        <v>0.10405850445563736</v>
      </c>
      <c r="P13" s="199">
        <f>P3</f>
        <v>0.56999999999999995</v>
      </c>
      <c r="Q13" s="203">
        <f t="shared" si="2"/>
        <v>5.931334753971329E-2</v>
      </c>
      <c r="R13" s="155">
        <f t="shared" si="3"/>
        <v>5.931334753971329E-2</v>
      </c>
      <c r="S13" s="171">
        <f t="shared" si="4"/>
        <v>0.94068665246028671</v>
      </c>
      <c r="T13" s="172">
        <f>R13*PRODUCT(S5:S12)*PRODUCT(S14:S19)</f>
        <v>2.9294868474429969E-2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1.6327739350256399E-3</v>
      </c>
      <c r="W13" s="181" t="s">
        <v>61</v>
      </c>
      <c r="X13" s="15" t="s">
        <v>62</v>
      </c>
      <c r="Y13" s="69">
        <f t="shared" si="5"/>
        <v>0.10405850445563736</v>
      </c>
      <c r="Z13" s="69">
        <f>Z3</f>
        <v>0.56999999999999995</v>
      </c>
      <c r="AA13" s="69">
        <f t="shared" si="6"/>
        <v>5.931334753971329E-2</v>
      </c>
      <c r="AB13" s="155">
        <f t="shared" si="7"/>
        <v>5.931334753971329E-2</v>
      </c>
      <c r="AC13" s="171">
        <f t="shared" si="8"/>
        <v>0.94068665246028671</v>
      </c>
      <c r="AD13" s="172">
        <f>AB13*PRODUCT(AC5:AC12)*PRODUCT(AC14:AC19)</f>
        <v>4.4826368234224867E-2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1.226463094726277E-2</v>
      </c>
      <c r="AG13" s="193">
        <f>B22</f>
        <v>0.5</v>
      </c>
      <c r="AH13">
        <v>1</v>
      </c>
      <c r="AI13" s="196">
        <f t="shared" si="9"/>
        <v>0.20811700891127471</v>
      </c>
      <c r="AK13" s="193">
        <f>C22</f>
        <v>0.5</v>
      </c>
      <c r="AL13">
        <v>1</v>
      </c>
      <c r="AM13" s="197">
        <v>0.15</v>
      </c>
      <c r="AN13" s="198">
        <f t="shared" si="10"/>
        <v>0.15</v>
      </c>
      <c r="AO13">
        <v>1</v>
      </c>
      <c r="BH13">
        <v>0</v>
      </c>
      <c r="BI13">
        <v>10</v>
      </c>
      <c r="BJ13" s="107">
        <f t="shared" si="0"/>
        <v>6.2887673721808462E-6</v>
      </c>
      <c r="BL13">
        <f>BH57+1</f>
        <v>9</v>
      </c>
      <c r="BM13">
        <v>9</v>
      </c>
      <c r="BN13" s="107">
        <f>$H$34*H48</f>
        <v>2.9014092181641179E-7</v>
      </c>
      <c r="BP13">
        <f>BL7+1</f>
        <v>4</v>
      </c>
      <c r="BQ13">
        <v>3</v>
      </c>
      <c r="BR13" s="107">
        <f>$H$29*H42</f>
        <v>4.1990171242614525E-2</v>
      </c>
    </row>
    <row r="14" spans="1:70" x14ac:dyDescent="0.25">
      <c r="A14" s="7" t="s">
        <v>63</v>
      </c>
      <c r="B14" s="163">
        <v>5.5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32</v>
      </c>
      <c r="K14" s="161"/>
      <c r="L14" s="10"/>
      <c r="M14" s="10"/>
      <c r="O14" s="67">
        <f t="shared" si="1"/>
        <v>0</v>
      </c>
      <c r="P14" s="199">
        <f>IF(COUNTIF(F6:F18,"CAB")-COUNTIF(J6:J18,"CAB")&gt;2,0.8,IF(COUNTIF(F6:F18,"CAB")-COUNTIF(J6:J18,"CAB")&gt;0,0.6,IF(COUNTIF(F6:F18,"CAB")-COUNTIF(J6:J18,"CAB")=0,0.5,0.15)))</f>
        <v>0.15</v>
      </c>
      <c r="Q14" s="203">
        <f t="shared" si="2"/>
        <v>0</v>
      </c>
      <c r="R14" s="155">
        <f t="shared" si="3"/>
        <v>0</v>
      </c>
      <c r="S14" s="171">
        <f t="shared" si="4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 t="shared" si="5"/>
        <v>0.27748934521503299</v>
      </c>
      <c r="Z14" s="200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0.16649360712901978</v>
      </c>
      <c r="AB14" s="155">
        <f t="shared" si="7"/>
        <v>0.16649360712901978</v>
      </c>
      <c r="AC14" s="171">
        <f t="shared" si="8"/>
        <v>0.83350639287098027</v>
      </c>
      <c r="AD14" s="172">
        <f>AB14*PRODUCT(AC5:AC13)*PRODUCT(AC15:AC19)</f>
        <v>0.14200862684624208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1.0487649691845752E-2</v>
      </c>
      <c r="AG14" s="193">
        <f>IF(AL14=0,1,B22)</f>
        <v>0.5</v>
      </c>
      <c r="AH14">
        <f>IF(COUNTIF(F6:F18,"CAB")&gt;0,1,0)</f>
        <v>0</v>
      </c>
      <c r="AI14" s="196">
        <f t="shared" si="9"/>
        <v>0.27748934521503299</v>
      </c>
      <c r="AK14" s="193">
        <f>IF(AH14=0,1,C22)</f>
        <v>1</v>
      </c>
      <c r="AL14">
        <f>IF(COUNTIF(J6:J18,"CAB")&gt;0,1,0)</f>
        <v>1</v>
      </c>
      <c r="AM14" s="197">
        <v>0.2</v>
      </c>
      <c r="AN14" s="198">
        <f t="shared" si="10"/>
        <v>0.2</v>
      </c>
      <c r="AO14">
        <v>1</v>
      </c>
      <c r="BH14">
        <v>1</v>
      </c>
      <c r="BI14">
        <v>2</v>
      </c>
      <c r="BJ14" s="107">
        <f t="shared" ref="BJ14:BJ22" si="11">$H$26*H41</f>
        <v>2.8920700252146329E-2</v>
      </c>
      <c r="BL14">
        <f>BP39+1</f>
        <v>10</v>
      </c>
      <c r="BM14">
        <v>10</v>
      </c>
      <c r="BN14" s="107">
        <f>$H$35*H49</f>
        <v>4.1907859347136027E-9</v>
      </c>
      <c r="BP14">
        <f>BP10+1</f>
        <v>5</v>
      </c>
      <c r="BQ14">
        <v>0</v>
      </c>
      <c r="BR14" s="107">
        <f>$H$30*H39</f>
        <v>1.3719295836293556E-3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32</v>
      </c>
      <c r="K15" s="161"/>
      <c r="L15" s="10"/>
      <c r="M15" s="10"/>
      <c r="O15" s="67">
        <f t="shared" si="1"/>
        <v>6.9372336303758237E-3</v>
      </c>
      <c r="P15" s="199">
        <f>R3</f>
        <v>0.7</v>
      </c>
      <c r="Q15" s="203">
        <f t="shared" si="2"/>
        <v>4.8560635412630759E-3</v>
      </c>
      <c r="R15" s="155">
        <f t="shared" si="3"/>
        <v>4.8560635412630759E-3</v>
      </c>
      <c r="S15" s="171">
        <f t="shared" si="4"/>
        <v>0.99514393645873689</v>
      </c>
      <c r="T15" s="172">
        <f>R15*PRODUCT(S5:S14)*PRODUCT(S16:S19)</f>
        <v>2.2671620245610859E-3</v>
      </c>
      <c r="U15" s="172">
        <f>R15*R16*PRODUCT(S5:S14)*PRODUCT(S17:S19)+R15*R17*PRODUCT(S5:S14)*S16*PRODUCT(S18:S19)+R15*R18*PRODUCT(S5:S14)*S16*S17*S19+R15*R19*PRODUCT(S5:S14)*S16*S17*S18</f>
        <v>1.1529896044076568E-4</v>
      </c>
      <c r="W15" s="181" t="s">
        <v>68</v>
      </c>
      <c r="X15" s="15" t="s">
        <v>69</v>
      </c>
      <c r="Y15" s="69">
        <f t="shared" si="5"/>
        <v>6.9372336303758237E-3</v>
      </c>
      <c r="Z15" s="69">
        <f>AB3</f>
        <v>0.7</v>
      </c>
      <c r="AA15" s="69">
        <f t="shared" si="6"/>
        <v>4.8560635412630759E-3</v>
      </c>
      <c r="AB15" s="155">
        <f t="shared" si="7"/>
        <v>4.8560635412630759E-3</v>
      </c>
      <c r="AC15" s="171">
        <f t="shared" si="8"/>
        <v>0.99514393645873689</v>
      </c>
      <c r="AD15" s="172">
        <f>AB15*PRODUCT(AC5:AC14)*PRODUCT(AC16:AC19)</f>
        <v>3.4691618379625966E-3</v>
      </c>
      <c r="AE15" s="172">
        <f>AB15*AB16*PRODUCT(AC5:AC14)*PRODUCT(AC17:AC19)+AB15*AB17*PRODUCT(AC5:AC14)*AC16*PRODUCT(AC18:AC19)+AB15*AB18*PRODUCT(AC5:AC14)*AC16*AC17*AC19+AB15*AB19*PRODUCT(AC5:AC14)*AC16*AC17*AC18</f>
        <v>2.3927656124197793E-4</v>
      </c>
      <c r="AG15" s="193">
        <f>IF(AL15=0,1,B22)</f>
        <v>0.5</v>
      </c>
      <c r="AH15">
        <v>1</v>
      </c>
      <c r="AI15" s="196">
        <f t="shared" si="9"/>
        <v>1.3874467260751647E-2</v>
      </c>
      <c r="AK15" s="193">
        <f>IF(AH15=0,1,C22)</f>
        <v>0.5</v>
      </c>
      <c r="AL15">
        <v>1</v>
      </c>
      <c r="AM15" s="197">
        <v>0.01</v>
      </c>
      <c r="AN15" s="198">
        <f t="shared" si="10"/>
        <v>0.01</v>
      </c>
      <c r="AO15">
        <v>1</v>
      </c>
      <c r="BH15">
        <v>1</v>
      </c>
      <c r="BI15">
        <v>3</v>
      </c>
      <c r="BJ15" s="107">
        <f t="shared" si="11"/>
        <v>3.9172987144071185E-2</v>
      </c>
      <c r="BP15">
        <f>BP11+1</f>
        <v>5</v>
      </c>
      <c r="BQ15">
        <v>1</v>
      </c>
      <c r="BR15" s="107">
        <f>$H$30*H40</f>
        <v>6.7520756429902476E-3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1</v>
      </c>
      <c r="G16" s="162"/>
      <c r="H16" s="10"/>
      <c r="I16" s="10"/>
      <c r="J16" s="161" t="s">
        <v>32</v>
      </c>
      <c r="K16" s="161"/>
      <c r="L16" s="10"/>
      <c r="M16" s="10"/>
      <c r="O16" s="67">
        <f t="shared" si="1"/>
        <v>6.9372336303758237E-3</v>
      </c>
      <c r="P16" s="199">
        <v>0.15</v>
      </c>
      <c r="Q16" s="203">
        <f t="shared" si="2"/>
        <v>1.0405850445563735E-3</v>
      </c>
      <c r="R16" s="155">
        <f t="shared" si="3"/>
        <v>1.0405850445563735E-3</v>
      </c>
      <c r="S16" s="171">
        <f t="shared" si="4"/>
        <v>0.9989594149554436</v>
      </c>
      <c r="T16" s="172">
        <f>R16*PRODUCT(S5:S15)*PRODUCT(S17:S19)</f>
        <v>4.8396486553934493E-4</v>
      </c>
      <c r="U16" s="172">
        <f>R16*R17*PRODUCT(S5:S15)*PRODUCT(S18:S19)+R16*R18*PRODUCT(S5:S15)*S17*S19+R16*R19*PRODUCT(S5:S15)*S17*S18</f>
        <v>2.410842198275436E-5</v>
      </c>
      <c r="W16" s="182" t="s">
        <v>72</v>
      </c>
      <c r="X16" s="15" t="s">
        <v>73</v>
      </c>
      <c r="Y16" s="69">
        <f t="shared" si="5"/>
        <v>6.9372336303758237E-3</v>
      </c>
      <c r="Z16" s="69">
        <v>0.15</v>
      </c>
      <c r="AA16" s="69">
        <f t="shared" si="6"/>
        <v>1.0405850445563735E-3</v>
      </c>
      <c r="AB16" s="155">
        <f t="shared" si="7"/>
        <v>1.0405850445563735E-3</v>
      </c>
      <c r="AC16" s="171">
        <f t="shared" si="8"/>
        <v>0.9989594149554436</v>
      </c>
      <c r="AD16" s="172">
        <f>AB16*PRODUCT(AC5:AC15)*PRODUCT(AC17:AC19)</f>
        <v>7.405524723222345E-4</v>
      </c>
      <c r="AE16" s="172">
        <f>AB16*AB17*PRODUCT(AC5:AC15)*PRODUCT(AC18:AC19)+AB16*AB18*PRODUCT(AC5:AC15)*AC17*AC19+AB16*AB19*PRODUCT(AC5:AC15)*AC17*AC18</f>
        <v>5.0306301383884669E-5</v>
      </c>
      <c r="AG16" s="193">
        <f>C22</f>
        <v>0.5</v>
      </c>
      <c r="AH16">
        <v>1</v>
      </c>
      <c r="AI16" s="196">
        <f t="shared" si="9"/>
        <v>1.3874467260751647E-2</v>
      </c>
      <c r="AK16" s="193">
        <f>B22</f>
        <v>0.5</v>
      </c>
      <c r="AL16">
        <v>1</v>
      </c>
      <c r="AM16" s="197">
        <v>0.01</v>
      </c>
      <c r="AN16" s="198">
        <f t="shared" si="10"/>
        <v>0.01</v>
      </c>
      <c r="AO16">
        <v>1</v>
      </c>
      <c r="BH16">
        <v>1</v>
      </c>
      <c r="BI16">
        <v>4</v>
      </c>
      <c r="BJ16" s="107">
        <f t="shared" si="11"/>
        <v>3.5652475596398343E-2</v>
      </c>
      <c r="BP16">
        <f>BP12+1</f>
        <v>5</v>
      </c>
      <c r="BQ16">
        <v>2</v>
      </c>
      <c r="BR16" s="107">
        <f>$H$30*H41</f>
        <v>1.5161049588860874E-2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 t="shared" si="1"/>
        <v>8.3246803564509878E-2</v>
      </c>
      <c r="P17" s="199">
        <f>P3</f>
        <v>0.56999999999999995</v>
      </c>
      <c r="Q17" s="203">
        <f t="shared" si="2"/>
        <v>4.7450678031770624E-2</v>
      </c>
      <c r="R17" s="155">
        <f t="shared" si="3"/>
        <v>4.7450678031770631E-2</v>
      </c>
      <c r="S17" s="171">
        <f t="shared" si="4"/>
        <v>0.95254932196822939</v>
      </c>
      <c r="T17" s="172">
        <f>R17*PRODUCT(S5:S16)*PRODUCT(S18:S19)</f>
        <v>2.3144033489024975E-2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 t="shared" si="5"/>
        <v>8.3246803564509878E-2</v>
      </c>
      <c r="Z17" s="69">
        <f>Z3</f>
        <v>0.56999999999999995</v>
      </c>
      <c r="AA17" s="69">
        <f t="shared" si="6"/>
        <v>4.7450678031770624E-2</v>
      </c>
      <c r="AB17" s="155">
        <f t="shared" si="7"/>
        <v>4.7450678031770631E-2</v>
      </c>
      <c r="AC17" s="171">
        <f t="shared" si="8"/>
        <v>0.95254932196822939</v>
      </c>
      <c r="AD17" s="172">
        <f>AB17*PRODUCT(AC5:AC16)*PRODUCT(AC18:AC19)</f>
        <v>3.5414494811943441E-2</v>
      </c>
      <c r="AE17" s="172">
        <f>AB17*AB18*PRODUCT(AC5:AC16)*AC19+AB17*AB19*PRODUCT(AC5:AC16)*AC18</f>
        <v>6.4158198417808442E-4</v>
      </c>
      <c r="AG17" s="193">
        <f>COUNTA(F14:F15)/(COUNTA(F14:F15)+COUNTA(J14:J15))</f>
        <v>0.5</v>
      </c>
      <c r="AH17">
        <f>COUNTA(F14:F15)</f>
        <v>2</v>
      </c>
      <c r="AI17" s="196">
        <f t="shared" si="9"/>
        <v>0.16649360712901976</v>
      </c>
      <c r="AK17" s="193">
        <f>COUNTA(J14:J15)/(COUNTA(F14:F15)+COUNTA(J14:J15))</f>
        <v>0.5</v>
      </c>
      <c r="AL17">
        <f>COUNTA(J14:J15)</f>
        <v>2</v>
      </c>
      <c r="AM17" s="197">
        <v>0.12</v>
      </c>
      <c r="AN17" s="198">
        <f t="shared" si="10"/>
        <v>0.12</v>
      </c>
      <c r="AO17">
        <f>1/2</f>
        <v>0.5</v>
      </c>
      <c r="BH17">
        <v>1</v>
      </c>
      <c r="BI17">
        <v>5</v>
      </c>
      <c r="BJ17" s="107">
        <f t="shared" si="11"/>
        <v>2.2980993733429645E-2</v>
      </c>
      <c r="BP17">
        <f>BP13+1</f>
        <v>5</v>
      </c>
      <c r="BQ17">
        <v>3</v>
      </c>
      <c r="BR17" s="107">
        <f>$H$30*H42</f>
        <v>2.0535588538904644E-2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1</v>
      </c>
      <c r="G18" s="162"/>
      <c r="H18" s="10"/>
      <c r="I18" s="10"/>
      <c r="J18" s="161" t="s">
        <v>32</v>
      </c>
      <c r="K18" s="161"/>
      <c r="L18" s="10"/>
      <c r="M18" s="10"/>
      <c r="O18" s="67">
        <f t="shared" si="1"/>
        <v>0</v>
      </c>
      <c r="P18" s="199">
        <f>P17*1.2</f>
        <v>0.68399999999999994</v>
      </c>
      <c r="Q18" s="203">
        <f t="shared" si="2"/>
        <v>0</v>
      </c>
      <c r="R18" s="155">
        <f t="shared" si="3"/>
        <v>0</v>
      </c>
      <c r="S18" s="171">
        <f t="shared" si="4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2.6014626113909339E-2</v>
      </c>
      <c r="Z18" s="69">
        <f>Z17*1.2</f>
        <v>0.68399999999999994</v>
      </c>
      <c r="AA18" s="69">
        <f t="shared" si="6"/>
        <v>1.7794004261913986E-2</v>
      </c>
      <c r="AB18" s="155">
        <f t="shared" si="7"/>
        <v>1.7794004261913986E-2</v>
      </c>
      <c r="AC18" s="171">
        <f t="shared" si="8"/>
        <v>0.98220599573808598</v>
      </c>
      <c r="AD18" s="172">
        <f>AB18*PRODUCT(AC5:AC17)*PRODUCT(AC19)</f>
        <v>1.2879446814367488E-2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96">
        <f t="shared" si="9"/>
        <v>0.20811700891127471</v>
      </c>
      <c r="AK18" s="19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197">
        <v>0.15</v>
      </c>
      <c r="AN18" s="198">
        <f t="shared" si="10"/>
        <v>0.15</v>
      </c>
      <c r="AO18">
        <f>1/8</f>
        <v>0.125</v>
      </c>
      <c r="BH18">
        <v>1</v>
      </c>
      <c r="BI18">
        <v>6</v>
      </c>
      <c r="BJ18" s="107">
        <f t="shared" si="11"/>
        <v>1.0770767360254264E-2</v>
      </c>
      <c r="BP18">
        <f>BL8+1</f>
        <v>5</v>
      </c>
      <c r="BQ18">
        <v>4</v>
      </c>
      <c r="BR18" s="107">
        <f>$H$30*H43</f>
        <v>1.8690036747728213E-2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155">
        <f t="shared" si="3"/>
        <v>0</v>
      </c>
      <c r="S19" s="173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3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197">
        <v>0.6</v>
      </c>
      <c r="AN19" s="198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3.7080548519146314E-3</v>
      </c>
      <c r="BP19">
        <f>BP15+1</f>
        <v>6</v>
      </c>
      <c r="BQ19">
        <v>1</v>
      </c>
      <c r="BR19" s="107">
        <f>$H$31*H40</f>
        <v>2.4616468822557412E-3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0.46460523478336668</v>
      </c>
      <c r="T20" s="176">
        <f>SUM(T5:T19)</f>
        <v>0.39984887750786319</v>
      </c>
      <c r="U20" s="176">
        <f>SUM(U5:U19)</f>
        <v>0.11945107724756034</v>
      </c>
      <c r="V20" s="176">
        <f>1-S20-T20-U20</f>
        <v>1.6094810461209794E-2</v>
      </c>
      <c r="W20" s="21"/>
      <c r="X20" s="22"/>
      <c r="Y20" s="22"/>
      <c r="Z20" s="22"/>
      <c r="AA20" s="22"/>
      <c r="AB20" s="23"/>
      <c r="AC20" s="179">
        <f>PRODUCT(AC5:AC19)</f>
        <v>0.7109287879590982</v>
      </c>
      <c r="AD20" s="176">
        <f>SUM(AD5:AD19)</f>
        <v>0.25765916592565569</v>
      </c>
      <c r="AE20" s="176">
        <f>SUM(AE5:AE19)</f>
        <v>2.9854004866755851E-2</v>
      </c>
      <c r="AF20" s="176">
        <f>1-AC20-AD20-AE20</f>
        <v>1.5580412484902662E-3</v>
      </c>
      <c r="BH20">
        <v>1</v>
      </c>
      <c r="BI20">
        <v>8</v>
      </c>
      <c r="BJ20" s="107">
        <f t="shared" si="11"/>
        <v>9.3570818273442356E-4</v>
      </c>
      <c r="BP20">
        <f>BP16+1</f>
        <v>6</v>
      </c>
      <c r="BQ20">
        <v>2</v>
      </c>
      <c r="BR20" s="107">
        <f>$H$31*H41</f>
        <v>5.5273596484200346E-3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1.7068398595825854E-4</v>
      </c>
      <c r="BP21">
        <f>BP17+1</f>
        <v>6</v>
      </c>
      <c r="BQ21">
        <v>3</v>
      </c>
      <c r="BR21" s="107">
        <f>$H$31*H42</f>
        <v>7.4867892741340772E-3</v>
      </c>
    </row>
    <row r="22" spans="1:70" x14ac:dyDescent="0.25">
      <c r="A22" s="26" t="s">
        <v>87</v>
      </c>
      <c r="B22" s="62">
        <f>(B6)/((B6)+(C6))</f>
        <v>0.5</v>
      </c>
      <c r="C22" s="63">
        <f>1-B22</f>
        <v>0.5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2.1882002605082621E-5</v>
      </c>
      <c r="BP22">
        <f>BP18+1</f>
        <v>6</v>
      </c>
      <c r="BQ22">
        <v>4</v>
      </c>
      <c r="BR22" s="107">
        <f>$H$31*H43</f>
        <v>6.8139447959316701E-3</v>
      </c>
    </row>
    <row r="23" spans="1:70" x14ac:dyDescent="0.25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59">
        <f>SUM(H25:H35)</f>
        <v>0.99999754495756199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0.99897460937500004</v>
      </c>
      <c r="Y23" s="80">
        <f>SUM(Y25:Y35)</f>
        <v>9.716796875E-4</v>
      </c>
      <c r="Z23" s="81"/>
      <c r="AA23" s="80">
        <f>SUM(AA25:AA35)</f>
        <v>9.7216796875000001E-3</v>
      </c>
      <c r="AB23" s="81"/>
      <c r="AC23" s="80">
        <f>SUM(AC25:AC35)</f>
        <v>4.3774414062499996E-2</v>
      </c>
      <c r="AD23" s="81"/>
      <c r="AE23" s="80">
        <f>SUM(AE25:AE35)</f>
        <v>0.1168212890625</v>
      </c>
      <c r="AF23" s="81"/>
      <c r="AG23" s="80">
        <f>SUM(AG25:AG35)</f>
        <v>0.20463867187500001</v>
      </c>
      <c r="AH23" s="81"/>
      <c r="AI23" s="80">
        <f>SUM(AI25:AI35)</f>
        <v>0.24588867187500002</v>
      </c>
      <c r="AJ23" s="81"/>
      <c r="AK23" s="80">
        <f>SUM(AK25:AK35)</f>
        <v>0.20528320312499998</v>
      </c>
      <c r="AL23" s="81"/>
      <c r="AM23" s="80">
        <f>SUM(AM25:AM35)</f>
        <v>0.11762695312500002</v>
      </c>
      <c r="AN23" s="81"/>
      <c r="AO23" s="80">
        <f>SUM(AO25:AO35)</f>
        <v>4.43115234375E-2</v>
      </c>
      <c r="AP23" s="81"/>
      <c r="AQ23" s="80">
        <f>SUM(AQ25:AQ35)</f>
        <v>9.9365234375000024E-3</v>
      </c>
      <c r="AR23" s="81"/>
      <c r="AS23" s="80">
        <f>SUM(AS25:AS35)</f>
        <v>1.025390624999956E-3</v>
      </c>
      <c r="BH23">
        <f t="shared" ref="BH23:BH30" si="12">BH15+1</f>
        <v>2</v>
      </c>
      <c r="BI23">
        <v>3</v>
      </c>
      <c r="BJ23" s="107">
        <f t="shared" ref="BJ23:BJ30" si="13">$H$27*H42</f>
        <v>6.3022461684850081E-2</v>
      </c>
      <c r="BP23">
        <f>BL9+1</f>
        <v>6</v>
      </c>
      <c r="BQ23">
        <v>5</v>
      </c>
      <c r="BR23" s="107">
        <f>$H$31*H44</f>
        <v>4.3921556648105608E-3</v>
      </c>
    </row>
    <row r="24" spans="1:70" x14ac:dyDescent="0.25">
      <c r="A24" s="26" t="s">
        <v>89</v>
      </c>
      <c r="B24" s="64">
        <f>B23/B21</f>
        <v>0.5</v>
      </c>
      <c r="C24" s="65">
        <f>C23/B21</f>
        <v>0.5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5.73585764338152E-2</v>
      </c>
      <c r="BP24">
        <f>BH49+1</f>
        <v>7</v>
      </c>
      <c r="BQ24">
        <v>0</v>
      </c>
      <c r="BR24" s="107">
        <f t="shared" ref="BR24:BR30" si="14">$H$32*H39</f>
        <v>1.377200791900407E-4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4.5360424470794039E-2</v>
      </c>
      <c r="I25" s="97">
        <v>0</v>
      </c>
      <c r="J25" s="98">
        <f t="shared" ref="J25:J35" si="15">Y25+AA25+AC25+AE25+AG25+AI25+AK25+AM25+AO25+AQ25+AS25</f>
        <v>9.7632185508939484E-2</v>
      </c>
      <c r="K25" s="97">
        <v>0</v>
      </c>
      <c r="L25" s="98">
        <f>S20</f>
        <v>0.46460523478336668</v>
      </c>
      <c r="M25" s="84">
        <v>0</v>
      </c>
      <c r="N25" s="71">
        <f>(1-$B$24)^$B$21</f>
        <v>3.125E-2</v>
      </c>
      <c r="O25" s="70">
        <v>0</v>
      </c>
      <c r="P25" s="71">
        <f t="shared" ref="P25:P30" si="16">N25</f>
        <v>3.125E-2</v>
      </c>
      <c r="Q25" s="12">
        <v>0</v>
      </c>
      <c r="R25" s="73">
        <f>P25*N25</f>
        <v>9.765625E-4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0.41481679477751243</v>
      </c>
      <c r="X25" s="12">
        <v>0</v>
      </c>
      <c r="Y25" s="79">
        <f>V25</f>
        <v>9.716796875E-4</v>
      </c>
      <c r="Z25" s="12">
        <v>0</v>
      </c>
      <c r="AA25" s="78">
        <f>((1-W25)^Z26)*V26</f>
        <v>5.6889636796776015E-3</v>
      </c>
      <c r="AB25" s="12">
        <v>0</v>
      </c>
      <c r="AC25" s="79">
        <f>(((1-$W$25)^AB27))*V27</f>
        <v>1.499008337227329E-2</v>
      </c>
      <c r="AD25" s="12">
        <v>0</v>
      </c>
      <c r="AE25" s="79">
        <f>(((1-$W$25)^AB28))*V28</f>
        <v>2.3409791962807066E-2</v>
      </c>
      <c r="AF25" s="12">
        <v>0</v>
      </c>
      <c r="AG25" s="79">
        <f>(((1-$W$25)^AB29))*V29</f>
        <v>2.399689891016769E-2</v>
      </c>
      <c r="AH25" s="12">
        <v>0</v>
      </c>
      <c r="AI25" s="79">
        <f>(((1-$W$25)^AB30))*V30</f>
        <v>1.6873212966290456E-2</v>
      </c>
      <c r="AJ25" s="12">
        <v>0</v>
      </c>
      <c r="AK25" s="79">
        <f>(((1-$W$25)^AB31))*V31</f>
        <v>8.2433651099762303E-3</v>
      </c>
      <c r="AL25" s="12">
        <v>0</v>
      </c>
      <c r="AM25" s="79">
        <f>(((1-$W$25)^AB32))*V32</f>
        <v>2.7640749892612511E-3</v>
      </c>
      <c r="AN25" s="12">
        <v>0</v>
      </c>
      <c r="AO25" s="79">
        <f>(((1-$W$25)^AB33))*V33</f>
        <v>6.0932852323984004E-4</v>
      </c>
      <c r="AP25" s="12">
        <v>0</v>
      </c>
      <c r="AQ25" s="79">
        <f>(((1-$W$25)^AB34))*V34</f>
        <v>7.9957856216545818E-5</v>
      </c>
      <c r="AR25" s="12">
        <v>0</v>
      </c>
      <c r="AS25" s="79">
        <f>(((1-$W$25)^AB35))*V35</f>
        <v>4.8284515295027829E-6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3.6972385887198089E-2</v>
      </c>
      <c r="BP25">
        <f>BP19+1</f>
        <v>7</v>
      </c>
      <c r="BQ25">
        <v>1</v>
      </c>
      <c r="BR25" s="107">
        <f t="shared" si="14"/>
        <v>6.7780183716847767E-4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0.15783330304573795</v>
      </c>
      <c r="I26" s="93">
        <v>1</v>
      </c>
      <c r="J26" s="86">
        <f t="shared" si="15"/>
        <v>0.25569058281648532</v>
      </c>
      <c r="K26" s="93">
        <v>1</v>
      </c>
      <c r="L26" s="86">
        <f>T20</f>
        <v>0.39984887750786319</v>
      </c>
      <c r="M26" s="85">
        <v>1</v>
      </c>
      <c r="N26" s="71">
        <f>(($B$24)^M26)*((1-($B$24))^($B$21-M26))*HLOOKUP($B$21,$AV$24:$BF$34,M26+1)</f>
        <v>0.15625</v>
      </c>
      <c r="O26" s="72">
        <v>1</v>
      </c>
      <c r="P26" s="71">
        <f t="shared" si="16"/>
        <v>0.15625</v>
      </c>
      <c r="Q26" s="28">
        <v>1</v>
      </c>
      <c r="R26" s="37">
        <f>N26*P25+P26*N25</f>
        <v>9.765625E-3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9.7216796875000001E-3</v>
      </c>
      <c r="W26" s="135"/>
      <c r="X26" s="28">
        <v>1</v>
      </c>
      <c r="Y26" s="73"/>
      <c r="Z26" s="28">
        <v>1</v>
      </c>
      <c r="AA26" s="79">
        <f>(1-((1-W25)^Z26))*V26</f>
        <v>4.0327160078223985E-3</v>
      </c>
      <c r="AB26" s="28">
        <v>1</v>
      </c>
      <c r="AC26" s="79">
        <f>((($W$25)^M26)*((1-($W$25))^($U$27-M26))*HLOOKUP($U$27,$AV$24:$BF$34,M26+1))*V27</f>
        <v>2.1251937111113586E-2</v>
      </c>
      <c r="AD26" s="28">
        <v>1</v>
      </c>
      <c r="AE26" s="79">
        <f>((($W$25)^M26)*((1-($W$25))^($U$28-M26))*HLOOKUP($U$28,$AV$24:$BF$34,M26+1))*V28</f>
        <v>4.9783254791435513E-2</v>
      </c>
      <c r="AF26" s="28">
        <v>1</v>
      </c>
      <c r="AG26" s="79">
        <f>((($W$25)^M26)*((1-($W$25))^($U$29-M26))*HLOOKUP($U$29,$AV$24:$BF$34,M26+1))*V29</f>
        <v>6.8042394940101503E-2</v>
      </c>
      <c r="AH26" s="28">
        <v>1</v>
      </c>
      <c r="AI26" s="79">
        <f>((($W$25)^M26)*((1-($W$25))^($U$30-M26))*HLOOKUP($U$30,$AV$24:$BF$34,M26+1))*V30</f>
        <v>5.9804280589476483E-2</v>
      </c>
      <c r="AJ26" s="28">
        <v>1</v>
      </c>
      <c r="AK26" s="79">
        <f>((($W$25)^M26)*((1-($W$25))^($U$31-M26))*HLOOKUP($U$31,$AV$24:$BF$34,M26+1))*V31</f>
        <v>3.5060674290551673E-2</v>
      </c>
      <c r="AL26" s="28">
        <v>1</v>
      </c>
      <c r="AM26" s="79">
        <f>((($W$25)^Q26)*((1-($W$25))^($U$32-Q26))*HLOOKUP($U$32,$AV$24:$BF$34,Q26+1))*V32</f>
        <v>1.3715521944856125E-2</v>
      </c>
      <c r="AN26" s="28">
        <v>1</v>
      </c>
      <c r="AO26" s="79">
        <f>((($W$25)^Q26)*((1-($W$25))^($U$33-Q26))*HLOOKUP($U$33,$AV$24:$BF$34,Q26+1))*V33</f>
        <v>3.4554608228138167E-3</v>
      </c>
      <c r="AP26" s="28">
        <v>1</v>
      </c>
      <c r="AQ26" s="79">
        <f>((($W$25)^Q26)*((1-($W$25))^($U$34-Q26))*HLOOKUP($U$34,$AV$24:$BF$34,Q26+1))*V34</f>
        <v>5.1011504095331019E-4</v>
      </c>
      <c r="AR26" s="28">
        <v>1</v>
      </c>
      <c r="AS26" s="79">
        <f>((($W$25)^Q26)*((1-($W$25))^($U$35-Q26))*HLOOKUP($U$35,$AV$24:$BF$34,Q26+1))*V35</f>
        <v>3.4227277360863554E-5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1.7328274476019746E-2</v>
      </c>
      <c r="BP26">
        <f>BP20+1</f>
        <v>7</v>
      </c>
      <c r="BQ26">
        <v>2</v>
      </c>
      <c r="BR26" s="107">
        <f t="shared" si="14"/>
        <v>1.5219301157268056E-3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0.25392608577972164</v>
      </c>
      <c r="I27" s="93">
        <v>2</v>
      </c>
      <c r="J27" s="86">
        <f t="shared" si="15"/>
        <v>0.30138752866922119</v>
      </c>
      <c r="K27" s="93">
        <v>2</v>
      </c>
      <c r="L27" s="86">
        <f>U20</f>
        <v>0.11945107724756034</v>
      </c>
      <c r="M27" s="85">
        <v>2</v>
      </c>
      <c r="N27" s="71">
        <f>(($B$24)^M27)*((1-($B$24))^($B$21-M27))*HLOOKUP($B$21,$AV$24:$BF$34,M27+1)</f>
        <v>0.3125</v>
      </c>
      <c r="O27" s="72">
        <v>2</v>
      </c>
      <c r="P27" s="71">
        <f t="shared" si="16"/>
        <v>0.3125</v>
      </c>
      <c r="Q27" s="28">
        <v>2</v>
      </c>
      <c r="R27" s="37">
        <f>P25*N27+P26*N26+P27*N25</f>
        <v>4.39453125E-2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4.3774414062499996E-2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7.532393579113123E-3</v>
      </c>
      <c r="AD27" s="28">
        <v>2</v>
      </c>
      <c r="AE27" s="79">
        <f>((($W$25)^M27)*((1-($W$25))^($U$28-M27))*HLOOKUP($U$28,$AV$24:$BF$34,M27+1))*V28</f>
        <v>3.5289683644157216E-2</v>
      </c>
      <c r="AF27" s="28">
        <v>2</v>
      </c>
      <c r="AG27" s="79">
        <f>((($W$25)^M27)*((1-($W$25))^($U$29-M27))*HLOOKUP($U$29,$AV$24:$BF$34,M27+1))*V29</f>
        <v>7.234946575570457E-2</v>
      </c>
      <c r="AH27" s="28">
        <v>2</v>
      </c>
      <c r="AI27" s="79">
        <f>((($W$25)^M27)*((1-($W$25))^($U$30-M27))*HLOOKUP($U$30,$AV$24:$BF$34,M27+1))*V30</f>
        <v>8.4786507085997651E-2</v>
      </c>
      <c r="AJ27" s="28">
        <v>2</v>
      </c>
      <c r="AK27" s="79">
        <f>((($W$25)^M27)*((1-($W$25))^($U$31-M27))*HLOOKUP($U$31,$AV$24:$BF$34,M27+1))*V31</f>
        <v>6.2133347309649041E-2</v>
      </c>
      <c r="AL27" s="28">
        <v>2</v>
      </c>
      <c r="AM27" s="79">
        <f>((($W$25)^Q27)*((1-($W$25))^($U$32-Q27))*HLOOKUP($U$32,$AV$24:$BF$34,Q27+1))*V32</f>
        <v>2.916742381406549E-2</v>
      </c>
      <c r="AN27" s="28">
        <v>2</v>
      </c>
      <c r="AO27" s="79">
        <f>((($W$25)^Q27)*((1-($W$25))^($U$33-Q27))*HLOOKUP($U$33,$AV$24:$BF$34,Q27+1))*V33</f>
        <v>8.573111968564983E-3</v>
      </c>
      <c r="AP27" s="28">
        <v>2</v>
      </c>
      <c r="AQ27" s="79">
        <f>((($W$25)^Q27)*((1-($W$25))^($U$34-Q27))*HLOOKUP($U$34,$AV$24:$BF$34,Q27+1))*V34</f>
        <v>1.4464139392079739E-3</v>
      </c>
      <c r="AR27" s="28">
        <v>2</v>
      </c>
      <c r="AS27" s="79">
        <f>((($W$25)^Q27)*((1-($W$25))^($U$35-Q27))*HLOOKUP($U$35,$AV$24:$BF$34,Q27+1))*V35</f>
        <v>1.0918157276110299E-4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5.9656095148077392E-3</v>
      </c>
      <c r="BP27">
        <f>BP21+1</f>
        <v>7</v>
      </c>
      <c r="BQ27">
        <v>3</v>
      </c>
      <c r="BR27" s="107">
        <f t="shared" si="14"/>
        <v>2.0614490084179889E-3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0.25045534381676698</v>
      </c>
      <c r="I28" s="93">
        <v>3</v>
      </c>
      <c r="J28" s="86">
        <f t="shared" si="15"/>
        <v>0.21057014510170277</v>
      </c>
      <c r="K28" s="93">
        <v>3</v>
      </c>
      <c r="L28" s="86">
        <f>V20</f>
        <v>1.6094810461209794E-2</v>
      </c>
      <c r="M28" s="85">
        <v>3</v>
      </c>
      <c r="N28" s="71">
        <f>(($B$24)^M28)*((1-($B$24))^($B$21-M28))*HLOOKUP($B$21,$AV$24:$BF$34,M28+1)</f>
        <v>0.3125</v>
      </c>
      <c r="O28" s="72">
        <v>3</v>
      </c>
      <c r="P28" s="71">
        <f t="shared" si="16"/>
        <v>0.3125</v>
      </c>
      <c r="Q28" s="28">
        <v>3</v>
      </c>
      <c r="R28" s="37">
        <f>P25*N28+P26*N27+P27*N26+P28*N25</f>
        <v>0.1171875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0.1168212890625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8.338558664100203E-3</v>
      </c>
      <c r="AF28" s="28">
        <v>3</v>
      </c>
      <c r="AG28" s="79">
        <f>((($W$25)^M28)*((1-($W$25))^($U$29-M28))*HLOOKUP($U$29,$AV$24:$BF$34,M28+1))*V29</f>
        <v>3.4190743708757264E-2</v>
      </c>
      <c r="AH28" s="28">
        <v>3</v>
      </c>
      <c r="AI28" s="79">
        <f>((($W$25)^M28)*((1-($W$25))^($U$30-M28))*HLOOKUP($U$30,$AV$24:$BF$34,M28+1))*V30</f>
        <v>6.0102318036318859E-2</v>
      </c>
      <c r="AJ28" s="28">
        <v>3</v>
      </c>
      <c r="AK28" s="79">
        <f>((($W$25)^M28)*((1-($W$25))^($U$31-M28))*HLOOKUP($U$31,$AV$24:$BF$34,M28+1))*V31</f>
        <v>5.8725668018188799E-2</v>
      </c>
      <c r="AL28" s="28">
        <v>3</v>
      </c>
      <c r="AM28" s="79">
        <f>((($W$25)^Q28)*((1-($W$25))^($U$32-Q28))*HLOOKUP($U$32,$AV$24:$BF$34,Q28+1))*V32</f>
        <v>3.4459684734879509E-2</v>
      </c>
      <c r="AN28" s="28">
        <v>3</v>
      </c>
      <c r="AO28" s="79">
        <f>((($W$25)^Q28)*((1-($W$25))^($U$33-Q28))*HLOOKUP($U$33,$AV$24:$BF$34,Q28+1))*V33</f>
        <v>1.2154384460561394E-2</v>
      </c>
      <c r="AP28" s="28">
        <v>3</v>
      </c>
      <c r="AQ28" s="79">
        <f>((($W$25)^Q28)*((1-($W$25))^($U$34-Q28))*HLOOKUP($U$34,$AV$24:$BF$34,Q28+1))*V34</f>
        <v>2.3924003752463208E-3</v>
      </c>
      <c r="AR28" s="28">
        <v>3</v>
      </c>
      <c r="AS28" s="79">
        <f>((($W$25)^Q28)*((1-($W$25))^($U$35-Q28))*HLOOKUP($U$35,$AV$24:$BF$34,Q28+1))*V35</f>
        <v>2.063871036504271E-4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1.5053902547104096E-3</v>
      </c>
      <c r="BP28">
        <f>BP22+1</f>
        <v>7</v>
      </c>
      <c r="BQ28">
        <v>4</v>
      </c>
      <c r="BR28" s="107">
        <f t="shared" si="14"/>
        <v>1.8761847340244377E-3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0.16918412165769878</v>
      </c>
      <c r="I29" s="93">
        <v>4</v>
      </c>
      <c r="J29" s="86">
        <f t="shared" si="15"/>
        <v>9.6579904200544464E-2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0.15625</v>
      </c>
      <c r="O29" s="72">
        <v>4</v>
      </c>
      <c r="P29" s="71">
        <f t="shared" si="16"/>
        <v>0.15625</v>
      </c>
      <c r="Q29" s="28">
        <v>4</v>
      </c>
      <c r="R29" s="37">
        <f>P25*N29+P26*N28+P27*N27+P28*N26+P29*N25</f>
        <v>0.205078125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0.20463867187499998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6.0591685602689703E-3</v>
      </c>
      <c r="AH29" s="28">
        <v>4</v>
      </c>
      <c r="AI29" s="79">
        <f>((($W$25)^M29)*((1-($W$25))^($U$30-M29))*HLOOKUP($U$30,$AV$24:$BF$34,M29+1))*V30</f>
        <v>2.1302261158576388E-2</v>
      </c>
      <c r="AJ29" s="28">
        <v>4</v>
      </c>
      <c r="AK29" s="79">
        <f>((($W$25)^M29)*((1-($W$25))^($U$31-M29))*HLOOKUP($U$31,$AV$24:$BF$34,M29+1))*V31</f>
        <v>3.1221495885051274E-2</v>
      </c>
      <c r="AL29" s="28">
        <v>4</v>
      </c>
      <c r="AM29" s="79">
        <f>((($W$25)^Q29)*((1-($W$25))^($U$32-Q29))*HLOOKUP($U$32,$AV$24:$BF$34,Q29+1))*V32</f>
        <v>2.4427317536106521E-2</v>
      </c>
      <c r="AN29" s="28">
        <v>4</v>
      </c>
      <c r="AO29" s="79">
        <f>((($W$25)^Q29)*((1-($W$25))^($U$33-Q29))*HLOOKUP($U$33,$AV$24:$BF$34,Q29+1))*V33</f>
        <v>1.0769795594412959E-2</v>
      </c>
      <c r="AP29" s="28">
        <v>4</v>
      </c>
      <c r="AQ29" s="79">
        <f>((($W$25)^Q29)*((1-($W$25))^($U$34-Q29))*HLOOKUP($U$34,$AV$24:$BF$34,Q29+1))*V34</f>
        <v>2.5438388695046758E-3</v>
      </c>
      <c r="AR29" s="28">
        <v>4</v>
      </c>
      <c r="AS29" s="79">
        <f>((($W$25)^Q29)*((1-($W$25))^($U$35-Q29))*HLOOKUP($U$35,$AV$24:$BF$34,Q29+1))*V35</f>
        <v>2.560265966236761E-4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2.7460057936633242E-4</v>
      </c>
      <c r="BP29">
        <f>BP23+1</f>
        <v>7</v>
      </c>
      <c r="BQ29">
        <v>5</v>
      </c>
      <c r="BR29" s="107">
        <f t="shared" si="14"/>
        <v>1.2093575241021316E-3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8.2740684471239612E-2</v>
      </c>
      <c r="I30" s="93">
        <v>5</v>
      </c>
      <c r="J30" s="86">
        <f t="shared" si="15"/>
        <v>3.0390773310037221E-2</v>
      </c>
      <c r="K30" s="93">
        <v>5</v>
      </c>
      <c r="L30" s="86"/>
      <c r="M30" s="85">
        <v>5</v>
      </c>
      <c r="N30" s="71">
        <f>(($B$24)^M30)*((1-($B$24))^($B$21-M30))*HLOOKUP($B$21,$AV$24:$BF$34,M30+1)</f>
        <v>3.125E-2</v>
      </c>
      <c r="O30" s="72">
        <v>5</v>
      </c>
      <c r="P30" s="71">
        <f t="shared" si="16"/>
        <v>3.125E-2</v>
      </c>
      <c r="Q30" s="28">
        <v>5</v>
      </c>
      <c r="R30" s="37">
        <f>P25*N30+P26*N29+P27*N28+P28*N27+P29*N26+P30*N25</f>
        <v>0.24609375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0.24588867187500002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3.0200920383401946E-3</v>
      </c>
      <c r="AJ30" s="28">
        <v>5</v>
      </c>
      <c r="AK30" s="79">
        <f>((($W$25)^M30)*((1-($W$25))^($U$31-M30))*HLOOKUP($U$31,$AV$24:$BF$34,M30+1))*V31</f>
        <v>8.8527495222780316E-3</v>
      </c>
      <c r="AL30" s="28">
        <v>5</v>
      </c>
      <c r="AM30" s="79">
        <f>((($W$25)^Q30)*((1-($W$25))^($U$32-Q30))*HLOOKUP($U$32,$AV$24:$BF$34,Q30+1))*V32</f>
        <v>1.0389424858651948E-2</v>
      </c>
      <c r="AN30" s="28">
        <v>5</v>
      </c>
      <c r="AO30" s="79">
        <f>((($W$25)^Q30)*((1-($W$25))^($U$33-Q30))*HLOOKUP($U$33,$AV$24:$BF$34,Q30+1))*V33</f>
        <v>6.1074782037667122E-3</v>
      </c>
      <c r="AP30" s="28">
        <v>5</v>
      </c>
      <c r="AQ30" s="79">
        <f>((($W$25)^Q30)*((1-($W$25))^($U$34-Q30))*HLOOKUP($U$34,$AV$24:$BF$34,Q30+1))*V34</f>
        <v>1.8032422613311007E-3</v>
      </c>
      <c r="AR30" s="28">
        <v>5</v>
      </c>
      <c r="AS30" s="79">
        <f>((($W$25)^Q30)*((1-($W$25))^($U$35-Q30))*HLOOKUP($U$35,$AV$24:$BF$34,Q30+1))*V35</f>
        <v>2.1778642566923858E-4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3.5204302028198252E-5</v>
      </c>
      <c r="BP30">
        <f>BL10+1</f>
        <v>7</v>
      </c>
      <c r="BQ30">
        <v>6</v>
      </c>
      <c r="BR30" s="107">
        <f t="shared" si="14"/>
        <v>5.6680353767857771E-4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3.0165294160438536E-2</v>
      </c>
      <c r="I31" s="93">
        <v>6</v>
      </c>
      <c r="J31" s="86">
        <f t="shared" si="15"/>
        <v>6.6463250157770635E-3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0.205078125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0.20528320312499998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1.0459029893049548E-3</v>
      </c>
      <c r="AL31" s="28">
        <v>6</v>
      </c>
      <c r="AM31" s="79">
        <f>((($W$25)^Q31)*((1-($W$25))^($U$32-Q31))*HLOOKUP($U$32,$AV$24:$BF$34,Q31+1))*V32</f>
        <v>2.4549052222652525E-3</v>
      </c>
      <c r="AN31" s="28">
        <v>6</v>
      </c>
      <c r="AO31" s="79">
        <f>((($W$25)^Q31)*((1-($W$25))^($U$33-Q31))*HLOOKUP($U$33,$AV$24:$BF$34,Q31+1))*V33</f>
        <v>2.1646934755217319E-3</v>
      </c>
      <c r="AP31" s="28">
        <v>6</v>
      </c>
      <c r="AQ31" s="79">
        <f>((($W$25)^Q31)*((1-($W$25))^($U$34-Q31))*HLOOKUP($U$34,$AV$24:$BF$34,Q31+1))*V34</f>
        <v>8.5217207007655437E-4</v>
      </c>
      <c r="AR31" s="28">
        <v>6</v>
      </c>
      <c r="AS31" s="79">
        <f>((($W$25)^Q31)*((1-($W$25))^($U$35-Q31))*HLOOKUP($U$35,$AV$24:$BF$34,Q31+1))*V35</f>
        <v>1.2865125860857046E-4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5.6574581289902018E-2</v>
      </c>
      <c r="BP31">
        <f t="shared" ref="BP31:BP37" si="21">BP24+1</f>
        <v>8</v>
      </c>
      <c r="BQ31">
        <v>0</v>
      </c>
      <c r="BR31" s="107">
        <f t="shared" ref="BR31:BR38" si="22">$H$33*H39</f>
        <v>2.8650513609076901E-5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8.3058589548542089E-3</v>
      </c>
      <c r="I32" s="93">
        <v>7</v>
      </c>
      <c r="J32" s="86">
        <f t="shared" si="15"/>
        <v>9.9802468910969284E-4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0.1171875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0.117626953125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2.486000249139256E-4</v>
      </c>
      <c r="AN32" s="28">
        <v>7</v>
      </c>
      <c r="AO32" s="79">
        <f>((($W$25)^Q32)*((1-($W$25))^($U$33-Q32))*HLOOKUP($U$33,$AV$24:$BF$34,Q32+1))*V33</f>
        <v>4.3842250777335174E-4</v>
      </c>
      <c r="AP32" s="28">
        <v>7</v>
      </c>
      <c r="AQ32" s="79">
        <f>((($W$25)^Q32)*((1-($W$25))^($U$34-Q32))*HLOOKUP($U$34,$AV$24:$BF$34,Q32+1))*V34</f>
        <v>2.588898291435863E-4</v>
      </c>
      <c r="AR32" s="28">
        <v>7</v>
      </c>
      <c r="AS32" s="79">
        <f>((($W$25)^Q32)*((1-($W$25))^($U$35-Q32))*HLOOKUP($U$35,$AV$24:$BF$34,Q32+1))*V35</f>
        <v>5.21123272788293E-5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3.6467035636257084E-2</v>
      </c>
      <c r="BP32">
        <f t="shared" si="21"/>
        <v>8</v>
      </c>
      <c r="BQ32">
        <v>1</v>
      </c>
      <c r="BR32" s="107">
        <f t="shared" si="22"/>
        <v>1.4100609638232852E-4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1.7279043580330185E-3</v>
      </c>
      <c r="I33" s="93">
        <v>8</v>
      </c>
      <c r="J33" s="86">
        <f t="shared" si="15"/>
        <v>9.8580222244177469E-5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4.39453125E-2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4.43115234375E-2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3.8847880845220822E-5</v>
      </c>
      <c r="AP33" s="28">
        <v>8</v>
      </c>
      <c r="AQ33" s="79">
        <f>((($W$25)^Q33)*((1-($W$25))^($U$34-Q33))*HLOOKUP($U$34,$AV$24:$BF$34,Q33+1))*V34</f>
        <v>4.5879584447835335E-5</v>
      </c>
      <c r="AR33" s="28">
        <v>8</v>
      </c>
      <c r="AS33" s="79">
        <f>((($W$25)^Q33)*((1-($W$25))^($U$35-Q33))*HLOOKUP($U$35,$AV$24:$BF$34,Q33+1))*V35</f>
        <v>1.3852756951121308E-5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1.7091426145983694E-2</v>
      </c>
      <c r="BP33">
        <f t="shared" si="21"/>
        <v>8</v>
      </c>
      <c r="BQ33">
        <v>2</v>
      </c>
      <c r="BR33" s="107">
        <f t="shared" si="22"/>
        <v>3.1661381368017748E-4</v>
      </c>
    </row>
    <row r="34" spans="1:70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2.6829640626167806E-4</v>
      </c>
      <c r="I34" s="93">
        <v>9</v>
      </c>
      <c r="J34" s="86">
        <f t="shared" si="15"/>
        <v>5.7957793518625885E-6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9.765625E-3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9.936523437499999E-3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3.6136113720981158E-6</v>
      </c>
      <c r="AR34" s="28">
        <v>9</v>
      </c>
      <c r="AS34" s="79">
        <f>((($W$25)^Q34)*((1-($W$25))^($U$35-Q34))*HLOOKUP($U$35,$AV$24:$BF$34,Q34+1))*V35</f>
        <v>2.1821679797644727E-6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5.8840696792525765E-3</v>
      </c>
      <c r="BP34">
        <f t="shared" si="21"/>
        <v>8</v>
      </c>
      <c r="BQ34">
        <v>3</v>
      </c>
      <c r="BR34" s="107">
        <f t="shared" si="22"/>
        <v>4.2885230111288475E-4</v>
      </c>
    </row>
    <row r="35" spans="1:70" x14ac:dyDescent="0.25">
      <c r="G35" s="88">
        <v>10</v>
      </c>
      <c r="H35" s="127">
        <f>J35*L25+J34*L26+J33*L27+J32*L28</f>
        <v>3.0227836015330314E-5</v>
      </c>
      <c r="I35" s="94">
        <v>10</v>
      </c>
      <c r="J35" s="89">
        <f t="shared" si="15"/>
        <v>1.5468658685921441E-7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9.765625E-4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1.5468658685921441E-7</v>
      </c>
      <c r="BH35">
        <f t="shared" si="19"/>
        <v>3</v>
      </c>
      <c r="BI35">
        <v>8</v>
      </c>
      <c r="BJ35" s="107">
        <f t="shared" si="20"/>
        <v>1.4848141051131644E-3</v>
      </c>
      <c r="BP35">
        <f t="shared" si="21"/>
        <v>8</v>
      </c>
      <c r="BQ35">
        <v>4</v>
      </c>
      <c r="BR35" s="107">
        <f t="shared" si="22"/>
        <v>3.903109595307051E-4</v>
      </c>
    </row>
    <row r="36" spans="1:70" x14ac:dyDescent="0.25">
      <c r="A36" s="1"/>
      <c r="B36" s="108">
        <f>SUM(B37:B39)</f>
        <v>0.99995480785719026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2.7084725189337178E-4</v>
      </c>
      <c r="BP36">
        <f t="shared" si="21"/>
        <v>8</v>
      </c>
      <c r="BQ36">
        <v>5</v>
      </c>
      <c r="BR36" s="107">
        <f t="shared" si="22"/>
        <v>2.5158796310823867E-4</v>
      </c>
    </row>
    <row r="37" spans="1:70" x14ac:dyDescent="0.25">
      <c r="A37" s="109" t="s">
        <v>124</v>
      </c>
      <c r="B37" s="107">
        <f>SUM(BN4:BN14)</f>
        <v>0.174849493678958</v>
      </c>
      <c r="G37" s="13"/>
      <c r="H37" s="59">
        <f>SUM(H39:H49)</f>
        <v>0.99998748613586885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0.99892492675781253</v>
      </c>
      <c r="W37" s="13"/>
      <c r="X37" s="13"/>
      <c r="Y37" s="80">
        <f>SUM(Y39:Y49)</f>
        <v>9.6682128906250004E-4</v>
      </c>
      <c r="Z37" s="81"/>
      <c r="AA37" s="80">
        <f>SUM(AA39:AA49)</f>
        <v>9.6779296874999997E-3</v>
      </c>
      <c r="AB37" s="81"/>
      <c r="AC37" s="80">
        <f>SUM(AC39:AC49)</f>
        <v>4.3604150390624999E-2</v>
      </c>
      <c r="AD37" s="81"/>
      <c r="AE37" s="80">
        <f>SUM(AE39:AE49)</f>
        <v>0.1164560546875</v>
      </c>
      <c r="AF37" s="81"/>
      <c r="AG37" s="80">
        <f>SUM(AG39:AG49)</f>
        <v>0.20419958496093749</v>
      </c>
      <c r="AH37" s="81"/>
      <c r="AI37" s="80">
        <f>SUM(AI39:AI49)</f>
        <v>0.24568242187499997</v>
      </c>
      <c r="AJ37" s="81"/>
      <c r="AK37" s="80">
        <f>SUM(AK39:AK49)</f>
        <v>0.20548623046874995</v>
      </c>
      <c r="AL37" s="81"/>
      <c r="AM37" s="80">
        <f>SUM(AM39:AM49)</f>
        <v>0.11806523437499999</v>
      </c>
      <c r="AN37" s="81"/>
      <c r="AO37" s="80">
        <f>SUM(AO39:AO49)</f>
        <v>4.4678100585937491E-2</v>
      </c>
      <c r="AP37" s="81"/>
      <c r="AQ37" s="80">
        <f>SUM(AQ39:AQ49)</f>
        <v>1.0108398437499997E-2</v>
      </c>
      <c r="AR37" s="81"/>
      <c r="AS37" s="80">
        <f>SUM(AS39:AS49)</f>
        <v>1.0750732421874742E-3</v>
      </c>
      <c r="BH37">
        <f t="shared" si="19"/>
        <v>3</v>
      </c>
      <c r="BI37">
        <v>10</v>
      </c>
      <c r="BJ37" s="107">
        <f t="shared" si="20"/>
        <v>3.4723118506030346E-5</v>
      </c>
      <c r="BP37">
        <f t="shared" si="21"/>
        <v>8</v>
      </c>
      <c r="BQ37">
        <v>6</v>
      </c>
      <c r="BR37" s="107">
        <f t="shared" si="22"/>
        <v>1.1791463209605365E-4</v>
      </c>
    </row>
    <row r="38" spans="1:70" x14ac:dyDescent="0.25">
      <c r="A38" s="110" t="s">
        <v>125</v>
      </c>
      <c r="B38" s="107">
        <f>SUM(BJ4:BJ59)</f>
        <v>0.53824289584910767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2.463370635083699E-2</v>
      </c>
      <c r="BP38">
        <f>BL11+1</f>
        <v>8</v>
      </c>
      <c r="BQ38">
        <v>7</v>
      </c>
      <c r="BR38" s="107">
        <f t="shared" si="22"/>
        <v>4.0594500747361671E-5</v>
      </c>
    </row>
    <row r="39" spans="1:70" x14ac:dyDescent="0.25">
      <c r="A39" s="111" t="s">
        <v>126</v>
      </c>
      <c r="B39" s="107">
        <f>SUM(BR4:BR47)</f>
        <v>0.28686241832912457</v>
      </c>
      <c r="G39" s="128">
        <v>0</v>
      </c>
      <c r="H39" s="129">
        <f>L39*J39</f>
        <v>1.6581076073962548E-2</v>
      </c>
      <c r="I39" s="97">
        <v>0</v>
      </c>
      <c r="J39" s="98">
        <f t="shared" ref="J39:J49" si="26">Y39+AA39+AC39+AE39+AG39+AI39+AK39+AM39+AO39+AQ39+AS39</f>
        <v>2.3323118088328848E-2</v>
      </c>
      <c r="K39" s="102">
        <v>0</v>
      </c>
      <c r="L39" s="98">
        <f>AC20</f>
        <v>0.7109287879590982</v>
      </c>
      <c r="M39" s="84">
        <v>0</v>
      </c>
      <c r="N39" s="71">
        <f>(1-$C$24)^$B$21</f>
        <v>3.125E-2</v>
      </c>
      <c r="O39" s="70">
        <v>0</v>
      </c>
      <c r="P39" s="71">
        <f t="shared" ref="P39:P44" si="27">N39</f>
        <v>3.125E-2</v>
      </c>
      <c r="Q39" s="12">
        <v>0</v>
      </c>
      <c r="R39" s="73">
        <f>P39*N39</f>
        <v>9.765625E-4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9.6682128906250004E-4</v>
      </c>
      <c r="W39" s="134">
        <f>C31</f>
        <v>0.62570229526274812</v>
      </c>
      <c r="X39" s="12">
        <v>0</v>
      </c>
      <c r="Y39" s="79">
        <f>V39</f>
        <v>9.6682128906250004E-4</v>
      </c>
      <c r="Z39" s="12">
        <v>0</v>
      </c>
      <c r="AA39" s="78">
        <f>((1-W39)^Z40)*V40</f>
        <v>3.6224268686397593E-3</v>
      </c>
      <c r="AB39" s="12">
        <v>0</v>
      </c>
      <c r="AC39" s="79">
        <f>(((1-$W$39)^AB41))*V41</f>
        <v>6.1088879138696036E-3</v>
      </c>
      <c r="AD39" s="12">
        <v>0</v>
      </c>
      <c r="AE39" s="79">
        <f>(((1-$W$39)^AB42))*V42</f>
        <v>6.1067981419812376E-3</v>
      </c>
      <c r="AF39" s="12">
        <v>0</v>
      </c>
      <c r="AG39" s="79">
        <f>(((1-$W$39)^AB43))*V43</f>
        <v>4.0079612207107327E-3</v>
      </c>
      <c r="AH39" s="12">
        <v>0</v>
      </c>
      <c r="AI39" s="79">
        <f>(((1-$W$39)^AB44))*V44</f>
        <v>1.8049280919529276E-3</v>
      </c>
      <c r="AJ39" s="12">
        <v>0</v>
      </c>
      <c r="AK39" s="79">
        <f>(((1-$W$39)^AB45))*V45</f>
        <v>5.6504847743059925E-4</v>
      </c>
      <c r="AL39" s="12">
        <v>0</v>
      </c>
      <c r="AM39" s="79">
        <f>(((1-$W$39)^AB46))*V46</f>
        <v>1.2151843877274348E-4</v>
      </c>
      <c r="AN39" s="12">
        <v>0</v>
      </c>
      <c r="AO39" s="79">
        <f>(((1-$W$39)^AB47))*V47</f>
        <v>1.7212026780078332E-5</v>
      </c>
      <c r="AP39" s="12">
        <v>0</v>
      </c>
      <c r="AQ39" s="79">
        <f>(((1-$W$39)^AB48))*V48</f>
        <v>1.457594857744724E-6</v>
      </c>
      <c r="AR39" s="12">
        <v>0</v>
      </c>
      <c r="AS39" s="79">
        <f>(((1-$W$39)^AB49))*V49</f>
        <v>5.8024270917612163E-8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1.1545363242483541E-2</v>
      </c>
      <c r="BP39">
        <f t="shared" ref="BP39:BP46" si="28">BP31+1</f>
        <v>9</v>
      </c>
      <c r="BQ39">
        <v>0</v>
      </c>
      <c r="BR39" s="107">
        <f t="shared" ref="BR39:BR47" si="29">$H$34*H39</f>
        <v>4.4486431225956458E-6</v>
      </c>
    </row>
    <row r="40" spans="1:70" x14ac:dyDescent="0.25">
      <c r="G40" s="91">
        <v>1</v>
      </c>
      <c r="H40" s="130">
        <f>L39*J40+L40*J39</f>
        <v>8.1605266938989937E-2</v>
      </c>
      <c r="I40" s="93">
        <v>1</v>
      </c>
      <c r="J40" s="86">
        <f t="shared" si="26"/>
        <v>0.10633392973518861</v>
      </c>
      <c r="K40" s="95">
        <v>1</v>
      </c>
      <c r="L40" s="86">
        <f>AD20</f>
        <v>0.25765916592565569</v>
      </c>
      <c r="M40" s="85">
        <v>1</v>
      </c>
      <c r="N40" s="71">
        <f>(($C$24)^M26)*((1-($C$24))^($B$21-M26))*HLOOKUP($B$21,$AV$24:$BF$34,M26+1)</f>
        <v>0.15625</v>
      </c>
      <c r="O40" s="72">
        <v>1</v>
      </c>
      <c r="P40" s="71">
        <f t="shared" si="27"/>
        <v>0.15625</v>
      </c>
      <c r="Q40" s="28">
        <v>1</v>
      </c>
      <c r="R40" s="37">
        <f>P40*N39+P39*N40</f>
        <v>9.765625E-3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9.6779296874999997E-3</v>
      </c>
      <c r="W40" s="135"/>
      <c r="X40" s="28">
        <v>1</v>
      </c>
      <c r="Y40" s="73"/>
      <c r="Z40" s="28">
        <v>1</v>
      </c>
      <c r="AA40" s="79">
        <f>(1-((1-W39)^Z40))*V40</f>
        <v>6.0555028188602408E-3</v>
      </c>
      <c r="AB40" s="28">
        <v>1</v>
      </c>
      <c r="AC40" s="79">
        <f>((($W$39)^M40)*((1-($W$39))^($U$27-M40))*HLOOKUP($U$27,$AV$24:$BF$34,M40+1))*V41</f>
        <v>2.0424090988718557E-2</v>
      </c>
      <c r="AD40" s="28">
        <v>1</v>
      </c>
      <c r="AE40" s="79">
        <f>((($W$39)^M40)*((1-($W$39))^($U$28-M40))*HLOOKUP($U$28,$AV$24:$BF$34,M40+1))*V42</f>
        <v>3.0625656255302641E-2</v>
      </c>
      <c r="AF40" s="28">
        <v>1</v>
      </c>
      <c r="AG40" s="79">
        <f>((($W$39)^M40)*((1-($W$39))^($U$29-M40))*HLOOKUP($U$29,$AV$24:$BF$34,M40+1))*V43</f>
        <v>2.6799956327631783E-2</v>
      </c>
      <c r="AH40" s="28">
        <v>1</v>
      </c>
      <c r="AI40" s="79">
        <f>((($W$39)^M40)*((1-($W$39))^($U$30-M40))*HLOOKUP($U$30,$AV$24:$BF$34,M40+1))*V44</f>
        <v>1.5086221951480233E-2</v>
      </c>
      <c r="AJ40" s="28">
        <v>1</v>
      </c>
      <c r="AK40" s="79">
        <f>((($W$39)^M40)*((1-($W$39))^($U$31-M40))*HLOOKUP($U$31,$AV$24:$BF$34,M40+1))*V45</f>
        <v>5.6674479932154378E-3</v>
      </c>
      <c r="AL40" s="28">
        <v>1</v>
      </c>
      <c r="AM40" s="79">
        <f>((($W$39)^Q40)*((1-($W$39))^($U$32-Q40))*HLOOKUP($U$32,$AV$24:$BF$34,Q40+1))*V46</f>
        <v>1.4219712161248209E-3</v>
      </c>
      <c r="AN40" s="28">
        <v>1</v>
      </c>
      <c r="AO40" s="79">
        <f>((($W$39)^Q40)*((1-($W$39))^($U$33-Q40))*HLOOKUP($U$33,$AV$24:$BF$34,Q40+1))*V47</f>
        <v>2.3018264928937056E-4</v>
      </c>
      <c r="AP40" s="28">
        <v>1</v>
      </c>
      <c r="AQ40" s="79">
        <f>((($W$39)^Q40)*((1-($W$39))^($U$34-Q40))*HLOOKUP($U$34,$AV$24:$BF$34,Q40+1))*V48</f>
        <v>2.1929560156529481E-5</v>
      </c>
      <c r="AR40" s="28">
        <v>1</v>
      </c>
      <c r="AS40" s="79">
        <f>((($W$39)^Q40)*((1-($W$39))^($U$35-Q40))*HLOOKUP($U$35,$AV$24:$BF$34,Q40+1))*V49</f>
        <v>9.6997440899573101E-7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3.9747251756997665E-3</v>
      </c>
      <c r="BP40">
        <f t="shared" si="28"/>
        <v>9</v>
      </c>
      <c r="BQ40">
        <v>1</v>
      </c>
      <c r="BR40" s="107">
        <f t="shared" si="29"/>
        <v>2.1894399851755931E-5</v>
      </c>
    </row>
    <row r="41" spans="1:70" x14ac:dyDescent="0.25">
      <c r="G41" s="91">
        <v>2</v>
      </c>
      <c r="H41" s="130">
        <f>L39*J41+J40*L40+J39*L41</f>
        <v>0.18323572841762997</v>
      </c>
      <c r="I41" s="93">
        <v>2</v>
      </c>
      <c r="J41" s="86">
        <f t="shared" si="26"/>
        <v>0.2182237249625526</v>
      </c>
      <c r="K41" s="95">
        <v>2</v>
      </c>
      <c r="L41" s="86">
        <f>AE20</f>
        <v>2.9854004866755851E-2</v>
      </c>
      <c r="M41" s="85">
        <v>2</v>
      </c>
      <c r="N41" s="71">
        <f>(($C$24)^M27)*((1-($C$24))^($B$21-M27))*HLOOKUP($B$21,$AV$24:$BF$34,M27+1)</f>
        <v>0.3125</v>
      </c>
      <c r="O41" s="72">
        <v>2</v>
      </c>
      <c r="P41" s="71">
        <f t="shared" si="27"/>
        <v>0.3125</v>
      </c>
      <c r="Q41" s="28">
        <v>2</v>
      </c>
      <c r="R41" s="37">
        <f>P41*N39+P40*N40+P39*N41</f>
        <v>4.39453125E-2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4.3604150390624999E-2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1.707117148803684E-2</v>
      </c>
      <c r="AD41" s="28">
        <v>2</v>
      </c>
      <c r="AE41" s="79">
        <f>((($W$39)^M41)*((1-($W$39))^($U$28-M41))*HLOOKUP($U$28,$AV$24:$BF$34,M41+1))*V42</f>
        <v>5.1195994980312409E-2</v>
      </c>
      <c r="AF41" s="28">
        <v>2</v>
      </c>
      <c r="AG41" s="79">
        <f>((($W$39)^M41)*((1-($W$39))^($U$29-M41))*HLOOKUP($U$29,$AV$24:$BF$34,M41+1))*V43</f>
        <v>6.7201029988596561E-2</v>
      </c>
      <c r="AH41" s="28">
        <v>2</v>
      </c>
      <c r="AI41" s="79">
        <f>((($W$39)^M41)*((1-($W$39))^($U$30-M41))*HLOOKUP($U$30,$AV$24:$BF$34,M41+1))*V44</f>
        <v>5.0438373425296487E-2</v>
      </c>
      <c r="AJ41" s="28">
        <v>2</v>
      </c>
      <c r="AK41" s="79">
        <f>((($W$39)^M41)*((1-($W$39))^($U$31-M41))*HLOOKUP($U$31,$AV$24:$BF$34,M41+1))*V45</f>
        <v>2.3685258904582771E-2</v>
      </c>
      <c r="AL41" s="28">
        <v>2</v>
      </c>
      <c r="AM41" s="79">
        <f>((($W$39)^Q41)*((1-($W$39))^($U$32-Q41))*HLOOKUP($U$32,$AV$24:$BF$34,Q41+1))*V46</f>
        <v>7.1312004519351645E-3</v>
      </c>
      <c r="AN41" s="28">
        <v>2</v>
      </c>
      <c r="AO41" s="79">
        <f>((($W$39)^Q41)*((1-($W$39))^($U$33-Q41))*HLOOKUP($U$33,$AV$24:$BF$34,Q41+1))*V47</f>
        <v>1.3467631128513788E-3</v>
      </c>
      <c r="AP41" s="28">
        <v>2</v>
      </c>
      <c r="AQ41" s="79">
        <f>((($W$39)^Q41)*((1-($W$39))^($U$34-Q41))*HLOOKUP($U$34,$AV$24:$BF$34,Q41+1))*V48</f>
        <v>1.4663596330279489E-4</v>
      </c>
      <c r="AR41" s="28">
        <v>2</v>
      </c>
      <c r="AS41" s="79">
        <f>((($W$39)^Q41)*((1-($W$39))^($U$35-Q41))*HLOOKUP($U$35,$AV$24:$BF$34,Q41+1))*V49</f>
        <v>7.2966476381777041E-6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1.0030010395079279E-3</v>
      </c>
      <c r="BP41">
        <f t="shared" si="28"/>
        <v>9</v>
      </c>
      <c r="BQ41">
        <v>2</v>
      </c>
      <c r="BR41" s="107">
        <f t="shared" si="29"/>
        <v>4.9161487433190957E-5</v>
      </c>
    </row>
    <row r="42" spans="1:70" ht="15" customHeight="1" x14ac:dyDescent="0.25">
      <c r="G42" s="91">
        <v>3</v>
      </c>
      <c r="H42" s="130">
        <f>J42*L39+J41*L40+L42*J39+L41*J40</f>
        <v>0.2481921520245913</v>
      </c>
      <c r="I42" s="93">
        <v>3</v>
      </c>
      <c r="J42" s="86">
        <f t="shared" si="26"/>
        <v>0.26550335311582463</v>
      </c>
      <c r="K42" s="95">
        <v>3</v>
      </c>
      <c r="L42" s="86">
        <f>AF20</f>
        <v>1.5580412484902662E-3</v>
      </c>
      <c r="M42" s="85">
        <v>3</v>
      </c>
      <c r="N42" s="71">
        <f>(($C$24)^M28)*((1-($C$24))^($B$21-M28))*HLOOKUP($B$21,$AV$24:$BF$34,M28+1)</f>
        <v>0.3125</v>
      </c>
      <c r="O42" s="72">
        <v>3</v>
      </c>
      <c r="P42" s="71">
        <f t="shared" si="27"/>
        <v>0.3125</v>
      </c>
      <c r="Q42" s="28">
        <v>3</v>
      </c>
      <c r="R42" s="37">
        <f>P42*N39+P41*N40+P40*N41+P39*N42</f>
        <v>0.1171875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0.1164560546875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2.8527605309903718E-2</v>
      </c>
      <c r="AF42" s="28">
        <v>3</v>
      </c>
      <c r="AG42" s="79">
        <f>((($W$39)^M42)*((1-($W$39))^($U$29-M42))*HLOOKUP($U$29,$AV$24:$BF$34,M42+1))*V43</f>
        <v>7.4891969993782032E-2</v>
      </c>
      <c r="AH42" s="28">
        <v>3</v>
      </c>
      <c r="AI42" s="79">
        <f>((($W$39)^M42)*((1-($W$39))^($U$30-M42))*HLOOKUP($U$30,$AV$24:$BF$34,M42+1))*V44</f>
        <v>8.4316322601234117E-2</v>
      </c>
      <c r="AJ42" s="28">
        <v>3</v>
      </c>
      <c r="AK42" s="79">
        <f>((($W$39)^M42)*((1-($W$39))^($U$31-M42))*HLOOKUP($U$31,$AV$24:$BF$34,M42+1))*V45</f>
        <v>5.2791919989261367E-2</v>
      </c>
      <c r="AL42" s="28">
        <v>3</v>
      </c>
      <c r="AM42" s="79">
        <f>((($W$39)^Q42)*((1-($W$39))^($U$32-Q42))*HLOOKUP($U$32,$AV$24:$BF$34,Q42+1))*V46</f>
        <v>1.9868358057778292E-2</v>
      </c>
      <c r="AN42" s="28">
        <v>3</v>
      </c>
      <c r="AO42" s="79">
        <f>((($W$39)^Q42)*((1-($W$39))^($U$33-Q42))*HLOOKUP($U$33,$AV$24:$BF$34,Q42+1))*V47</f>
        <v>4.5026873540560319E-3</v>
      </c>
      <c r="AP42" s="28">
        <v>3</v>
      </c>
      <c r="AQ42" s="79">
        <f>((($W$39)^Q42)*((1-($W$39))^($U$34-Q42))*HLOOKUP($U$34,$AV$24:$BF$34,Q42+1))*V48</f>
        <v>5.7196290859545123E-4</v>
      </c>
      <c r="AR42" s="28">
        <v>3</v>
      </c>
      <c r="AS42" s="79">
        <f>((($W$39)^Q42)*((1-($W$39))^($U$35-Q42))*HLOOKUP($U$35,$AV$24:$BF$34,Q42+1))*V49</f>
        <v>3.2526901213647166E-5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1.8295898069759582E-4</v>
      </c>
      <c r="BP42">
        <f t="shared" si="28"/>
        <v>9</v>
      </c>
      <c r="BQ42">
        <v>3</v>
      </c>
      <c r="BR42" s="107">
        <f t="shared" si="29"/>
        <v>6.6589062450549908E-5</v>
      </c>
    </row>
    <row r="43" spans="1:70" ht="15" customHeight="1" x14ac:dyDescent="0.25">
      <c r="G43" s="91">
        <v>4</v>
      </c>
      <c r="H43" s="130">
        <f>J43*L39+J42*L40+J41*L41+J40*L42</f>
        <v>0.22588690034616293</v>
      </c>
      <c r="I43" s="93">
        <v>4</v>
      </c>
      <c r="J43" s="86">
        <f t="shared" si="26"/>
        <v>0.21211266949684329</v>
      </c>
      <c r="K43" s="95">
        <v>4</v>
      </c>
      <c r="L43" s="86"/>
      <c r="M43" s="85">
        <v>4</v>
      </c>
      <c r="N43" s="71">
        <f>(($C$24)^M29)*((1-($C$24))^($B$21-M29))*HLOOKUP($B$21,$AV$24:$BF$34,M29+1)</f>
        <v>0.15625</v>
      </c>
      <c r="O43" s="72">
        <v>4</v>
      </c>
      <c r="P43" s="71">
        <f t="shared" si="27"/>
        <v>0.15625</v>
      </c>
      <c r="Q43" s="28">
        <v>4</v>
      </c>
      <c r="R43" s="37">
        <f>P43*N39+P42*N40+P41*N41+P40*N42+P39*N43</f>
        <v>0.205078125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0.20419958496093749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3.1298667430216372E-2</v>
      </c>
      <c r="AH43" s="28">
        <v>4</v>
      </c>
      <c r="AI43" s="79">
        <f>((($W$39)^M43)*((1-($W$39))^($U$30-M43))*HLOOKUP($U$30,$AV$24:$BF$34,M43+1))*V44</f>
        <v>7.0474539266465214E-2</v>
      </c>
      <c r="AJ43" s="28">
        <v>4</v>
      </c>
      <c r="AK43" s="79">
        <f>((($W$39)^M43)*((1-($W$39))^($U$31-M43))*HLOOKUP($U$31,$AV$24:$BF$34,M43+1))*V45</f>
        <v>6.6188007080745834E-2</v>
      </c>
      <c r="AL43" s="28">
        <v>4</v>
      </c>
      <c r="AM43" s="79">
        <f>((($W$39)^Q43)*((1-($W$39))^($U$32-Q43))*HLOOKUP($U$32,$AV$24:$BF$34,Q43+1))*V46</f>
        <v>3.3213340831413155E-2</v>
      </c>
      <c r="AN43" s="28">
        <v>4</v>
      </c>
      <c r="AO43" s="79">
        <f>((($W$39)^Q43)*((1-($W$39))^($U$33-Q43))*HLOOKUP($U$33,$AV$24:$BF$34,Q43+1))*V47</f>
        <v>9.4087599811128811E-3</v>
      </c>
      <c r="AP43" s="28">
        <v>4</v>
      </c>
      <c r="AQ43" s="79">
        <f>((($W$39)^Q43)*((1-($W$39))^($U$34-Q43))*HLOOKUP($U$34,$AV$24:$BF$34,Q43+1))*V48</f>
        <v>1.434199970440188E-3</v>
      </c>
      <c r="AR43" s="28">
        <v>4</v>
      </c>
      <c r="AS43" s="79">
        <f>((($W$39)^Q43)*((1-($W$39))^($U$35-Q43))*HLOOKUP($U$35,$AV$24:$BF$34,Q43+1))*V49</f>
        <v>9.5154936449685812E-5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2.3455679627889212E-5</v>
      </c>
      <c r="BP43">
        <f t="shared" si="28"/>
        <v>9</v>
      </c>
      <c r="BQ43">
        <v>4</v>
      </c>
      <c r="BR43" s="107">
        <f t="shared" si="29"/>
        <v>6.0604643584465314E-5</v>
      </c>
    </row>
    <row r="44" spans="1:70" ht="15" customHeight="1" x14ac:dyDescent="0.25">
      <c r="G44" s="91">
        <v>5</v>
      </c>
      <c r="H44" s="130">
        <f>J44*L39+J43*L40+J42*L41+J41*L42</f>
        <v>0.14560294494229817</v>
      </c>
      <c r="I44" s="93">
        <v>5</v>
      </c>
      <c r="J44" s="86">
        <f t="shared" si="26"/>
        <v>0.11630395741026539</v>
      </c>
      <c r="K44" s="95">
        <v>5</v>
      </c>
      <c r="L44" s="86"/>
      <c r="M44" s="85">
        <v>5</v>
      </c>
      <c r="N44" s="71">
        <f>(($C$24)^M30)*((1-($C$24))^($B$21-M30))*HLOOKUP($B$21,$AV$24:$BF$34,M30+1)</f>
        <v>3.125E-2</v>
      </c>
      <c r="O44" s="72">
        <v>5</v>
      </c>
      <c r="P44" s="71">
        <f t="shared" si="27"/>
        <v>3.125E-2</v>
      </c>
      <c r="Q44" s="28">
        <v>5</v>
      </c>
      <c r="R44" s="37">
        <f>P44*N39+P43*N40+P42*N41+P41*N42+P40*N43+P39*N44</f>
        <v>0.24609375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0.245682421875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2.3562036538571005E-2</v>
      </c>
      <c r="AJ44" s="28">
        <v>5</v>
      </c>
      <c r="AK44" s="79">
        <f>((($W$39)^M44)*((1-($W$39))^($U$31-M44))*HLOOKUP($U$31,$AV$24:$BF$34,M44+1))*V45</f>
        <v>4.4257805939110779E-2</v>
      </c>
      <c r="AL44" s="28">
        <v>5</v>
      </c>
      <c r="AM44" s="79">
        <f>((($W$39)^Q44)*((1-($W$39))^($U$32-Q44))*HLOOKUP($U$32,$AV$24:$BF$34,Q44+1))*V46</f>
        <v>3.3313050005712538E-2</v>
      </c>
      <c r="AN44" s="28">
        <v>5</v>
      </c>
      <c r="AO44" s="79">
        <f>((($W$39)^Q44)*((1-($W$39))^($U$33-Q44))*HLOOKUP($U$33,$AV$24:$BF$34,Q44+1))*V47</f>
        <v>1.2582674467408156E-2</v>
      </c>
      <c r="AP44" s="28">
        <v>5</v>
      </c>
      <c r="AQ44" s="79">
        <f>((($W$39)^Q44)*((1-($W$39))^($U$34-Q44))*HLOOKUP($U$34,$AV$24:$BF$34,Q44+1))*V48</f>
        <v>2.3975092607103538E-3</v>
      </c>
      <c r="AR44" s="28">
        <v>5</v>
      </c>
      <c r="AS44" s="79">
        <f>((($W$39)^Q44)*((1-($W$39))^($U$35-Q44))*HLOOKUP($U$35,$AV$24:$BF$34,Q44+1))*V49</f>
        <v>1.9088119875256221E-4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5.6463410856305296E-3</v>
      </c>
      <c r="BP44">
        <f t="shared" si="28"/>
        <v>9</v>
      </c>
      <c r="BQ44">
        <v>5</v>
      </c>
      <c r="BR44" s="107">
        <f t="shared" si="29"/>
        <v>3.9064746869135572E-5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6.8241411365084603E-2</v>
      </c>
      <c r="I45" s="93">
        <v>6</v>
      </c>
      <c r="J45" s="86">
        <f t="shared" si="26"/>
        <v>4.4348398033208211E-2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0.205078125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0.20548623046875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1.2330742084403186E-2</v>
      </c>
      <c r="AL45" s="28">
        <v>6</v>
      </c>
      <c r="AM45" s="79">
        <f>((($W$39)^Q45)*((1-($W$39))^($U$32-Q45))*HLOOKUP($U$32,$AV$24:$BF$34,Q45+1))*V46</f>
        <v>1.8562810286185668E-2</v>
      </c>
      <c r="AN45" s="28">
        <v>6</v>
      </c>
      <c r="AO45" s="79">
        <f>((($W$39)^Q45)*((1-($W$39))^($U$33-Q45))*HLOOKUP($U$33,$AV$24:$BF$34,Q45+1))*V47</f>
        <v>1.0517040573796634E-2</v>
      </c>
      <c r="AP45" s="28">
        <v>6</v>
      </c>
      <c r="AQ45" s="79">
        <f>((($W$39)^Q45)*((1-($W$39))^($U$34-Q45))*HLOOKUP($U$34,$AV$24:$BF$34,Q45+1))*V48</f>
        <v>2.6718964224715486E-3</v>
      </c>
      <c r="AR45" s="28">
        <v>6</v>
      </c>
      <c r="AS45" s="79">
        <f>((($W$39)^Q45)*((1-($W$39))^($U$35-Q45))*HLOOKUP($U$35,$AV$24:$BF$34,Q45+1))*V49</f>
        <v>2.6590866635116774E-4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1.9438672991302041E-3</v>
      </c>
      <c r="BP45">
        <f t="shared" si="28"/>
        <v>9</v>
      </c>
      <c r="BQ45">
        <v>6</v>
      </c>
      <c r="BR45" s="107">
        <f t="shared" si="29"/>
        <v>1.8308925427477032E-5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2.3493488258559014E-2</v>
      </c>
      <c r="I46" s="93">
        <v>7</v>
      </c>
      <c r="J46" s="86">
        <f t="shared" si="26"/>
        <v>1.16243679426111E-2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0.1171875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0.11806523437500001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4.4329850870776146E-3</v>
      </c>
      <c r="AN46" s="28">
        <v>7</v>
      </c>
      <c r="AO46" s="79">
        <f>((($W$39)^Q46)*((1-($W$39))^($U$33-Q46))*HLOOKUP($U$33,$AV$24:$BF$34,Q46+1))*V47</f>
        <v>5.023149329767853E-3</v>
      </c>
      <c r="AP46" s="28">
        <v>7</v>
      </c>
      <c r="AQ46" s="79">
        <f>((($W$39)^Q46)*((1-($W$39))^($U$34-Q46))*HLOOKUP($U$34,$AV$24:$BF$34,Q46+1))*V48</f>
        <v>1.9142269105417175E-3</v>
      </c>
      <c r="AR46" s="28">
        <v>7</v>
      </c>
      <c r="AS46" s="79">
        <f>((($W$39)^Q46)*((1-($W$39))^($U$35-Q46))*HLOOKUP($U$35,$AV$24:$BF$34,Q46+1))*V49</f>
        <v>2.5400661522391498E-4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4.9052471190031647E-4</v>
      </c>
      <c r="BP46">
        <f t="shared" si="28"/>
        <v>9</v>
      </c>
      <c r="BQ46">
        <v>7</v>
      </c>
      <c r="BR46" s="107">
        <f t="shared" si="29"/>
        <v>6.3032184703223125E-6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5.9284584728184269E-3</v>
      </c>
      <c r="I47" s="93">
        <v>8</v>
      </c>
      <c r="J47" s="86">
        <f t="shared" si="26"/>
        <v>2.0088508086556975E-3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4.39453125E-2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4.4678100585937498E-2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1.0496310908751059E-3</v>
      </c>
      <c r="AP47" s="28">
        <v>8</v>
      </c>
      <c r="AQ47" s="79">
        <f>((($W$39)^Q47)*((1-($W$39))^($U$34-Q47))*HLOOKUP($U$34,$AV$24:$BF$34,Q47+1))*V48</f>
        <v>7.9998899032820297E-4</v>
      </c>
      <c r="AR47" s="28">
        <v>8</v>
      </c>
      <c r="AS47" s="79">
        <f>((($W$39)^Q47)*((1-($W$39))^($U$35-Q47))*HLOOKUP($U$35,$AV$24:$BF$34,Q47+1))*V49</f>
        <v>1.5923072745238864E-4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8.9477376155355816E-5</v>
      </c>
      <c r="BP47">
        <f>BL12+1</f>
        <v>9</v>
      </c>
      <c r="BQ47">
        <v>8</v>
      </c>
      <c r="BR47" s="107">
        <f t="shared" si="29"/>
        <v>1.5905841029287801E-6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1.0814193371394922E-3</v>
      </c>
      <c r="I48" s="93">
        <v>9</v>
      </c>
      <c r="J48" s="86">
        <f t="shared" si="26"/>
        <v>2.0774224541432964E-4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9.765625E-3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1.0108398437499999E-2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1.4859085609546572E-4</v>
      </c>
      <c r="AR48" s="28">
        <v>9</v>
      </c>
      <c r="AS48" s="79">
        <f>((($W$39)^Q48)*((1-($W$39))^($U$35-Q48))*HLOOKUP($U$35,$AV$24:$BF$34,Q48+1))*V49</f>
        <v>5.9151389318863927E-5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1.1471165072312508E-5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1.3863995863244092E-4</v>
      </c>
      <c r="I49" s="94">
        <v>10</v>
      </c>
      <c r="J49" s="89">
        <f t="shared" si="26"/>
        <v>9.8881611071525321E-6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9.765625E-4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1.0750732421874742E-3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9.8881611071525321E-6</v>
      </c>
      <c r="BH49">
        <f>BP14+1</f>
        <v>6</v>
      </c>
      <c r="BI49">
        <v>0</v>
      </c>
      <c r="BJ49" s="107">
        <f>$H$31*H39</f>
        <v>5.0017303726768961E-4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7.0868798417424151E-4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1.7883369375051205E-4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3.2621332415599236E-5</v>
      </c>
    </row>
    <row r="53" spans="1:62" x14ac:dyDescent="0.25">
      <c r="BH53">
        <f>BH48+1</f>
        <v>6</v>
      </c>
      <c r="BI53">
        <v>10</v>
      </c>
      <c r="BJ53" s="107">
        <f>$H$31*H49</f>
        <v>4.1821151345386107E-6</v>
      </c>
    </row>
    <row r="54" spans="1:62" x14ac:dyDescent="0.25">
      <c r="BH54">
        <f>BH51+1</f>
        <v>7</v>
      </c>
      <c r="BI54">
        <v>8</v>
      </c>
      <c r="BJ54" s="107">
        <f>$H$32*H47</f>
        <v>4.9240939894940241E-5</v>
      </c>
    </row>
    <row r="55" spans="1:62" x14ac:dyDescent="0.25">
      <c r="BH55">
        <f>BH52+1</f>
        <v>7</v>
      </c>
      <c r="BI55">
        <v>9</v>
      </c>
      <c r="BJ55" s="107">
        <f>$H$32*H48</f>
        <v>8.9821164853325539E-6</v>
      </c>
    </row>
    <row r="56" spans="1:62" x14ac:dyDescent="0.25">
      <c r="BH56">
        <f>BH53+1</f>
        <v>7</v>
      </c>
      <c r="BI56">
        <v>10</v>
      </c>
      <c r="BJ56" s="107">
        <f>$H$32*H49</f>
        <v>1.1515239419078766E-6</v>
      </c>
    </row>
    <row r="57" spans="1:62" x14ac:dyDescent="0.25">
      <c r="BH57">
        <f>BH55+1</f>
        <v>8</v>
      </c>
      <c r="BI57">
        <v>9</v>
      </c>
      <c r="BJ57" s="107">
        <f>$H$33*H48</f>
        <v>1.8685891855045068E-6</v>
      </c>
    </row>
    <row r="58" spans="1:62" x14ac:dyDescent="0.25">
      <c r="BH58">
        <f>BH56+1</f>
        <v>8</v>
      </c>
      <c r="BI58">
        <v>10</v>
      </c>
      <c r="BJ58" s="107">
        <f>$H$33*H49</f>
        <v>2.3955658871851208E-7</v>
      </c>
    </row>
    <row r="59" spans="1:62" x14ac:dyDescent="0.25">
      <c r="BH59">
        <f>BH58+1</f>
        <v>9</v>
      </c>
      <c r="BI59">
        <v>10</v>
      </c>
      <c r="BJ59" s="107">
        <f>$H$34*H49</f>
        <v>3.7196602665351611E-8</v>
      </c>
    </row>
  </sheetData>
  <mergeCells count="2">
    <mergeCell ref="P1:Q1"/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workbookViewId="0">
      <selection activeCell="Z14" sqref="Z14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0</v>
      </c>
      <c r="H1" s="13"/>
      <c r="J1" s="195" t="s">
        <v>1</v>
      </c>
      <c r="K1" s="192">
        <f>IF(D3="SI",COUNTIF($J$6:$J$18,"RAP"),0)</f>
        <v>0</v>
      </c>
      <c r="L1" s="13"/>
      <c r="P1" s="304"/>
      <c r="Q1" s="304"/>
      <c r="R1" s="150">
        <v>0</v>
      </c>
      <c r="S1" s="151">
        <f>1+R1</f>
        <v>1</v>
      </c>
      <c r="AI1" s="156" t="s">
        <v>146</v>
      </c>
    </row>
    <row r="2" spans="1:70" x14ac:dyDescent="0.25">
      <c r="A2" s="153" t="s">
        <v>145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190" t="s">
        <v>147</v>
      </c>
      <c r="R2" s="150">
        <v>0</v>
      </c>
      <c r="S2" s="151">
        <f>1+R2</f>
        <v>1</v>
      </c>
      <c r="Y2" t="s">
        <v>3</v>
      </c>
      <c r="Z2" s="191" t="s">
        <v>147</v>
      </c>
      <c r="AI2" s="13">
        <f>IF(B17="JC",IF(C17="JC",4,3),IF(C17="JC",3,2))</f>
        <v>2</v>
      </c>
    </row>
    <row r="3" spans="1:70" x14ac:dyDescent="0.25">
      <c r="A3" s="157" t="s">
        <v>4</v>
      </c>
      <c r="B3" s="303" t="s">
        <v>5</v>
      </c>
      <c r="C3" s="303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190" t="s">
        <v>148</v>
      </c>
      <c r="Q3" t="s">
        <v>8</v>
      </c>
      <c r="R3" s="190" t="s">
        <v>149</v>
      </c>
      <c r="Y3" t="s">
        <v>7</v>
      </c>
      <c r="Z3" s="191" t="s">
        <v>148</v>
      </c>
      <c r="AA3" t="s">
        <v>8</v>
      </c>
      <c r="AB3" s="191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90</v>
      </c>
      <c r="AI4" s="153" t="s">
        <v>18</v>
      </c>
      <c r="AK4" s="9" t="s">
        <v>15</v>
      </c>
      <c r="AM4" s="13" t="s">
        <v>150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COUNTIF(F5:F10,"IMP")*AI5*AG5</f>
        <v>0</v>
      </c>
      <c r="P5" s="188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COUNTIF(J5:J10,"IMP")*AI5*AK5</f>
        <v>0</v>
      </c>
      <c r="Z5" s="189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193">
        <f>IF(COUNTIF(F5:F10,"IMP")+COUNTIF(J5:J10,"IMP")=0,0,COUNTIF(F5:F10,"IMP")/(COUNTIF(F5:F10,"IMP")+COUNTIF(J5:J10,"IMP")))</f>
        <v>0</v>
      </c>
      <c r="AI5" s="153">
        <f>IF(AN5=0,(AM5*2*$AI$2/2)+SUM($AN$5:$AN$19),0)</f>
        <v>0</v>
      </c>
      <c r="AK5" s="19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COUNTIF(F11:F18,"IMP")*AI6*AG6</f>
        <v>0</v>
      </c>
      <c r="P6" s="188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COUNTIF(J11:J18,"IMP")*AI6*AK6</f>
        <v>0</v>
      </c>
      <c r="Z6" s="189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193">
        <f>IF(COUNTIF(F11:F18,"IMP")+COUNTIF(J11:J18,"IMP")=0,0,COUNTIF(F11:F18,"IMP")/(COUNTIF(F11:F18,"IMP")+COUNTIF(J11:J18,"IMP")))</f>
        <v>0</v>
      </c>
      <c r="AI6" s="153">
        <f>IF(AN6=0,(AM6*2*$AI$2/2)+SUM($AN$5:$AN$19),0)</f>
        <v>0</v>
      </c>
      <c r="AK6" s="193">
        <f>IF(COUNTIF(F11:F18,"IMP")+COUNTIF(J11:J18,"IMP")=0,0,COUNTIF(J11:J18,"IMP")/(COUNTIF(F11:F18,"IMP")+COUNTIF(J11:J18,"IMP")))</f>
        <v>0</v>
      </c>
      <c r="AM6" s="13">
        <v>0.05</v>
      </c>
      <c r="AN6">
        <f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151</v>
      </c>
      <c r="X7" s="15" t="s">
        <v>152</v>
      </c>
      <c r="Y7" s="69"/>
      <c r="Z7" s="189">
        <f>C30</f>
        <v>0.15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153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COUNTIF(F6:F18,"IMP")*AI8*AG8</f>
        <v>0</v>
      </c>
      <c r="P8" s="188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COUNTIF(J6:J18,"IMP")*AI8*AK8</f>
        <v>0</v>
      </c>
      <c r="Z8" s="189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193">
        <f>IF(COUNTIF(F6:F18,"IMP")+COUNTIF(J6:J18,"IMP")=0,0,COUNTIF(F6:F18,"IMP")/(COUNTIF(F6:F18,"IMP")+COUNTIF(J6:J18,"IMP")))</f>
        <v>0</v>
      </c>
      <c r="AI8" s="153">
        <f>IF(AN8=0,(AM8*2*$AI$2/2)+SUM($AN$5:$AN$19),0)</f>
        <v>0</v>
      </c>
      <c r="AK8" s="193">
        <f>IF(COUNTIF(F6:F18,"IMP")+COUNTIF(J6:J18,"IMP")=0,0,COUNTIF(J6:J18,"IMP")/(COUNTIF(F6:F18,"IMP")+COUNTIF(J6:J18,"IMP")))</f>
        <v>0</v>
      </c>
      <c r="AM8" s="13">
        <v>0.05</v>
      </c>
      <c r="AN8">
        <f>IF(AK8+AG8=0,AM8*2/10,0)</f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COUNTIF(J6:J13,"IMP")*AI9*AG9</f>
        <v>0</v>
      </c>
      <c r="P9" s="188" t="str">
        <f>Z3</f>
        <v>0,6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COUNTIF(F6:F13,"IMP")*AI9*AK9</f>
        <v>0</v>
      </c>
      <c r="Z9" s="189" t="str">
        <f>P3</f>
        <v>0,6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193">
        <f>IF(COUNTIF(J6:J13,"IMP")+COUNTIF(F6:F13,"IMP")=0,0,COUNTIF(J6:J13,"IMP")/(COUNTIF(J6:J13,"IMP")+COUNTIF(F6:F13,"IMP")))</f>
        <v>0</v>
      </c>
      <c r="AI9" s="153">
        <f>IF(AN9=0,(AM9*2*$AI$2/2)+SUM($AN$5:$AN$19),0)</f>
        <v>0</v>
      </c>
      <c r="AK9" s="193">
        <f>IF(COUNTIF(J6:J13,"IMP")+COUNTIF(F6:F13,"IMP")=0,0,COUNTIF(F6:F13,"IMP")/(COUNTIF(J6:J13,"IMP")+COUNTIF(F6:F13,"IMP")))</f>
        <v>0</v>
      </c>
      <c r="AM9" s="13">
        <v>2.5000000000000001E-2</v>
      </c>
      <c r="AN9">
        <f>IF(AK9+AG9=0,AM9*2/10,0)</f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COUNTIF(F11:F18,"RAP")*AI10*AG10</f>
        <v>0</v>
      </c>
      <c r="P10" s="188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COUNTIF(J11:J18,"RAP")*AI10*AK10</f>
        <v>0</v>
      </c>
      <c r="Z10" s="189" t="str">
        <f>AB3</f>
        <v>0,72</v>
      </c>
      <c r="AA10" s="19">
        <f t="shared" si="4"/>
        <v>0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193">
        <f>IF(COUNTIF(F11:F18,"RAP")+COUNTIF(J11:J18,"RAP")=0,0,COUNTIF(F11:F18,"RAP")/(COUNTIF(F11:F18,"RAP")+COUNTIF(J11:J18,"RAP")))</f>
        <v>0</v>
      </c>
      <c r="AI10" s="153">
        <f>IF(AN10=0,(AM10*2*$AI$2/2)+SUM($AN$5:$AN$19),0)</f>
        <v>0</v>
      </c>
      <c r="AK10" s="193">
        <f>IF(COUNTIF(F11:F18,"RAP")+COUNTIF(J11:J18,"RAP")=0,0,COUNTIF(J11:J18,"RAP")/(COUNTIF(F11:F18,"RAP")+COUNTIF(J11:J18,"RAP")))</f>
        <v>0</v>
      </c>
      <c r="AM10" s="13">
        <v>0.05</v>
      </c>
      <c r="AN10">
        <f>IF(AK10+AG10=0,AM10*2/10,0)</f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COUNTIF(F11:F18,"RAP")*AI11*AG11</f>
        <v>0</v>
      </c>
      <c r="P11" s="188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COUNTIF(J11:J18,"RAP")*AI11*AK11</f>
        <v>0</v>
      </c>
      <c r="Z11" s="189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193">
        <f>IF(COUNTIF(F11:F18,"RAP")+COUNTIF(J11:J18,"RAP")=0,0,COUNTIF(F11:F18,"RAP")/(COUNTIF(F11:F18,"RAP")+COUNTIF(J11:J18,"RAP")))</f>
        <v>0</v>
      </c>
      <c r="AI11" s="153">
        <f>IF(AN11=0,(AM11*2*$AI$2/2)+SUM($AN$5:$AN$19),0)</f>
        <v>0</v>
      </c>
      <c r="AK11" s="193">
        <f>IF(COUNTIF(F11:F18,"RAP")+COUNTIF(J11:J18,"RAP")=0,0,COUNTIF(J11:J18,"RAP")/(COUNTIF(F11:F18,"RAP")+COUNTIF(J11:J18,"RAP")))</f>
        <v>0</v>
      </c>
      <c r="AM11" s="13">
        <v>0.05</v>
      </c>
      <c r="AN11">
        <f>IF(AK11+AG11=0,AM11*2/10,0)</f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153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3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 t="e">
        <f>AI13*B22/0.5</f>
        <v>#DIV/0!</v>
      </c>
      <c r="P13" s="188" t="str">
        <f>P2</f>
        <v>0,4</v>
      </c>
      <c r="Q13" s="16" t="e">
        <f t="shared" si="1"/>
        <v>#DIV/0!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 t="e">
        <f>AI13*C22/0.5</f>
        <v>#DIV/0!</v>
      </c>
      <c r="Z13" s="189" t="str">
        <f>Z2</f>
        <v>0,4</v>
      </c>
      <c r="AA13" s="19" t="e">
        <f t="shared" si="4"/>
        <v>#DIV/0!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153">
        <f>(AM13*$AI$2/2)+SUM($AN$5:$AN$19)</f>
        <v>0.32800000000000001</v>
      </c>
      <c r="AK13" s="13"/>
      <c r="AM13" s="13">
        <v>0.22000000000000003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3</v>
      </c>
      <c r="C14" s="164">
        <v>10.75</v>
      </c>
      <c r="E14" s="187" t="s">
        <v>64</v>
      </c>
      <c r="F14" s="162"/>
      <c r="G14" s="162"/>
      <c r="H14" s="10"/>
      <c r="I14" s="10"/>
      <c r="J14" s="161"/>
      <c r="K14" s="161"/>
      <c r="L14" s="10"/>
      <c r="M14" s="10"/>
      <c r="O14" s="67">
        <f>IF(COUNTIF(F6:F18,"CAB")&gt;0,AI14*B22/0.5,0)</f>
        <v>0</v>
      </c>
      <c r="P14" s="188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IF(COUNTIF(J6:J18,"CAB")&gt;0,AI14*C22/0.5,0)</f>
        <v>0</v>
      </c>
      <c r="Z14" s="189">
        <f>IF(COUNTIF(J6:J18,"CAB")-COUNTIF(F6:F18,"CAB")&gt;3,0.8,IF(COUNTIF(J6:J18,"CAB")-COUNTIF(F6:F18,"CAB")&gt;0,0.6,IF(COUNTIF(J6:J18,"CAB")-COUNTIF(F6:F18,"CAB")=0,0.4,0.15)))</f>
        <v>0.4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153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88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153"/>
      <c r="AK15" s="13"/>
      <c r="AM15" s="13">
        <v>0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/>
      <c r="P16" s="188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AG16" s="13"/>
      <c r="AI16" s="153"/>
      <c r="AK16" s="13"/>
      <c r="AM16" s="13">
        <v>0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(AI17*2)*IF(COUNTBLANK(F14:F15)&lt;&gt;0,(2-COUNTBLANK(F14:F15))/2,1)*AG17</f>
        <v>0</v>
      </c>
      <c r="P17" s="188" t="str">
        <f>IF(COUNTIF(F14:F18,"CAB")&gt;0,0.95,P3)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(AI17*2)*IF(COUNTBLANK(J14:J15)&lt;&gt;0,(2-COUNTBLANK(J14:J15))/2,1)*AK17</f>
        <v>0</v>
      </c>
      <c r="Z17" s="189" t="str">
        <f>IF(COUNTIF(J14:J18,"CAB")&gt;0,0.95,Z3)</f>
        <v>0,6</v>
      </c>
      <c r="AA17" s="19">
        <f t="shared" si="4"/>
        <v>0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AG17" s="19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153">
        <f>IF(AN17=0,(AM17*2*$AI$2/2)+SUM($AN$5:$AN$19),0)</f>
        <v>0</v>
      </c>
      <c r="AK17" s="19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>IF(AK17+AG17=0,AM17*2/10,0)</f>
        <v>1.6E-2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/>
      <c r="P18" s="188"/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/>
      <c r="Z18" s="189"/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AG18" s="193"/>
      <c r="AI18" s="153"/>
      <c r="AK18" s="193"/>
      <c r="AM18" s="13">
        <v>0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81</v>
      </c>
      <c r="L19" s="13" t="s">
        <v>81</v>
      </c>
      <c r="O19" s="67">
        <f>COUNTIF(F11:F18,"TEC")*AG19*AI19</f>
        <v>0</v>
      </c>
      <c r="P19" s="188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COUNTIF(J11:J18,"TEC")*AI19*AK19</f>
        <v>0</v>
      </c>
      <c r="Z19" s="189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I19" s="153">
        <f>IF(AN19=0,(AM19*2*$AI$2/2)+SUM($AN$5:$AN$19),0)</f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>IF(AK19+AG19=0,AM19*2/10,0)</f>
        <v>1.2E-2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1.555707217202411E-2</v>
      </c>
      <c r="C29" s="118">
        <f>1/(1+EXP(-3.1416*4*((C14/(C14+B13))-(3.1416/6))))</f>
        <v>0.96248844203767769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R59"/>
  <sheetViews>
    <sheetView zoomScale="80" workbookViewId="0">
      <selection activeCell="G8" sqref="G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2</v>
      </c>
      <c r="H1" s="70">
        <f>G1+G2+G3</f>
        <v>4</v>
      </c>
      <c r="J1" s="11" t="s">
        <v>1</v>
      </c>
      <c r="K1" s="70">
        <f>IF(D3="SI",COUNTIF($J$6:$J$18,"RAP"),0)</f>
        <v>3</v>
      </c>
      <c r="L1" s="70">
        <f>K1+K2+K3</f>
        <v>3</v>
      </c>
      <c r="M1" s="148">
        <f>L1+H1</f>
        <v>7</v>
      </c>
      <c r="P1" s="304"/>
      <c r="Q1" s="304"/>
      <c r="R1" s="150">
        <v>0</v>
      </c>
      <c r="S1" s="151">
        <f>1+R1</f>
        <v>1</v>
      </c>
      <c r="U1" s="156" t="s">
        <v>153</v>
      </c>
      <c r="V1">
        <f>IF(B17="JC",IF(C17="JC",2,1.5),IF(C17="JC",1.5,1))</f>
        <v>1</v>
      </c>
      <c r="AE1" s="156" t="s">
        <v>153</v>
      </c>
    </row>
    <row r="2" spans="1:70" x14ac:dyDescent="0.25">
      <c r="A2" s="153" t="s">
        <v>145</v>
      </c>
      <c r="B2" t="s">
        <v>0</v>
      </c>
      <c r="F2" s="10" t="s">
        <v>2</v>
      </c>
      <c r="G2" s="70">
        <f>IF(D3="SI",COUNTIF($F$6:$F$18,"TEC"),0)</f>
        <v>2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58" t="str">
        <f>IF(M1&lt;&gt;0,"SI","NO")</f>
        <v>SI</v>
      </c>
      <c r="O2" t="s">
        <v>3</v>
      </c>
      <c r="P2" s="190" t="s">
        <v>147</v>
      </c>
      <c r="R2" s="150">
        <v>0</v>
      </c>
      <c r="S2" s="151">
        <f>1+R2</f>
        <v>1</v>
      </c>
      <c r="U2">
        <f>IF(B17="JC",IF(C17="JC",3,2.25),IF(C17="JC",1.75,1))</f>
        <v>1</v>
      </c>
      <c r="Y2" t="s">
        <v>3</v>
      </c>
      <c r="Z2" s="191" t="s">
        <v>147</v>
      </c>
      <c r="AE2">
        <f>IF(B17="JC",IF(C17="JC",3,1.75),IF(C17="JC",2.25,1))</f>
        <v>1</v>
      </c>
    </row>
    <row r="3" spans="1:70" x14ac:dyDescent="0.25">
      <c r="A3" s="157" t="s">
        <v>4</v>
      </c>
      <c r="B3" s="305" t="s">
        <v>5</v>
      </c>
      <c r="C3" s="305"/>
      <c r="D3" t="str">
        <f>IF(B3="Sol","SI",IF(B3="Lluvia","SI","NO"))</f>
        <v>SI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90" t="s">
        <v>148</v>
      </c>
      <c r="Q3" t="s">
        <v>8</v>
      </c>
      <c r="R3" s="190" t="s">
        <v>149</v>
      </c>
      <c r="Y3" t="s">
        <v>7</v>
      </c>
      <c r="Z3" s="191" t="s">
        <v>148</v>
      </c>
      <c r="AA3" t="s">
        <v>8</v>
      </c>
      <c r="AB3" s="191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I4" s="153" t="s">
        <v>18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3" t="s">
        <v>30</v>
      </c>
      <c r="B5" s="154">
        <v>352</v>
      </c>
      <c r="C5" s="154">
        <v>352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>COUNTIF(F5:F10,"IMP")*AI5</f>
        <v>0.04</v>
      </c>
      <c r="P5" s="188" t="str">
        <f>P3</f>
        <v>0,6</v>
      </c>
      <c r="Q5" s="16">
        <f t="shared" ref="Q5:Q19" si="1">P5*O5</f>
        <v>2.4E-2</v>
      </c>
      <c r="R5" s="155">
        <f t="shared" ref="R5:R19" si="2">IF($M$2="SI",Q5*$B$22/0.5*$S$1,Q5*$B$22/0.5*$S$2)</f>
        <v>2.2736842105263156E-2</v>
      </c>
      <c r="S5" s="171">
        <f t="shared" ref="S5:S19" si="3">(1-R5)</f>
        <v>0.97726315789473683</v>
      </c>
      <c r="T5" s="172">
        <f>R5*PRODUCT(S6:S19)</f>
        <v>1.5462580558822462E-2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1" t="s">
        <v>33</v>
      </c>
      <c r="X5" s="15" t="s">
        <v>34</v>
      </c>
      <c r="Y5" s="69">
        <f>COUNTIF(J5:J10,"IMP")*AI5</f>
        <v>0.2</v>
      </c>
      <c r="Z5" s="189" t="str">
        <f>Z3</f>
        <v>0,6</v>
      </c>
      <c r="AA5" s="19">
        <f t="shared" ref="AA5:AA19" si="4">Z5*Y5</f>
        <v>0.12</v>
      </c>
      <c r="AB5" s="155">
        <f t="shared" ref="AB5:AB19" si="5">IF($M$2="SI",AA5*$C$22/0.5*$S$1,AA5*$C$22/0.5*$S$2)</f>
        <v>0.12631578947368421</v>
      </c>
      <c r="AC5" s="171">
        <f t="shared" ref="AC5:AC19" si="6">(1-AB5)</f>
        <v>0.87368421052631584</v>
      </c>
      <c r="AD5" s="172">
        <f>AB5*PRODUCT(AC6:AC19)</f>
        <v>6.5180495192466478E-2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53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35</v>
      </c>
      <c r="B6" s="163">
        <v>9</v>
      </c>
      <c r="C6" s="164">
        <v>10</v>
      </c>
      <c r="E6" s="187" t="s">
        <v>36</v>
      </c>
      <c r="F6" s="162" t="s">
        <v>32</v>
      </c>
      <c r="G6" s="162"/>
      <c r="H6" s="10"/>
      <c r="I6" s="10"/>
      <c r="J6" s="161" t="s">
        <v>37</v>
      </c>
      <c r="K6" s="161"/>
      <c r="L6" s="10"/>
      <c r="M6" s="10"/>
      <c r="O6" s="67">
        <f>COUNTIF(F11:F18,"IMP")*AI6</f>
        <v>0.04</v>
      </c>
      <c r="P6" s="188" t="str">
        <f>P3</f>
        <v>0,6</v>
      </c>
      <c r="Q6" s="16">
        <f t="shared" si="1"/>
        <v>2.4E-2</v>
      </c>
      <c r="R6" s="155">
        <f t="shared" si="2"/>
        <v>2.2736842105263156E-2</v>
      </c>
      <c r="S6" s="171">
        <f t="shared" si="3"/>
        <v>0.97726315789473683</v>
      </c>
      <c r="T6" s="172">
        <f>R6*S5*PRODUCT(S7:S19)</f>
        <v>1.5462580558822462E-2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1" t="s">
        <v>38</v>
      </c>
      <c r="X6" s="15" t="s">
        <v>39</v>
      </c>
      <c r="Y6" s="69">
        <f>COUNTIF(J11:J18,"IMP")*AI6</f>
        <v>0.08</v>
      </c>
      <c r="Z6" s="189" t="str">
        <f>Z3</f>
        <v>0,6</v>
      </c>
      <c r="AA6" s="19">
        <f t="shared" si="4"/>
        <v>4.8000000000000001E-2</v>
      </c>
      <c r="AB6" s="155">
        <f t="shared" si="5"/>
        <v>5.052631578947369E-2</v>
      </c>
      <c r="AC6" s="171">
        <f t="shared" si="6"/>
        <v>0.94947368421052636</v>
      </c>
      <c r="AD6" s="172">
        <f>AB6*AC5*PRODUCT(AC7:AC19)</f>
        <v>2.3991047010974362E-2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53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40</v>
      </c>
      <c r="B7" s="163">
        <v>9</v>
      </c>
      <c r="C7" s="164">
        <v>8</v>
      </c>
      <c r="E7" s="187" t="s">
        <v>41</v>
      </c>
      <c r="F7" s="162"/>
      <c r="G7" s="162"/>
      <c r="H7" s="10"/>
      <c r="I7" s="10"/>
      <c r="J7" s="161" t="s">
        <v>37</v>
      </c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>
        <f t="shared" si="2"/>
        <v>0</v>
      </c>
      <c r="S7" s="171">
        <f t="shared" si="3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1" t="s">
        <v>151</v>
      </c>
      <c r="X7" s="15" t="s">
        <v>152</v>
      </c>
      <c r="Y7" s="69"/>
      <c r="Z7" s="189">
        <f>C30</f>
        <v>0.15</v>
      </c>
      <c r="AA7" s="19">
        <f t="shared" si="4"/>
        <v>0</v>
      </c>
      <c r="AB7" s="155">
        <f t="shared" si="5"/>
        <v>0</v>
      </c>
      <c r="AC7" s="171">
        <f t="shared" si="6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53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44</v>
      </c>
      <c r="B8" s="163">
        <v>9</v>
      </c>
      <c r="C8" s="164">
        <v>8</v>
      </c>
      <c r="E8" s="187" t="s">
        <v>41</v>
      </c>
      <c r="F8" s="162" t="s">
        <v>32</v>
      </c>
      <c r="G8" s="162"/>
      <c r="H8" s="10"/>
      <c r="I8" s="10"/>
      <c r="J8" s="161" t="s">
        <v>37</v>
      </c>
      <c r="K8" s="161"/>
      <c r="L8" s="10"/>
      <c r="M8" s="10"/>
      <c r="O8" s="67">
        <f>COUNTIF(F6:F18,"IMP")*AI8</f>
        <v>0.04</v>
      </c>
      <c r="P8" s="188" t="str">
        <f>P3</f>
        <v>0,6</v>
      </c>
      <c r="Q8" s="16">
        <f t="shared" si="1"/>
        <v>2.4E-2</v>
      </c>
      <c r="R8" s="155">
        <f t="shared" si="2"/>
        <v>2.2736842105263156E-2</v>
      </c>
      <c r="S8" s="171">
        <f t="shared" si="3"/>
        <v>0.97726315789473683</v>
      </c>
      <c r="T8" s="172">
        <f>R8*PRODUCT(S5:S7)*PRODUCT(S9:S19)</f>
        <v>1.5462580558822464E-2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1" t="s">
        <v>45</v>
      </c>
      <c r="X8" s="15" t="s">
        <v>46</v>
      </c>
      <c r="Y8" s="69">
        <f>COUNTIF(J6:J18,"IMP")*AI8</f>
        <v>0.28000000000000003</v>
      </c>
      <c r="Z8" s="189" t="str">
        <f>Z3</f>
        <v>0,6</v>
      </c>
      <c r="AA8" s="19">
        <f t="shared" si="4"/>
        <v>0.16800000000000001</v>
      </c>
      <c r="AB8" s="155">
        <f t="shared" si="5"/>
        <v>0.17684210526315794</v>
      </c>
      <c r="AC8" s="171">
        <f t="shared" si="6"/>
        <v>0.82315789473684209</v>
      </c>
      <c r="AD8" s="172">
        <f>AB8*PRODUCT(AC5:AC7)*PRODUCT(AC9:AC19)</f>
        <v>9.6853881603127953E-2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53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47</v>
      </c>
      <c r="B9" s="163">
        <v>9</v>
      </c>
      <c r="C9" s="164">
        <v>8</v>
      </c>
      <c r="E9" s="187" t="s">
        <v>41</v>
      </c>
      <c r="F9" s="162"/>
      <c r="G9" s="162"/>
      <c r="H9" s="10"/>
      <c r="I9" s="10"/>
      <c r="J9" s="161" t="s">
        <v>37</v>
      </c>
      <c r="K9" s="161"/>
      <c r="L9" s="10"/>
      <c r="M9" s="10"/>
      <c r="O9" s="67">
        <f>COUNTIF(J6:J13,"IMP")*AI9</f>
        <v>0.125</v>
      </c>
      <c r="P9" s="188" t="str">
        <f>Z3</f>
        <v>0,6</v>
      </c>
      <c r="Q9" s="16">
        <f t="shared" si="1"/>
        <v>7.4999999999999997E-2</v>
      </c>
      <c r="R9" s="155">
        <f t="shared" si="2"/>
        <v>7.1052631578947367E-2</v>
      </c>
      <c r="S9" s="171">
        <f t="shared" si="3"/>
        <v>0.92894736842105263</v>
      </c>
      <c r="T9" s="172">
        <f>R9*PRODUCT(S5:S8)*PRODUCT(S10:S19)</f>
        <v>5.0833781128933352E-2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2" t="s">
        <v>48</v>
      </c>
      <c r="X9" s="15" t="s">
        <v>49</v>
      </c>
      <c r="Y9" s="69">
        <f>COUNTIF(F6:F13,"IMP")*AI9</f>
        <v>2.5000000000000001E-2</v>
      </c>
      <c r="Z9" s="189" t="str">
        <f>P3</f>
        <v>0,6</v>
      </c>
      <c r="AA9" s="19">
        <f t="shared" si="4"/>
        <v>1.4999999999999999E-2</v>
      </c>
      <c r="AB9" s="155">
        <f t="shared" si="5"/>
        <v>1.5789473684210527E-2</v>
      </c>
      <c r="AC9" s="171">
        <f t="shared" si="6"/>
        <v>0.98421052631578942</v>
      </c>
      <c r="AD9" s="172">
        <f>AB9*PRODUCT(AC5:AC8)*PRODUCT(AC10:AC19)</f>
        <v>7.2325950547790351E-3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53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50</v>
      </c>
      <c r="B10" s="163">
        <v>7</v>
      </c>
      <c r="C10" s="164">
        <v>8</v>
      </c>
      <c r="E10" s="187" t="s">
        <v>36</v>
      </c>
      <c r="F10" s="162" t="s">
        <v>2</v>
      </c>
      <c r="G10" s="162"/>
      <c r="H10" s="10"/>
      <c r="I10" s="10"/>
      <c r="J10" s="161" t="s">
        <v>37</v>
      </c>
      <c r="K10" s="161"/>
      <c r="L10" s="10"/>
      <c r="M10" s="10"/>
      <c r="O10" s="67">
        <f>COUNTIF(F11:F18,"RAP")*AI10</f>
        <v>0.12</v>
      </c>
      <c r="P10" s="188" t="str">
        <f>R3</f>
        <v>0,72</v>
      </c>
      <c r="Q10" s="16">
        <f t="shared" si="1"/>
        <v>8.6399999999999991E-2</v>
      </c>
      <c r="R10" s="155">
        <f t="shared" si="2"/>
        <v>8.1852631578947357E-2</v>
      </c>
      <c r="S10" s="171">
        <f t="shared" si="3"/>
        <v>0.9181473684210526</v>
      </c>
      <c r="T10" s="172">
        <f>R10*PRODUCT(S5:S9)*PRODUCT(S11:S19)</f>
        <v>5.9249352525587905E-2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1" t="s">
        <v>51</v>
      </c>
      <c r="X10" s="15" t="s">
        <v>52</v>
      </c>
      <c r="Y10" s="69">
        <f>COUNTIF(J11:J18,"RAP")*AI10</f>
        <v>0.18</v>
      </c>
      <c r="Z10" s="189" t="str">
        <f>AB3</f>
        <v>0,72</v>
      </c>
      <c r="AA10" s="19">
        <f t="shared" si="4"/>
        <v>0.12959999999999999</v>
      </c>
      <c r="AB10" s="155">
        <f t="shared" si="5"/>
        <v>0.13642105263157897</v>
      </c>
      <c r="AC10" s="171">
        <f t="shared" si="6"/>
        <v>0.863578947368421</v>
      </c>
      <c r="AD10" s="172">
        <f>AB10*PRODUCT(AC5:AC9)*PRODUCT(AC11:AC19)</f>
        <v>7.1218668808540914E-2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53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53</v>
      </c>
      <c r="B11" s="163">
        <v>7</v>
      </c>
      <c r="C11" s="164">
        <v>8</v>
      </c>
      <c r="E11" s="187" t="s">
        <v>54</v>
      </c>
      <c r="F11" s="162" t="s">
        <v>37</v>
      </c>
      <c r="G11" s="162"/>
      <c r="H11" s="10"/>
      <c r="I11" s="10"/>
      <c r="J11" s="161" t="s">
        <v>1</v>
      </c>
      <c r="K11" s="161"/>
      <c r="L11" s="10"/>
      <c r="M11" s="10"/>
      <c r="O11" s="67">
        <f>COUNTIF(F11:F18,"RAP")*AI11</f>
        <v>0.12</v>
      </c>
      <c r="P11" s="188" t="str">
        <f>R3</f>
        <v>0,72</v>
      </c>
      <c r="Q11" s="16">
        <f t="shared" si="1"/>
        <v>8.6399999999999991E-2</v>
      </c>
      <c r="R11" s="155">
        <f t="shared" si="2"/>
        <v>8.1852631578947357E-2</v>
      </c>
      <c r="S11" s="171">
        <f t="shared" si="3"/>
        <v>0.9181473684210526</v>
      </c>
      <c r="T11" s="172">
        <f>R11*PRODUCT(S5:S10)*PRODUCT(S12:S19)</f>
        <v>5.9249352525587898E-2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1" t="s">
        <v>55</v>
      </c>
      <c r="X11" s="15" t="s">
        <v>56</v>
      </c>
      <c r="Y11" s="69">
        <f>COUNTIF(J11:J18,"RAP")*AI11</f>
        <v>0.18</v>
      </c>
      <c r="Z11" s="189" t="str">
        <f>AB3</f>
        <v>0,72</v>
      </c>
      <c r="AA11" s="19">
        <f t="shared" si="4"/>
        <v>0.12959999999999999</v>
      </c>
      <c r="AB11" s="155">
        <f t="shared" si="5"/>
        <v>0.13642105263157897</v>
      </c>
      <c r="AC11" s="171">
        <f t="shared" si="6"/>
        <v>0.863578947368421</v>
      </c>
      <c r="AD11" s="172">
        <f>AB11*PRODUCT(AC5:AC10)*PRODUCT(AC12:AC19)</f>
        <v>7.1218668808540914E-2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53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57</v>
      </c>
      <c r="B12" s="163">
        <v>7</v>
      </c>
      <c r="C12" s="164">
        <v>8</v>
      </c>
      <c r="E12" s="187" t="s">
        <v>54</v>
      </c>
      <c r="F12" s="162" t="s">
        <v>2</v>
      </c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>
        <f t="shared" si="2"/>
        <v>0</v>
      </c>
      <c r="S12" s="171">
        <f t="shared" si="3"/>
        <v>1</v>
      </c>
      <c r="T12" s="172">
        <f>R12*PRODUCT(S5:S11)*PRODUCT(S13:S19)</f>
        <v>0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>
        <f t="shared" si="5"/>
        <v>0</v>
      </c>
      <c r="AC12" s="171">
        <f t="shared" si="6"/>
        <v>1</v>
      </c>
      <c r="AD12" s="172">
        <f>AB12*PRODUCT(AC5:AC11)*PRODUCT(AC13:AC19)</f>
        <v>0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53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60</v>
      </c>
      <c r="B13" s="163">
        <v>11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/>
      <c r="K13" s="161"/>
      <c r="L13" s="10"/>
      <c r="M13" s="10"/>
      <c r="O13" s="67">
        <f>AI13</f>
        <v>0.125</v>
      </c>
      <c r="P13" s="188" t="str">
        <f>P2</f>
        <v>0,4</v>
      </c>
      <c r="Q13" s="16">
        <f t="shared" si="1"/>
        <v>0.05</v>
      </c>
      <c r="R13" s="155">
        <f t="shared" si="2"/>
        <v>4.736842105263158E-2</v>
      </c>
      <c r="S13" s="171">
        <f t="shared" si="3"/>
        <v>0.95263157894736838</v>
      </c>
      <c r="T13" s="172">
        <f>R13*PRODUCT(S5:S12)*PRODUCT(S14:S19)</f>
        <v>3.3046638560798293E-2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1" t="s">
        <v>61</v>
      </c>
      <c r="X13" s="15" t="s">
        <v>62</v>
      </c>
      <c r="Y13" s="69">
        <f>AI13</f>
        <v>0.125</v>
      </c>
      <c r="Z13" s="189" t="str">
        <f>Z2</f>
        <v>0,4</v>
      </c>
      <c r="AA13" s="19">
        <f t="shared" si="4"/>
        <v>0.05</v>
      </c>
      <c r="AB13" s="155">
        <f t="shared" si="5"/>
        <v>5.2631578947368432E-2</v>
      </c>
      <c r="AC13" s="171">
        <f t="shared" si="6"/>
        <v>0.94736842105263153</v>
      </c>
      <c r="AD13" s="172">
        <f>AB13*PRODUCT(AC5:AC12)*PRODUCT(AC14:AC19)</f>
        <v>2.5046208800808885E-2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53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63</v>
      </c>
      <c r="B14" s="163">
        <v>9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37</v>
      </c>
      <c r="K14" s="161"/>
      <c r="L14" s="10"/>
      <c r="M14" s="10"/>
      <c r="O14" s="67">
        <f>IF(COUNTIF(F6:F18,"CAB")&gt;0,AI14,0)</f>
        <v>0</v>
      </c>
      <c r="P14" s="188">
        <f>IF(COUNTIF(F6:F18,"CAB")-COUNTIF(J6:J18,"CAB")&gt;0,0.85,IF(COUNTIF(F6:F18,"CAB")-COUNTIF(J6:J18,"CAB")=0,0.5,0.25))</f>
        <v>0.5</v>
      </c>
      <c r="Q14" s="16">
        <f t="shared" si="1"/>
        <v>0</v>
      </c>
      <c r="R14" s="155">
        <f t="shared" si="2"/>
        <v>0</v>
      </c>
      <c r="S14" s="171">
        <f t="shared" si="3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>IF(COUNTIF(J6:J18,"CAB")&gt;0,AI14,0)</f>
        <v>0</v>
      </c>
      <c r="Z14" s="189">
        <f>IF(COUNTIF(J6:J18,"CAB")-COUNTIF(F6:F18,"CAB")&gt;0,0.85,IF(COUNTIF(J6:J18,"CAB")-COUNTIF(F6:F18,"CAB")=0,0.5,0.25))</f>
        <v>0.5</v>
      </c>
      <c r="AA14" s="19">
        <f t="shared" si="4"/>
        <v>0</v>
      </c>
      <c r="AB14" s="155">
        <f t="shared" si="5"/>
        <v>0</v>
      </c>
      <c r="AC14" s="171">
        <f t="shared" si="6"/>
        <v>1</v>
      </c>
      <c r="AD14" s="172">
        <f>AB14*PRODUCT(AC5:AC13)*PRODUCT(AC15:AC19)</f>
        <v>0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53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37</v>
      </c>
      <c r="K15" s="161"/>
      <c r="L15" s="10"/>
      <c r="M15" s="10"/>
      <c r="O15" s="67"/>
      <c r="P15" s="188">
        <v>0.5</v>
      </c>
      <c r="Q15" s="16">
        <f t="shared" si="1"/>
        <v>0</v>
      </c>
      <c r="R15" s="155">
        <f t="shared" si="2"/>
        <v>0</v>
      </c>
      <c r="S15" s="171">
        <f t="shared" si="3"/>
        <v>1</v>
      </c>
      <c r="T15" s="172">
        <f>R15*PRODUCT(S5:S14)*PRODUCT(S16:S19)</f>
        <v>0</v>
      </c>
      <c r="U15" s="172">
        <f>R15*R16*PRODUCT(S5:S14)*PRODUCT(S17:S19)+R15*R17*PRODUCT(S5:S14)*S16*PRODUCT(S18:S19)+R15*R18*PRODUCT(S5:S14)*S16*S17*S19+R15*R19*PRODUCT(S5:S14)*S16*S17*S18</f>
        <v>0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>
        <f t="shared" si="5"/>
        <v>0</v>
      </c>
      <c r="AC15" s="171">
        <f t="shared" si="6"/>
        <v>1</v>
      </c>
      <c r="AD15" s="172">
        <f>AB15*PRODUCT(AC5:AC14)*PRODUCT(AC16:AC19)</f>
        <v>0</v>
      </c>
      <c r="AE15" s="172">
        <f>AB15*AB16*PRODUCT(AC5:AC14)*PRODUCT(AC17:AC19)+AB15*AB17*PRODUCT(AC5:AC14)*AC16*PRODUCT(AC18:AC19)+AB15*AB18*PRODUCT(AC5:AC14)*AC16*AC17*AC19+AB15*AB19*PRODUCT(AC5:AC14)*AC16*AC17*AC18</f>
        <v>0</v>
      </c>
      <c r="AI15" s="153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32</v>
      </c>
      <c r="G16" s="162"/>
      <c r="H16" s="10"/>
      <c r="I16" s="10"/>
      <c r="J16" s="161" t="s">
        <v>1</v>
      </c>
      <c r="K16" s="161"/>
      <c r="L16" s="10"/>
      <c r="M16" s="10"/>
      <c r="O16" s="67"/>
      <c r="P16" s="188">
        <v>0.25</v>
      </c>
      <c r="Q16" s="16">
        <f t="shared" si="1"/>
        <v>0</v>
      </c>
      <c r="R16" s="155">
        <f t="shared" si="2"/>
        <v>0</v>
      </c>
      <c r="S16" s="171">
        <f t="shared" si="3"/>
        <v>1</v>
      </c>
      <c r="T16" s="172">
        <f>R16*PRODUCT(S5:S15)*PRODUCT(S17:S19)</f>
        <v>0</v>
      </c>
      <c r="U16" s="172">
        <f>R16*R17*PRODUCT(S5:S15)*PRODUCT(S18:S19)+R16*R18*PRODUCT(S5:S15)*S17*S19+R16*R19*PRODUCT(S5:S15)*S17*S18</f>
        <v>0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>
        <f t="shared" si="5"/>
        <v>0</v>
      </c>
      <c r="AC16" s="171">
        <f t="shared" si="6"/>
        <v>1</v>
      </c>
      <c r="AD16" s="172">
        <f>AB16*PRODUCT(AC5:AC15)*PRODUCT(AC17:AC19)</f>
        <v>0</v>
      </c>
      <c r="AE16" s="172">
        <f>AB16*AB17*PRODUCT(AC5:AC15)*PRODUCT(AC18:AC19)+AB16*AB18*PRODUCT(AC5:AC15)*AC17*AC19+AB16*AB19*PRODUCT(AC5:AC15)*AC17*AC18</f>
        <v>0</v>
      </c>
      <c r="AI16" s="153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</f>
        <v>0.08</v>
      </c>
      <c r="P17" s="188" t="str">
        <f>P3</f>
        <v>0,6</v>
      </c>
      <c r="Q17" s="16">
        <f t="shared" si="1"/>
        <v>4.8000000000000001E-2</v>
      </c>
      <c r="R17" s="155">
        <f t="shared" si="2"/>
        <v>4.5473684210526312E-2</v>
      </c>
      <c r="S17" s="171">
        <f t="shared" si="3"/>
        <v>0.95452631578947367</v>
      </c>
      <c r="T17" s="172">
        <f>R17*PRODUCT(S5:S16)*PRODUCT(S18:S19)</f>
        <v>3.1661799273954072E-2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>(AI17*2)*IF(COUNTBLANK(J14:J15)&lt;&gt;0,(2-COUNTBLANK(J14:J15))/2,1)</f>
        <v>0.08</v>
      </c>
      <c r="Z17" s="189" t="str">
        <f>Z3</f>
        <v>0,6</v>
      </c>
      <c r="AA17" s="19">
        <f t="shared" si="4"/>
        <v>4.8000000000000001E-2</v>
      </c>
      <c r="AB17" s="155">
        <f t="shared" si="5"/>
        <v>5.052631578947369E-2</v>
      </c>
      <c r="AC17" s="171">
        <f t="shared" si="6"/>
        <v>0.94947368421052636</v>
      </c>
      <c r="AD17" s="172">
        <f>AB17*PRODUCT(AC5:AC16)*PRODUCT(AC18:AC19)</f>
        <v>2.3991047010974358E-2</v>
      </c>
      <c r="AE17" s="172">
        <f>AB17*AB18*PRODUCT(AC5:AC16)*AC19+AB17*AB19*PRODUCT(AC5:AC16)*AC18</f>
        <v>0</v>
      </c>
      <c r="AI17" s="153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>IF(COUNTIF(F14:F18,"CAB")&gt;0,(AI18*2)*IF(COUNTBLANK(F14:F15)&lt;&gt;0,(2-COUNTBLANK(F14:F15))/2,1),0)</f>
        <v>0</v>
      </c>
      <c r="P18" s="188">
        <v>0.95</v>
      </c>
      <c r="Q18" s="16">
        <f t="shared" si="1"/>
        <v>0</v>
      </c>
      <c r="R18" s="155">
        <f t="shared" si="2"/>
        <v>0</v>
      </c>
      <c r="S18" s="171">
        <f t="shared" si="3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>IF(COUNTIF(J14:J18,"CAB")&gt;0,(AI18*2)*IF(COUNTBLANK(J14:J15)&lt;&gt;0,(2-COUNTBLANK(J14:J15))/2,1),0)</f>
        <v>0</v>
      </c>
      <c r="Z18" s="189">
        <v>0.95</v>
      </c>
      <c r="AA18" s="19">
        <f t="shared" si="4"/>
        <v>0</v>
      </c>
      <c r="AB18" s="155">
        <f t="shared" si="5"/>
        <v>0</v>
      </c>
      <c r="AC18" s="171">
        <f t="shared" si="6"/>
        <v>1</v>
      </c>
      <c r="AD18" s="172">
        <f>AB18*PRODUCT(AC5:AC17)*PRODUCT(AC19)</f>
        <v>0</v>
      </c>
      <c r="AE18" s="172">
        <f>AB18*AB19*PRODUCT(AC5:AC17)</f>
        <v>0</v>
      </c>
      <c r="AI18" s="153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155</v>
      </c>
      <c r="L19" s="13" t="s">
        <v>155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88" t="str">
        <f>P3</f>
        <v>0,6</v>
      </c>
      <c r="Q19" s="16">
        <f t="shared" si="1"/>
        <v>0</v>
      </c>
      <c r="R19" s="155">
        <f t="shared" si="2"/>
        <v>0</v>
      </c>
      <c r="S19" s="173">
        <f t="shared" si="3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89" t="str">
        <f>Z3</f>
        <v>0,6</v>
      </c>
      <c r="AA19" s="19">
        <f t="shared" si="4"/>
        <v>0</v>
      </c>
      <c r="AB19" s="155">
        <f t="shared" si="5"/>
        <v>0</v>
      </c>
      <c r="AC19" s="173">
        <f t="shared" si="6"/>
        <v>1</v>
      </c>
      <c r="AD19" s="174">
        <f>AB19*PRODUCT(AC5:AC18)</f>
        <v>0</v>
      </c>
      <c r="AE19" s="174">
        <v>0</v>
      </c>
      <c r="AF19" s="1" t="s">
        <v>82</v>
      </c>
      <c r="AI19" s="153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0.66460461994494335</v>
      </c>
      <c r="T20" s="176">
        <f>SUM(T5:T19)</f>
        <v>0.28042866569132896</v>
      </c>
      <c r="U20" s="176">
        <f>SUM(U5:U19)</f>
        <v>4.9821627517118099E-2</v>
      </c>
      <c r="V20" s="176">
        <f>1-S20-T20-U20</f>
        <v>5.1450868466095881E-3</v>
      </c>
      <c r="W20" s="21"/>
      <c r="X20" s="22"/>
      <c r="Y20" s="22"/>
      <c r="Z20" s="22"/>
      <c r="AA20" s="22"/>
      <c r="AB20" s="23"/>
      <c r="AC20" s="179">
        <f>PRODUCT(AC5:AC19)</f>
        <v>0.4508317584145598</v>
      </c>
      <c r="AD20" s="176">
        <f>SUM(AD5:AD19)</f>
        <v>0.38473261229021288</v>
      </c>
      <c r="AE20" s="176">
        <f>SUM(AE5:AE19)</f>
        <v>0.13576577967955661</v>
      </c>
      <c r="AF20" s="176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>
        <f>1-T21-U21-V21</f>
        <v>0.66460461994494335</v>
      </c>
      <c r="T21" s="178">
        <f>T20*U2</f>
        <v>0.28042866569132896</v>
      </c>
      <c r="U21" s="178">
        <f>U20*U2</f>
        <v>4.9821627517118099E-2</v>
      </c>
      <c r="V21" s="178">
        <f>V20*U2</f>
        <v>5.1450868466095881E-3</v>
      </c>
      <c r="W21" s="21"/>
      <c r="X21" s="22"/>
      <c r="Y21" s="22"/>
      <c r="Z21" s="22"/>
      <c r="AA21" s="22"/>
      <c r="AB21" s="23"/>
      <c r="AC21" s="180">
        <f>1-AD21-AE21-AF21</f>
        <v>0.45083175841455986</v>
      </c>
      <c r="AD21" s="178">
        <f>AD20*AE2</f>
        <v>0.38473261229021288</v>
      </c>
      <c r="AE21" s="178">
        <f>AE20*AE2</f>
        <v>0.13576577967955661</v>
      </c>
      <c r="AF21" s="178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87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x14ac:dyDescent="0.25">
      <c r="A23" s="40" t="s">
        <v>88</v>
      </c>
      <c r="B23" s="56">
        <f>((B22^2.8)/((B22^2.8)+(C22^2.8)))*B21</f>
        <v>2.1338895849549826</v>
      </c>
      <c r="C23" s="57">
        <f>B21-B23</f>
        <v>2.8661104150450174</v>
      </c>
      <c r="D23" s="149">
        <f>SUM(D25:D30)</f>
        <v>1</v>
      </c>
      <c r="E23" s="149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x14ac:dyDescent="0.25">
      <c r="A24" s="26" t="s">
        <v>89</v>
      </c>
      <c r="B24" s="64">
        <f>B23/B21</f>
        <v>0.42677791699099654</v>
      </c>
      <c r="C24" s="65">
        <f>C23/B21</f>
        <v>0.57322208300900346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114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 t="shared" ref="P25:P30" si="12"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3">
        <f>(1-$B$33)^(INT(C23*2*(1-C31)))</f>
        <v>0.98507487500000002</v>
      </c>
      <c r="U25" s="138">
        <v>0</v>
      </c>
      <c r="V25" s="86">
        <f>R25*T25</f>
        <v>3.7731004883405344E-3</v>
      </c>
      <c r="W25" s="134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115</v>
      </c>
      <c r="B26" s="119">
        <f>1/(1+EXP(-3.1416*4*((B10/(B10+C9))-(3.1416/6))))</f>
        <v>0.32839636256027932</v>
      </c>
      <c r="C26" s="118">
        <f>1/(1+EXP(-3.1416*4*((C10/(C10+B9))-(3.1416/6))))</f>
        <v>0.33935563523733447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si="12"/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3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5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116</v>
      </c>
      <c r="B27" s="119">
        <f>1/(1+EXP(-3.1416*4*((B12/(B12+C7))-(3.1416/6))))</f>
        <v>0.32839636256027932</v>
      </c>
      <c r="C27" s="118">
        <f>1/(1+EXP(-3.1416*4*((C12/(C12+B7))-(3.1416/6))))</f>
        <v>0.33935563523733447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3">
        <f t="shared" si="13"/>
        <v>7.4625000000000011E-5</v>
      </c>
      <c r="U27" s="93">
        <v>2</v>
      </c>
      <c r="V27" s="86">
        <f>R27*T25+T26*R26+R25*T27</f>
        <v>9.454096521102523E-2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3">
        <f t="shared" si="13"/>
        <v>1.2500000000000002E-7</v>
      </c>
      <c r="U28" s="93">
        <v>3</v>
      </c>
      <c r="V28" s="86">
        <f>R28*T25+R27*T26+R26*T27+R25*T28</f>
        <v>0.18828113238782934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118</v>
      </c>
      <c r="B29" s="119">
        <f>1/(1+EXP(-3.1416*4*((B14/(B14+C13))-(3.1416/6))))</f>
        <v>0.21091587975125142</v>
      </c>
      <c r="C29" s="118">
        <f>1/(1+EXP(-3.1416*4*((C14/(C14+B13))-(3.1416/6))))</f>
        <v>0.40883398126688669</v>
      </c>
      <c r="D29" s="151">
        <v>0.04</v>
      </c>
      <c r="E29" s="151">
        <v>0.04</v>
      </c>
      <c r="G29" s="87">
        <v>4</v>
      </c>
      <c r="H29" s="126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3">
        <f t="shared" si="13"/>
        <v>0</v>
      </c>
      <c r="U29" s="93">
        <v>4</v>
      </c>
      <c r="V29" s="86">
        <f>T29*R25+T28*R26+T27*R27+T26*R28+T25*R29</f>
        <v>0.24628757091290557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3">
        <f t="shared" si="13"/>
        <v>0</v>
      </c>
      <c r="U30" s="93">
        <v>5</v>
      </c>
      <c r="V30" s="86">
        <f>T30*R25+T29*R26+T28*R27+T27*R28+T26*R29+T25*R30</f>
        <v>0.22120189162163786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6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3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3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3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123</v>
      </c>
      <c r="B34" s="56">
        <f>B23*2</f>
        <v>4.2677791699099652</v>
      </c>
      <c r="C34" s="57">
        <f>C23*2</f>
        <v>5.7322208300900348</v>
      </c>
      <c r="G34" s="87">
        <v>9</v>
      </c>
      <c r="H34" s="126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3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x14ac:dyDescent="0.25">
      <c r="G35" s="88">
        <v>10</v>
      </c>
      <c r="H35" s="127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3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x14ac:dyDescent="0.25">
      <c r="A37" s="109" t="s">
        <v>124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x14ac:dyDescent="0.25">
      <c r="A38" s="110" t="s">
        <v>125</v>
      </c>
      <c r="B38" s="107">
        <f>SUM(BJ4:BJ59)</f>
        <v>0.59597225178515745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>
        <f t="shared" ref="BJ38:BJ43" si="21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126</v>
      </c>
      <c r="B39" s="107">
        <f>SUM(BR4:BR47)</f>
        <v>0.227419831552787</v>
      </c>
      <c r="G39" s="128">
        <v>0</v>
      </c>
      <c r="H39" s="129">
        <f>L39*J39</f>
        <v>3.5891216279918037E-2</v>
      </c>
      <c r="I39" s="97">
        <v>0</v>
      </c>
      <c r="J39" s="98">
        <f t="shared" ref="J39:J49" si="22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 t="shared" ref="P39:P44" si="23"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1.9845660399471149E-4</v>
      </c>
      <c r="W39" s="134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>
        <f t="shared" si="21"/>
        <v>3.6812540367067081E-3</v>
      </c>
      <c r="BP39">
        <f t="shared" ref="BP39:BP46" si="24">BP31+1</f>
        <v>9</v>
      </c>
      <c r="BQ39">
        <v>0</v>
      </c>
      <c r="BR39" s="107">
        <f t="shared" ref="BR39:BR47" si="25">$H$34*H39</f>
        <v>8.1346751988050509E-7</v>
      </c>
    </row>
    <row r="40" spans="1:70" x14ac:dyDescent="0.25">
      <c r="G40" s="91">
        <v>1</v>
      </c>
      <c r="H40" s="130">
        <f>L39*J40+L40*J39</f>
        <v>0.13394167206785365</v>
      </c>
      <c r="I40" s="93">
        <v>1</v>
      </c>
      <c r="J40" s="86">
        <f t="shared" si="22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si="23"/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3">
        <f t="shared" ref="T40:T49" si="26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5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>
        <f t="shared" si="21"/>
        <v>1.1543421363129406E-3</v>
      </c>
      <c r="BP40">
        <f t="shared" si="24"/>
        <v>9</v>
      </c>
      <c r="BQ40">
        <v>1</v>
      </c>
      <c r="BR40" s="107">
        <f t="shared" si="25"/>
        <v>3.0357622582617492E-6</v>
      </c>
    </row>
    <row r="41" spans="1:70" x14ac:dyDescent="0.25">
      <c r="G41" s="91">
        <v>2</v>
      </c>
      <c r="H41" s="130">
        <f>L39*J41+J40*L40+J39*L41</f>
        <v>0.23283735761668781</v>
      </c>
      <c r="I41" s="93">
        <v>2</v>
      </c>
      <c r="J41" s="86">
        <f t="shared" si="22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23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3">
        <f t="shared" si="26"/>
        <v>2.5000000000000001E-5</v>
      </c>
      <c r="U41" s="93">
        <v>2</v>
      </c>
      <c r="V41" s="86">
        <f>R41*T39+T40*R40+R39*T41</f>
        <v>1.6137702390179705E-2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>
        <f t="shared" si="21"/>
        <v>2.7573362781856131E-4</v>
      </c>
      <c r="BP41">
        <f t="shared" si="24"/>
        <v>9</v>
      </c>
      <c r="BQ41">
        <v>2</v>
      </c>
      <c r="BR41" s="107">
        <f t="shared" si="25"/>
        <v>5.2772139667485739E-6</v>
      </c>
    </row>
    <row r="42" spans="1:70" ht="15" customHeight="1" x14ac:dyDescent="0.25">
      <c r="G42" s="91">
        <v>3</v>
      </c>
      <c r="H42" s="130">
        <f>J42*L39+J41*L40+L42*J39+L41*J40</f>
        <v>0.25045819541552683</v>
      </c>
      <c r="I42" s="93">
        <v>3</v>
      </c>
      <c r="J42" s="86">
        <f t="shared" si="22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23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3">
        <f t="shared" si="26"/>
        <v>0</v>
      </c>
      <c r="U42" s="93">
        <v>3</v>
      </c>
      <c r="V42" s="86">
        <f>R42*T39+R41*T40+R40*T41+R39*T42</f>
        <v>5.7866491280477626E-2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>
        <f t="shared" si="21"/>
        <v>4.945484674607559E-5</v>
      </c>
      <c r="BP42">
        <f t="shared" si="24"/>
        <v>9</v>
      </c>
      <c r="BQ42">
        <v>3</v>
      </c>
      <c r="BR42" s="107">
        <f t="shared" si="25"/>
        <v>5.6765868693174524E-6</v>
      </c>
    </row>
    <row r="43" spans="1:70" ht="15" customHeight="1" x14ac:dyDescent="0.25">
      <c r="G43" s="91">
        <v>4</v>
      </c>
      <c r="H43" s="130">
        <f>J43*L39+J42*L40+J41*L41+J40*L42</f>
        <v>0.18649765693945197</v>
      </c>
      <c r="I43" s="93">
        <v>4</v>
      </c>
      <c r="J43" s="86">
        <f t="shared" si="22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23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3">
        <f t="shared" si="26"/>
        <v>0</v>
      </c>
      <c r="U43" s="93">
        <v>4</v>
      </c>
      <c r="V43" s="86">
        <f>T43*R39+T42*R40+T41*R41+T40*R42+T39*R43</f>
        <v>0.13621440614823141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>
        <f t="shared" si="21"/>
        <v>6.4607136100902139E-6</v>
      </c>
      <c r="BP43">
        <f t="shared" si="24"/>
        <v>9</v>
      </c>
      <c r="BQ43">
        <v>4</v>
      </c>
      <c r="BR43" s="107">
        <f t="shared" si="25"/>
        <v>4.226933555855737E-6</v>
      </c>
    </row>
    <row r="44" spans="1:70" ht="15" customHeight="1" x14ac:dyDescent="0.25">
      <c r="G44" s="91">
        <v>5</v>
      </c>
      <c r="H44" s="130">
        <f>J44*L39+J43*L40+J42*L41+J41*L42</f>
        <v>0.10169269462425716</v>
      </c>
      <c r="I44" s="93">
        <v>5</v>
      </c>
      <c r="J44" s="86">
        <f t="shared" si="22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23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3">
        <f t="shared" si="26"/>
        <v>0</v>
      </c>
      <c r="U44" s="93">
        <v>5</v>
      </c>
      <c r="V44" s="86">
        <f>T44*R39+T43*R40+T42*R41+T41*R42+T40*R43+T39*R44</f>
        <v>0.21997508653438405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24"/>
        <v>9</v>
      </c>
      <c r="BQ44">
        <v>5</v>
      </c>
      <c r="BR44" s="107">
        <f t="shared" si="25"/>
        <v>2.3048453816887188E-6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4.1800753514072017E-2</v>
      </c>
      <c r="I45" s="93">
        <v>6</v>
      </c>
      <c r="J45" s="86">
        <f t="shared" si="22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3">
        <f t="shared" si="26"/>
        <v>0</v>
      </c>
      <c r="U45" s="93">
        <v>6</v>
      </c>
      <c r="V45" s="86">
        <f>T45*R39+T44*R40+T43*R41+T42*R42+T41*R43+T40*R44+T39*R45</f>
        <v>0.24688739984683838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24"/>
        <v>9</v>
      </c>
      <c r="BQ45">
        <v>6</v>
      </c>
      <c r="BR45" s="107">
        <f t="shared" si="25"/>
        <v>9.4740604567514321E-7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1.3107590682356623E-2</v>
      </c>
      <c r="I46" s="93">
        <v>7</v>
      </c>
      <c r="J46" s="86">
        <f t="shared" si="22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3">
        <f t="shared" si="26"/>
        <v>0</v>
      </c>
      <c r="U46" s="93">
        <v>7</v>
      </c>
      <c r="V46" s="86">
        <f>T46*R39+T45*R40+T44*R41+T43*R42+T42*R43+T41*R44+T40*R45+T39*R46</f>
        <v>0.19026383247544018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24"/>
        <v>9</v>
      </c>
      <c r="BQ46">
        <v>7</v>
      </c>
      <c r="BR46" s="107">
        <f t="shared" si="25"/>
        <v>2.9708102397052031E-7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3.1309638772704018E-3</v>
      </c>
      <c r="I47" s="93">
        <v>8</v>
      </c>
      <c r="J47" s="86">
        <f t="shared" si="22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3">
        <f t="shared" si="26"/>
        <v>0</v>
      </c>
      <c r="U47" s="93">
        <v>8</v>
      </c>
      <c r="V47" s="86">
        <f>T47*R39+T46*R40+T45*R41+T44*R42+T43*R43+T42*R44+T41*R45+T40*R46+T39*R47</f>
        <v>9.6483745132614707E-2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25"/>
        <v>7.0962694610705461E-8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5.6156131532783256E-4</v>
      </c>
      <c r="I48" s="93">
        <v>9</v>
      </c>
      <c r="J48" s="86">
        <f t="shared" si="22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3">
        <f t="shared" si="26"/>
        <v>0</v>
      </c>
      <c r="U48" s="93">
        <v>9</v>
      </c>
      <c r="V48" s="86">
        <f>T48*R39+T47*R40+T46*R41+T45*R42+T44*R43+T43*R44+T42*R45+T41*R46+T40*R47+T39*R48</f>
        <v>2.9188220720316679E-2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7.336160298841875E-5</v>
      </c>
      <c r="I49" s="94">
        <v>10</v>
      </c>
      <c r="J49" s="89">
        <f t="shared" si="22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3">
        <f t="shared" si="26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VADER-Nano</vt:lpstr>
      <vt:lpstr>Nano-VADER</vt:lpstr>
      <vt:lpstr>Mateo-VADER</vt:lpstr>
      <vt:lpstr>VADER-Metabarones</vt:lpstr>
      <vt:lpstr>ColldeRates-LUKE</vt:lpstr>
      <vt:lpstr>SIMULADOR_v4</vt:lpstr>
      <vt:lpstr>SIMULADOR_v3</vt:lpstr>
      <vt:lpstr>SIMULADOR&gt;22-12-17_v2</vt:lpstr>
      <vt:lpstr>SIMULADOR&gt;22-12-17</vt:lpstr>
      <vt:lpstr>SIMULADOR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2021-03-16T14:23:07Z</dcterms:modified>
</cp:coreProperties>
</file>