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065293A6-5801-4166-936F-2493DBD8E665}" xr6:coauthVersionLast="33" xr6:coauthVersionMax="33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</sheets>
  <externalReferences>
    <externalReference r:id="rId12"/>
  </externalReferences>
  <calcPr calcId="179017"/>
  <pivotCaches>
    <pivotCache cacheId="189" r:id="rId13"/>
  </pivotCaches>
</workbook>
</file>

<file path=xl/calcChain.xml><?xml version="1.0" encoding="utf-8"?>
<calcChain xmlns="http://schemas.openxmlformats.org/spreadsheetml/2006/main">
  <c r="H30" i="26" l="1"/>
  <c r="F30" i="26"/>
  <c r="Y15" i="1" l="1"/>
  <c r="Y14" i="1"/>
  <c r="Y9" i="1"/>
  <c r="Y7" i="1"/>
  <c r="Y8" i="1"/>
  <c r="Y6" i="1"/>
  <c r="Y11" i="1"/>
  <c r="Y13" i="1"/>
  <c r="Y12" i="1"/>
  <c r="Y4" i="1"/>
  <c r="H29" i="26" l="1"/>
  <c r="F29" i="26"/>
  <c r="H28" i="26" l="1"/>
  <c r="F28" i="26"/>
  <c r="Q15" i="28" l="1"/>
  <c r="AE17" i="1" l="1"/>
  <c r="N7" i="26" l="1"/>
  <c r="H27" i="26"/>
  <c r="F27" i="26"/>
  <c r="Y16" i="1" l="1"/>
  <c r="H26" i="26" l="1"/>
  <c r="F26" i="26"/>
  <c r="AE18" i="1" l="1"/>
  <c r="AB18" i="1"/>
  <c r="AE10" i="1"/>
  <c r="Y10" i="1"/>
  <c r="N3" i="26"/>
  <c r="N4" i="26"/>
  <c r="N5" i="26"/>
  <c r="N6" i="26"/>
  <c r="N2" i="26"/>
  <c r="H25" i="26" l="1"/>
  <c r="F25" i="26"/>
  <c r="H24" i="26"/>
  <c r="F24" i="26"/>
  <c r="H23" i="26"/>
  <c r="F23" i="26"/>
  <c r="H13" i="28" l="1"/>
  <c r="H22" i="26" l="1"/>
  <c r="F22" i="26"/>
  <c r="G16" i="27"/>
  <c r="Y11" i="27"/>
  <c r="Z11" i="27"/>
  <c r="F11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1" i="26" l="1"/>
  <c r="F21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T15" i="28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T7" i="28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U22" i="28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T10" i="28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U11" i="28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22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2" i="27"/>
  <c r="Y22" i="27"/>
  <c r="F22" i="27"/>
  <c r="Z25" i="27"/>
  <c r="Y25" i="27"/>
  <c r="F25" i="27"/>
  <c r="Z24" i="27"/>
  <c r="Y24" i="27"/>
  <c r="G24" i="27"/>
  <c r="F24" i="27" s="1"/>
  <c r="Z23" i="27"/>
  <c r="Y23" i="27"/>
  <c r="G23" i="27"/>
  <c r="F23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5" i="27"/>
  <c r="Y15" i="27"/>
  <c r="F15" i="27"/>
  <c r="Z9" i="27"/>
  <c r="Y9" i="27"/>
  <c r="F9" i="27"/>
  <c r="Z7" i="27"/>
  <c r="Y7" i="27"/>
  <c r="F7" i="27"/>
  <c r="AJ6" i="27"/>
  <c r="AJ14" i="27" s="1"/>
  <c r="AJ21" i="27" s="1"/>
  <c r="AI6" i="27"/>
  <c r="AI14" i="27" s="1"/>
  <c r="AI21" i="27" s="1"/>
  <c r="AH6" i="27"/>
  <c r="AH14" i="27" s="1"/>
  <c r="AH21" i="27" s="1"/>
  <c r="AG6" i="27"/>
  <c r="AG14" i="27" s="1"/>
  <c r="AG21" i="27" s="1"/>
  <c r="AF6" i="27"/>
  <c r="AF14" i="27" s="1"/>
  <c r="AF21" i="27" s="1"/>
  <c r="AE6" i="27"/>
  <c r="AE14" i="27" s="1"/>
  <c r="AE21" i="27" s="1"/>
  <c r="AD6" i="27"/>
  <c r="AD14" i="27" s="1"/>
  <c r="AD21" i="27" s="1"/>
  <c r="AC6" i="27"/>
  <c r="AC14" i="27" s="1"/>
  <c r="AC21" i="27" s="1"/>
  <c r="AA6" i="27"/>
  <c r="AA14" i="27" s="1"/>
  <c r="AA21" i="27" s="1"/>
  <c r="Z6" i="27"/>
  <c r="Z14" i="27" s="1"/>
  <c r="Z21" i="27" s="1"/>
  <c r="Y6" i="27"/>
  <c r="Y14" i="27" s="1"/>
  <c r="Y21" i="27" s="1"/>
  <c r="X6" i="27"/>
  <c r="X14" i="27" s="1"/>
  <c r="X21" i="27" s="1"/>
  <c r="W6" i="27"/>
  <c r="W14" i="27" s="1"/>
  <c r="W21" i="27" s="1"/>
  <c r="V6" i="27"/>
  <c r="V14" i="27" s="1"/>
  <c r="V21" i="27" s="1"/>
  <c r="U6" i="27"/>
  <c r="U14" i="27" s="1"/>
  <c r="U21" i="27" s="1"/>
  <c r="T6" i="27"/>
  <c r="T14" i="27" s="1"/>
  <c r="T21" i="27" s="1"/>
  <c r="S6" i="27"/>
  <c r="S14" i="27" s="1"/>
  <c r="S21" i="27" s="1"/>
  <c r="R6" i="27"/>
  <c r="R14" i="27" s="1"/>
  <c r="R21" i="27" s="1"/>
  <c r="Q6" i="27"/>
  <c r="Q14" i="27" s="1"/>
  <c r="Q21" i="27" s="1"/>
  <c r="P6" i="27"/>
  <c r="P14" i="27" s="1"/>
  <c r="P21" i="27" s="1"/>
  <c r="O6" i="27"/>
  <c r="O14" i="27" s="1"/>
  <c r="O21" i="27" s="1"/>
  <c r="N6" i="27"/>
  <c r="N14" i="27" s="1"/>
  <c r="N21" i="27" s="1"/>
  <c r="M6" i="27"/>
  <c r="M14" i="27" s="1"/>
  <c r="M21" i="27" s="1"/>
  <c r="L6" i="27"/>
  <c r="L14" i="27" s="1"/>
  <c r="L21" i="27" s="1"/>
  <c r="J6" i="27"/>
  <c r="J14" i="27" s="1"/>
  <c r="J21" i="27" s="1"/>
  <c r="I6" i="27"/>
  <c r="I14" i="27" s="1"/>
  <c r="I21" i="27" s="1"/>
  <c r="H6" i="27"/>
  <c r="H14" i="27" s="1"/>
  <c r="H21" i="27" s="1"/>
  <c r="G6" i="27"/>
  <c r="G14" i="27" s="1"/>
  <c r="G21" i="27" s="1"/>
  <c r="Z3" i="27"/>
  <c r="Y3" i="27"/>
  <c r="F3" i="27"/>
  <c r="D3" i="27"/>
  <c r="D11" i="27" l="1"/>
  <c r="B36" i="27"/>
  <c r="B33" i="27" s="1"/>
  <c r="D19" i="27" s="1"/>
  <c r="D26" i="27"/>
  <c r="H20" i="26"/>
  <c r="F20" i="26"/>
  <c r="D15" i="27" l="1"/>
  <c r="D27" i="27"/>
  <c r="D24" i="27"/>
  <c r="D23" i="27"/>
  <c r="D25" i="27"/>
  <c r="D10" i="27"/>
  <c r="D8" i="27"/>
  <c r="D16" i="27"/>
  <c r="D7" i="27"/>
  <c r="D28" i="27"/>
  <c r="D9" i="27"/>
  <c r="D18" i="27"/>
  <c r="H19" i="26"/>
  <c r="F19" i="26"/>
  <c r="H18" i="26" l="1"/>
  <c r="F18" i="26"/>
  <c r="H2" i="26" l="1"/>
  <c r="F2" i="26"/>
  <c r="H3" i="26"/>
  <c r="F3" i="26"/>
  <c r="H5" i="26"/>
  <c r="H4" i="26"/>
  <c r="H7" i="26"/>
  <c r="H6" i="26"/>
  <c r="H9" i="26"/>
  <c r="H8" i="26"/>
  <c r="H11" i="26"/>
  <c r="H10" i="26"/>
  <c r="H12" i="26"/>
  <c r="H15" i="26"/>
  <c r="H14" i="26"/>
  <c r="H13" i="26"/>
  <c r="F13" i="26"/>
  <c r="F14" i="26"/>
  <c r="F15" i="26"/>
  <c r="F12" i="26"/>
  <c r="F10" i="26"/>
  <c r="F11" i="26"/>
  <c r="F8" i="26"/>
  <c r="F9" i="26"/>
  <c r="F6" i="26"/>
  <c r="F7" i="26"/>
  <c r="F4" i="26"/>
  <c r="F5" i="26"/>
  <c r="H17" i="26"/>
  <c r="F17" i="26"/>
  <c r="H16" i="26"/>
  <c r="F16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R19" i="3" l="1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AN13" i="3" l="1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 s="1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U16" i="3"/>
  <c r="V16" i="3" s="1"/>
  <c r="U15" i="3"/>
  <c r="V15" i="3" s="1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8" i="1" s="1"/>
  <c r="F12" i="1" l="1"/>
  <c r="D12" i="10" s="1"/>
  <c r="F18" i="1"/>
  <c r="D18" i="10" s="1"/>
  <c r="F21" i="1"/>
  <c r="D21" i="10" s="1"/>
  <c r="F19" i="1"/>
  <c r="D19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D8" i="10"/>
  <c r="F11" i="1"/>
  <c r="D11" i="10" s="1"/>
  <c r="F10" i="1"/>
  <c r="D10" i="10" s="1"/>
  <c r="F5" i="1"/>
  <c r="D5" i="10" s="1"/>
  <c r="F13" i="1"/>
  <c r="D13" i="10" s="1"/>
  <c r="F4" i="1"/>
  <c r="D4" i="10" s="1"/>
  <c r="C11" i="3" l="1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<sst xmlns="http://schemas.openxmlformats.org/spreadsheetml/2006/main" count="1311" uniqueCount="695">
  <si>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</si>
  <si>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</si>
  <si>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</si>
  <si>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</si>
  <si>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</si>
  <si>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</si>
  <si>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</si>
  <si>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</si>
  <si>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</si>
  <si>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</si>
  <si>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</si>
  <si>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</si>
  <si>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</si>
  <si>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</si>
  <si>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</si>
  <si>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</si>
  <si>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</si>
  <si>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</si>
  <si>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</si>
  <si>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</si>
  <si>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</si>
  <si>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</si>
  <si>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</si>
  <si>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</si>
  <si>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</si>
  <si>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</si>
  <si>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</si>
  <si>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</si>
  <si>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</si>
  <si>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</si>
  <si>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</si>
  <si>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</si>
  <si>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</si>
  <si>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</si>
  <si>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</si>
  <si>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</si>
  <si>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</si>
  <si>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</si>
  <si>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</si>
  <si>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</si>
  <si>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</si>
  <si>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</si>
  <si>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</si>
  <si>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</si>
  <si>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</si>
  <si>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</si>
  <si>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</si>
  <si>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</si>
  <si>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</si>
  <si>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</si>
  <si>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</si>
  <si>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</si>
  <si>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</si>
  <si>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</si>
  <si>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</si>
  <si>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</si>
  <si>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</si>
  <si>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</si>
  <si>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</si>
  <si>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</si>
  <si>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</si>
  <si>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</si>
  <si>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</si>
  <si>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</si>
  <si>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</si>
  <si>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</si>
  <si>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</si>
  <si>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</si>
  <si>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</si>
  <si>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</si>
  <si>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</si>
  <si>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</si>
  <si>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</si>
  <si>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</si>
  <si>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</si>
  <si>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</si>
  <si>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</si>
  <si>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</si>
  <si>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</si>
  <si>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</si>
  <si>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</si>
  <si>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</si>
  <si>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</si>
  <si>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</si>
  <si>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</si>
  <si>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</si>
  <si>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</si>
  <si>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</si>
  <si>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</si>
  <si>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</si>
  <si>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</si>
  <si>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</si>
  <si>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</si>
  <si>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</si>
  <si>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</si>
  <si>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</si>
  <si>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</si>
  <si>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</si>
  <si>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</si>
  <si>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</si>
  <si>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</si>
  <si>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</si>
  <si>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</si>
  <si>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</si>
  <si>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</si>
  <si>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</si>
  <si>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</si>
  <si>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</si>
  <si>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</si>
  <si>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</si>
  <si>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</si>
  <si>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</si>
  <si>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</si>
  <si>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</si>
  <si>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</si>
  <si>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</si>
  <si>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</si>
  <si>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</si>
  <si>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</si>
  <si>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</si>
  <si>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</si>
  <si>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</si>
  <si>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</si>
  <si>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</si>
  <si>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</si>
  <si>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</si>
  <si>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</si>
  <si>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</si>
  <si>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</si>
  <si>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</si>
  <si>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</si>
  <si>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</si>
  <si>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</si>
  <si>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</si>
  <si>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</si>
  <si>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</si>
  <si>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</si>
  <si>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</si>
  <si>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</si>
  <si>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</si>
  <si>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</si>
  <si>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</si>
  <si>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</si>
  <si>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</si>
  <si>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</si>
  <si>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</si>
  <si>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</si>
  <si>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</si>
  <si>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</si>
  <si>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</si>
  <si>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</si>
  <si>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</si>
  <si>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</si>
  <si>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</si>
  <si>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</si>
  <si>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</si>
  <si>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</si>
  <si>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</si>
  <si>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</si>
  <si>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</si>
  <si>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</si>
  <si>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</si>
  <si>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</si>
  <si>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</si>
  <si>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</si>
  <si>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</si>
  <si>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</si>
  <si>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</si>
  <si>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</si>
  <si>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</si>
  <si>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</si>
  <si>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</si>
  <si>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</si>
  <si>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</si>
  <si>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</si>
  <si>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</si>
  <si>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</si>
  <si>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</si>
  <si>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</si>
  <si>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</si>
  <si>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</si>
  <si>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</si>
  <si>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</si>
  <si>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</si>
  <si>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</si>
  <si>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</si>
  <si>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</si>
  <si>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</si>
  <si>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</si>
  <si>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</si>
  <si>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</si>
  <si>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</si>
  <si>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</si>
  <si>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</si>
  <si>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</si>
  <si>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</si>
  <si>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</si>
  <si>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</si>
  <si>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</si>
  <si>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</si>
  <si>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</si>
  <si>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</si>
  <si>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</si>
  <si>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</si>
  <si>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</si>
  <si>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</si>
  <si>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</si>
  <si>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</si>
  <si>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</si>
  <si>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</si>
  <si>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</si>
  <si>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</si>
  <si>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</si>
  <si>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</si>
  <si>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</si>
  <si>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</si>
  <si>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</si>
  <si>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</si>
  <si>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</si>
  <si>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</si>
  <si>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</si>
  <si>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</si>
  <si>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</si>
  <si>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</si>
  <si>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</si>
  <si>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</si>
  <si>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</si>
  <si>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</si>
  <si>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</si>
  <si>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</si>
  <si>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</si>
  <si>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</si>
  <si>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</si>
  <si>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</si>
  <si>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</si>
  <si>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</si>
  <si>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</si>
  <si>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</si>
  <si>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</si>
  <si>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</si>
  <si>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</si>
  <si>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</si>
  <si>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</si>
  <si>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</si>
  <si>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</si>
  <si>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</si>
  <si>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</si>
  <si>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</si>
  <si>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</si>
  <si>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</si>
  <si>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</si>
  <si>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</si>
  <si>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</si>
  <si>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</si>
  <si>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</si>
  <si>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</si>
  <si>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</si>
  <si>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</si>
  <si>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</si>
  <si>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</si>
  <si>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</si>
  <si>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</si>
  <si>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</si>
  <si>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</si>
  <si>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</si>
  <si>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</si>
  <si>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</si>
  <si>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</si>
  <si>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</si>
  <si>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</si>
  <si>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</si>
  <si>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</si>
  <si>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</si>
  <si>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</si>
  <si>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</si>
  <si>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</si>
  <si>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</si>
  <si>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</si>
  <si>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</si>
  <si>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</si>
  <si>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</si>
  <si>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</si>
  <si>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</si>
  <si>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</si>
  <si>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</si>
  <si>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</si>
  <si>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</si>
  <si>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</si>
  <si>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</si>
  <si>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</si>
  <si>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</si>
  <si>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</si>
  <si>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</si>
  <si>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</si>
  <si>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</si>
  <si>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</si>
  <si>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</si>
  <si>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</si>
  <si>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</si>
  <si>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</si>
  <si>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</si>
  <si>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</si>
  <si>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</si>
  <si>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</si>
  <si>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</si>
  <si>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</si>
  <si>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</si>
  <si>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</si>
  <si>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</si>
  <si>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</si>
  <si>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</si>
  <si>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</si>
  <si>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</si>
  <si>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</si>
  <si>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</si>
  <si>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</si>
  <si>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</si>
  <si>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</si>
  <si>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</si>
  <si>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</si>
  <si>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</si>
  <si>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</si>
  <si>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</si>
  <si>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</si>
  <si>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</si>
  <si>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</si>
  <si>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</si>
  <si>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</si>
  <si>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</si>
  <si>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</si>
  <si>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</si>
  <si>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</si>
  <si>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</si>
  <si>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</si>
  <si>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</si>
  <si>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</si>
  <si>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</si>
  <si>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</si>
  <si>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</si>
  <si>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</si>
  <si>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</si>
  <si>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</si>
  <si>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</si>
  <si>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</si>
  <si>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</si>
  <si>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</si>
  <si>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</si>
  <si>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</si>
  <si>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</si>
  <si>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</si>
  <si>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</si>
  <si>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</si>
  <si>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</si>
  <si>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</si>
  <si>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</si>
  <si>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</si>
  <si>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</si>
  <si>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</si>
  <si>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</si>
  <si>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</si>
  <si>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</si>
  <si>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</si>
  <si>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</si>
  <si>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</si>
  <si>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</si>
  <si>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</si>
  <si>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</si>
  <si>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</si>
  <si>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</si>
  <si>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</si>
  <si>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</si>
  <si>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</si>
  <si>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</si>
  <si>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</si>
  <si>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</si>
  <si>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</si>
  <si>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</si>
  <si>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</si>
  <si>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</si>
  <si>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</si>
  <si>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</si>
  <si>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</si>
  <si>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</si>
  <si>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</si>
  <si>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</si>
  <si>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</si>
  <si>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</si>
  <si>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</si>
  <si>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</si>
  <si>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</si>
  <si>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</si>
  <si>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</si>
  <si>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</si>
  <si>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</si>
  <si>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</si>
  <si>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</si>
  <si>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</si>
  <si>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</si>
  <si>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</si>
  <si>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</si>
  <si>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</si>
  <si>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</si>
  <si>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</si>
  <si>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</si>
  <si>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</si>
  <si>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</si>
  <si>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</si>
  <si>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</si>
  <si>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</si>
  <si>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</si>
  <si>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</si>
  <si>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</si>
  <si>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</si>
  <si>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</si>
  <si>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</si>
  <si>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</si>
  <si>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</si>
  <si>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</si>
  <si>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</si>
  <si>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</si>
  <si>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</si>
  <si>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</si>
  <si>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</si>
  <si>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</si>
  <si>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</si>
  <si>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</si>
  <si>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</si>
  <si>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</si>
  <si>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</si>
  <si>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</si>
  <si>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</si>
  <si>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</si>
  <si>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</si>
  <si>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</si>
  <si>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</si>
  <si>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</si>
  <si>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</si>
  <si>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</si>
  <si>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</si>
  <si>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</si>
  <si>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</si>
  <si>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</si>
  <si>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</si>
  <si>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</si>
  <si>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</si>
  <si>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</si>
  <si>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</si>
  <si>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</si>
  <si>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</si>
  <si>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</si>
  <si>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</si>
  <si>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</si>
  <si>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</si>
  <si>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</si>
  <si>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</si>
  <si>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</si>
  <si>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</si>
  <si>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</si>
  <si>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</si>
  <si>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</si>
  <si>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</si>
  <si>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</si>
  <si>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</si>
  <si>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</si>
  <si>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</si>
  <si>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</si>
  <si>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</si>
  <si>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</si>
  <si>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</si>
  <si>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</si>
  <si>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</si>
  <si>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</si>
  <si>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</si>
  <si>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</si>
  <si>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</si>
  <si>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</si>
  <si>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</si>
  <si>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</si>
  <si>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</si>
  <si>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</si>
  <si>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</si>
  <si>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</si>
  <si>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</si>
  <si>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</si>
  <si>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</si>
  <si>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</si>
  <si>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</si>
  <si>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</si>
  <si>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</si>
  <si>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</si>
  <si>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</si>
  <si>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</si>
  <si>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</si>
  <si>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</si>
  <si>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</si>
  <si>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</si>
  <si>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</si>
  <si>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</si>
  <si>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</si>
  <si>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</si>
  <si>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</si>
  <si>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</si>
  <si>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</si>
  <si>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</si>
  <si>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</si>
  <si>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</si>
  <si>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</si>
  <si>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</si>
  <si>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</si>
  <si>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</si>
  <si>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</si>
  <si>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</si>
  <si>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</si>
  <si>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</si>
  <si>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</si>
  <si>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</si>
  <si>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</si>
  <si>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</si>
  <si>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</si>
  <si>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</si>
  <si>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</si>
  <si>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</si>
  <si>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</si>
  <si>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</si>
  <si>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</si>
  <si>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</si>
  <si>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</si>
  <si>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</si>
  <si>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</si>
  <si>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</si>
  <si>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</si>
  <si>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</si>
  <si>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</si>
  <si>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</si>
  <si>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</si>
  <si>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</si>
  <si>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</si>
  <si>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</si>
  <si>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</si>
  <si>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</si>
  <si>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</si>
  <si>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</si>
  <si>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</si>
  <si>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</si>
  <si>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</si>
  <si>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</si>
  <si>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</si>
  <si>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</si>
  <si>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</si>
  <si>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</si>
  <si>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</si>
  <si>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</si>
  <si>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</si>
  <si>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</si>
  <si>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</si>
  <si>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</si>
  <si>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</si>
  <si>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</si>
  <si>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</si>
  <si>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</si>
  <si>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</si>
  <si>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</si>
  <si>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</si>
  <si>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</si>
  <si>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</si>
  <si>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</si>
  <si>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</si>
  <si>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</si>
  <si>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</si>
  <si>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</si>
  <si>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</si>
  <si>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</si>
  <si>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</si>
  <si>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</si>
  <si>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</si>
  <si>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</si>
  <si>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</si>
  <si>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</si>
  <si>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</si>
  <si>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</si>
  <si>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</si>
  <si>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</si>
  <si>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</si>
  <si>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</si>
  <si>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</si>
  <si>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</si>
  <si>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</si>
  <si>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</si>
  <si>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</si>
  <si>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</si>
  <si>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</si>
  <si>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</si>
  <si>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</si>
  <si>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</si>
  <si>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</si>
  <si>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</si>
  <si>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</si>
  <si>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</si>
  <si>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</si>
  <si>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</si>
  <si>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</si>
  <si>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</si>
  <si>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</si>
  <si>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</si>
  <si>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</si>
  <si>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</si>
  <si>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</si>
  <si>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</si>
  <si>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</si>
  <si>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</si>
  <si>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</si>
  <si>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</si>
  <si>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</si>
  <si>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</si>
  <si>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</si>
  <si>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</si>
  <si>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</si>
  <si>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</si>
  <si>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</si>
  <si>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</si>
  <si>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</si>
  <si>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</si>
  <si>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</si>
  <si>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</si>
  <si>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</si>
  <si>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</si>
  <si>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</si>
  <si>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</si>
  <si>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</si>
  <si>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</si>
  <si>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</si>
  <si>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</si>
  <si>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</si>
  <si>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</si>
  <si>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</si>
  <si>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</si>
  <si>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</si>
  <si>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</si>
  <si>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</si>
  <si>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</si>
  <si>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</si>
  <si>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</si>
  <si>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</si>
  <si>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</si>
  <si>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</si>
  <si>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</si>
  <si>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</si>
  <si>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</si>
  <si>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</si>
  <si>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</si>
  <si>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</si>
  <si>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</si>
  <si>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</si>
  <si>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</si>
  <si>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</si>
  <si>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</si>
  <si>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</si>
  <si>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</si>
  <si>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</si>
  <si>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</si>
  <si>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</si>
  <si>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</si>
  <si>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</si>
  <si>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</si>
  <si>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</si>
  <si>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</si>
  <si>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</si>
  <si>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</si>
  <si>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</si>
  <si>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</si>
  <si>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</si>
  <si>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</si>
  <si>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</si>
  <si>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</si>
  <si>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</si>
  <si>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</si>
  <si>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</si>
  <si>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</si>
  <si>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</si>
  <si>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</si>
  <si>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</si>
  <si>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</si>
  <si>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</si>
  <si>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</si>
  <si>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</si>
  <si>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</si>
  <si>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</si>
  <si>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</si>
  <si>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</si>
  <si>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</si>
  <si>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</si>
  <si>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</si>
  <si>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</si>
  <si>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Roger Anfruns</t>
  </si>
  <si>
    <t>23(46)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</si>
</sst>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8"/>
      <color rgb="FFFF0000"/>
      <name val="Verdana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7" fillId="3" borderId="1" xfId="0" applyFont="1" applyFill="1" applyBorder="1" applyAlignment="1">
      <alignment horizontal="right" vertical="center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0" fillId="0" borderId="0" xfId="0" applyBorder="1" applyAlignment="1">
      <alignment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EstudioConversion!$J$2:$J$7</c:f>
              <c:numCache>
                <c:formatCode>General</c:formatCode>
                <c:ptCount val="6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EstudioConversion!$N$2:$N$7</c:f>
              <c:numCache>
                <c:formatCode>0.0%</c:formatCode>
                <c:ptCount val="6"/>
                <c:pt idx="0">
                  <c:v>0.2857142857142857</c:v>
                </c:pt>
                <c:pt idx="1">
                  <c:v>0.36904761904761907</c:v>
                </c:pt>
                <c:pt idx="2">
                  <c:v>0.34</c:v>
                </c:pt>
                <c:pt idx="3">
                  <c:v>0.2857142857142857</c:v>
                </c:pt>
                <c:pt idx="4">
                  <c:v>0.46153846153846156</c:v>
                </c:pt>
                <c:pt idx="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1F9-91C2-C8ACFB28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10</xdr:row>
      <xdr:rowOff>23811</xdr:rowOff>
    </xdr:from>
    <xdr:to>
      <xdr:col>15</xdr:col>
      <xdr:colOff>447675</xdr:colOff>
      <xdr:row>29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75.39932488426" createdVersion="6" refreshedVersion="6" minRefreshableVersion="3" recordCount="30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6-01T00:00:00" maxDate="2019-07-27T00:00:00" count="20">
        <d v="2019-06-01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6-27T00:00:00"/>
        <d v="2019-06-28T00:00:00"/>
        <d v="2019-07-06T00:00:00"/>
        <d v="2019-07-09T00:00:00"/>
        <d v="2019-07-10T00:00:00"/>
        <d v="2019-07-11T00:00:00"/>
        <d v="2019-07-17T00:00:00"/>
        <d v="2019-07-20T00:00:00"/>
        <d v="2019-07-24T00:00:00"/>
        <d v="2019-07-26T00:00:00"/>
        <m/>
      </sharedItems>
      <fieldGroup par="8" base="0">
        <rangePr groupBy="days" startDate="2019-06-01T00:00:00" endDate="2019-07-2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07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NivelTactica" numFmtId="0">
      <sharedItems containsString="0" containsBlank="1" containsNumber="1" containsInteger="1" minValue="14" maxValue="20" count="7">
        <n v="16"/>
        <n v="17"/>
        <n v="19"/>
        <n v="18"/>
        <n v="20"/>
        <n v="14"/>
        <m/>
      </sharedItems>
    </cacheField>
    <cacheField name="NivelMedioVader" numFmtId="0">
      <sharedItems containsString="0" containsBlank="1" containsNumber="1" minValue="11.454545454545455" maxValue="12.409090909090908"/>
    </cacheField>
    <cacheField name="Meses" numFmtId="0" databaseField="0">
      <fieldGroup base="0">
        <rangePr groupBy="months" startDate="2019-06-01T00:00:00" endDate="2019-07-27T00:00:00"/>
        <groupItems count="14">
          <s v="&lt;01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gollos F.C"/>
    <s v="V@der SC"/>
    <n v="5"/>
    <n v="3"/>
    <n v="0.6"/>
    <x v="0"/>
    <n v="12"/>
  </r>
  <r>
    <x v="1"/>
    <s v="CD Castalia"/>
    <s v="V@der SC"/>
    <n v="4"/>
    <n v="2"/>
    <n v="0.5"/>
    <x v="0"/>
    <n v="12.181818181818182"/>
  </r>
  <r>
    <x v="2"/>
    <s v="V@der SC"/>
    <s v="FC Bayern München 16"/>
    <n v="10"/>
    <n v="3"/>
    <n v="0.3"/>
    <x v="0"/>
    <n v="12.181818181818182"/>
  </r>
  <r>
    <x v="2"/>
    <s v="V@der SC"/>
    <s v="Grasshopper Club Nidwalden"/>
    <n v="7"/>
    <n v="3"/>
    <n v="0.42857142857142855"/>
    <x v="0"/>
    <n v="12.181818181818182"/>
  </r>
  <r>
    <x v="3"/>
    <s v="Ju.far72"/>
    <s v="V@der SC"/>
    <n v="9"/>
    <n v="3"/>
    <n v="0.33333333333333331"/>
    <x v="0"/>
    <n v="12.181818181818182"/>
  </r>
  <r>
    <x v="3"/>
    <s v="Mks Pilica PEDEZET"/>
    <s v="V@der SC"/>
    <n v="6"/>
    <n v="2"/>
    <n v="0.33333333333333331"/>
    <x v="0"/>
    <n v="12.181818181818182"/>
  </r>
  <r>
    <x v="4"/>
    <s v="V@der SC"/>
    <s v="Nie Zjednoczeni Kaczory"/>
    <n v="7"/>
    <n v="2"/>
    <n v="0.2857142857142857"/>
    <x v="0"/>
    <n v="12.181818181818182"/>
  </r>
  <r>
    <x v="4"/>
    <s v="V@der SC"/>
    <s v="Cuchufritos F.C."/>
    <n v="5"/>
    <n v="2"/>
    <n v="0.4"/>
    <x v="0"/>
    <n v="12.181818181818182"/>
  </r>
  <r>
    <x v="5"/>
    <s v="USC Olaf Football"/>
    <s v="V@der SC"/>
    <n v="8"/>
    <n v="3"/>
    <n v="0.375"/>
    <x v="1"/>
    <n v="12.181818181818182"/>
  </r>
  <r>
    <x v="5"/>
    <s v="Ladány City"/>
    <s v="V@der SC"/>
    <n v="9"/>
    <n v="2"/>
    <n v="0.22222222222222221"/>
    <x v="0"/>
    <n v="12.181818181818182"/>
  </r>
  <r>
    <x v="6"/>
    <s v="konary"/>
    <s v="V@der SC"/>
    <n v="3"/>
    <n v="2"/>
    <n v="0.66666666666666663"/>
    <x v="0"/>
    <n v="12.181818181818182"/>
  </r>
  <r>
    <x v="7"/>
    <s v="V@der SC"/>
    <s v="Ornitorrincos Purpura"/>
    <n v="8"/>
    <n v="3"/>
    <n v="0.375"/>
    <x v="1"/>
    <n v="12.181818181818182"/>
  </r>
  <r>
    <x v="7"/>
    <s v="VINATIKA FC 2"/>
    <s v="V@der SC"/>
    <n v="6"/>
    <n v="2"/>
    <n v="0.33333333333333331"/>
    <x v="0"/>
    <n v="12.181818181818182"/>
  </r>
  <r>
    <x v="7"/>
    <s v="V@der SC"/>
    <s v="Basil444"/>
    <n v="4"/>
    <n v="2"/>
    <n v="0.5"/>
    <x v="0"/>
    <n v="12.181818181818182"/>
  </r>
  <r>
    <x v="8"/>
    <s v="V@der SC"/>
    <s v="John Rebus F.c"/>
    <n v="9"/>
    <n v="3"/>
    <n v="0.33333333333333331"/>
    <x v="0"/>
    <n v="12.181818181818182"/>
  </r>
  <r>
    <x v="8"/>
    <s v="Wisla Skawina"/>
    <s v="V@der SC"/>
    <n v="7"/>
    <n v="1"/>
    <n v="0.14285714285714285"/>
    <x v="1"/>
    <n v="12.181818181818182"/>
  </r>
  <r>
    <x v="9"/>
    <s v="Insulae Atlantis"/>
    <s v="V@der SC"/>
    <n v="4"/>
    <n v="2"/>
    <n v="0.5"/>
    <x v="1"/>
    <n v="12.181818181818182"/>
  </r>
  <r>
    <x v="9"/>
    <s v="V@der SC"/>
    <s v="Bar Karakas C.F."/>
    <n v="6"/>
    <n v="1"/>
    <n v="0.16666666666666666"/>
    <x v="1"/>
    <n v="12.181818181818182"/>
  </r>
  <r>
    <x v="9"/>
    <s v="Dzsoni Valkur"/>
    <s v="V@der SC"/>
    <n v="7"/>
    <n v="3"/>
    <n v="0.42857142857142855"/>
    <x v="1"/>
    <n v="12.181818181818182"/>
  </r>
  <r>
    <x v="10"/>
    <s v="V@der SC"/>
    <s v="Fc De Rositas"/>
    <n v="10"/>
    <n v="4"/>
    <n v="0.4"/>
    <x v="1"/>
    <n v="11.818181818181818"/>
  </r>
  <r>
    <x v="11"/>
    <s v="V@der SC"/>
    <s v="The Pyramid Mystery"/>
    <n v="9"/>
    <n v="5"/>
    <n v="0.55555555555555558"/>
    <x v="2"/>
    <n v="11.909090909090908"/>
  </r>
  <r>
    <x v="12"/>
    <s v="V@der SC"/>
    <s v="S.H.M.Piast Gliwice"/>
    <n v="5"/>
    <n v="1"/>
    <n v="0.2"/>
    <x v="3"/>
    <n v="11.909090909090908"/>
  </r>
  <r>
    <x v="13"/>
    <s v="Lobos del Viento"/>
    <s v="V@der SC"/>
    <n v="6"/>
    <n v="2"/>
    <n v="0.33333333333333331"/>
    <x v="3"/>
    <n v="12.181818181818182"/>
  </r>
  <r>
    <x v="13"/>
    <s v="V@der SC"/>
    <s v="US Women National Tema"/>
    <n v="3"/>
    <n v="1"/>
    <n v="0.33333333333333331"/>
    <x v="3"/>
    <n v="12"/>
  </r>
  <r>
    <x v="14"/>
    <s v="V@der SC"/>
    <s v="I treni di Tozeur"/>
    <n v="12"/>
    <n v="5"/>
    <n v="0.41666666666666669"/>
    <x v="2"/>
    <n v="11.909090909090908"/>
  </r>
  <r>
    <x v="15"/>
    <s v="V@der SC"/>
    <s v="Mendibil"/>
    <n v="7"/>
    <n v="4"/>
    <n v="0.5714285714285714"/>
    <x v="4"/>
    <n v="12.409090909090908"/>
  </r>
  <r>
    <x v="16"/>
    <s v="CD Castalia"/>
    <s v="V@der SC"/>
    <n v="5"/>
    <n v="2"/>
    <n v="0.4"/>
    <x v="2"/>
    <n v="11.454545454545455"/>
  </r>
  <r>
    <x v="17"/>
    <s v="V@der SC"/>
    <s v="Fernando de Rojas"/>
    <n v="7"/>
    <n v="2"/>
    <n v="0.2857142857142857"/>
    <x v="5"/>
    <n v="11.545454545454545"/>
  </r>
  <r>
    <x v="18"/>
    <s v="FC BvB"/>
    <s v="V@der SC"/>
    <n v="5"/>
    <n v="3"/>
    <n v="0.6"/>
    <x v="4"/>
    <n v="12.272727272727273"/>
  </r>
  <r>
    <x v="19"/>
    <m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8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 sortType="ascending">
      <items count="8">
        <item x="5"/>
        <item x="0"/>
        <item x="1"/>
        <item x="3"/>
        <item x="2"/>
        <item x="4"/>
        <item h="1" x="6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3" baseField="0" baseItem="0"/>
    <dataField name="Suma de C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O5" sqref="O5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4" t="s">
        <v>257</v>
      </c>
      <c r="H1" s="444"/>
      <c r="J1" s="119" t="s">
        <v>297</v>
      </c>
      <c r="K1" s="444" t="s">
        <v>298</v>
      </c>
      <c r="L1" s="444"/>
      <c r="N1" s="119" t="s">
        <v>297</v>
      </c>
      <c r="O1" s="444" t="s">
        <v>309</v>
      </c>
      <c r="P1" s="444"/>
      <c r="R1" s="119" t="s">
        <v>297</v>
      </c>
      <c r="S1" s="444" t="s">
        <v>328</v>
      </c>
      <c r="T1" s="444"/>
    </row>
    <row r="2" spans="1:20" x14ac:dyDescent="0.25">
      <c r="A2" s="28">
        <v>43675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4</v>
      </c>
      <c r="S6" s="117" t="s">
        <v>195</v>
      </c>
      <c r="T6" s="112">
        <v>42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10</v>
      </c>
      <c r="R8" s="48">
        <v>7</v>
      </c>
      <c r="S8" s="117" t="s">
        <v>356</v>
      </c>
      <c r="T8" s="129">
        <v>25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3" t="s">
        <v>338</v>
      </c>
      <c r="P10" s="108">
        <v>5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7" t="s">
        <v>190</v>
      </c>
      <c r="L11" s="108">
        <v>95</v>
      </c>
      <c r="N11" s="48">
        <v>10</v>
      </c>
      <c r="O11" s="110" t="s">
        <v>315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0" t="s">
        <v>302</v>
      </c>
      <c r="L12" s="108">
        <v>93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7" t="s">
        <v>364</v>
      </c>
      <c r="L13" s="108">
        <v>89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0" t="s">
        <v>288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82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14</v>
      </c>
      <c r="K16" s="117" t="s">
        <v>365</v>
      </c>
      <c r="L16" s="108">
        <v>82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31" t="s">
        <v>249</v>
      </c>
      <c r="L17" s="108">
        <v>81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10" t="s">
        <v>289</v>
      </c>
      <c r="L18" s="108">
        <v>78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86</v>
      </c>
      <c r="D3" s="114">
        <f>Plantilla!G4</f>
        <v>0</v>
      </c>
      <c r="E3" s="28">
        <f>Plantilla!M4</f>
        <v>43415</v>
      </c>
      <c r="F3" s="42">
        <f>Plantilla!Q4</f>
        <v>5</v>
      </c>
      <c r="G3" s="43">
        <f t="shared" ref="G3" si="0">(F3/7)^0.5</f>
        <v>0.84515425472851657</v>
      </c>
      <c r="H3" s="43">
        <f t="shared" ref="H3" si="1">IF(F3=7,1,((F3+0.99)/7)^0.5)</f>
        <v>0.92504826128926143</v>
      </c>
      <c r="I3" s="139">
        <f ca="1">Plantilla!N4</f>
        <v>0.84864450827469529</v>
      </c>
      <c r="J3" s="34">
        <f>Plantilla!I4</f>
        <v>4.9000000000000004</v>
      </c>
      <c r="K3" s="41">
        <f>Plantilla!X4</f>
        <v>15</v>
      </c>
      <c r="L3" s="41">
        <f>Plantilla!Y4</f>
        <v>10.875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1.734375</v>
      </c>
      <c r="S3" s="41">
        <f t="shared" ref="S3" si="3">(0.5*P3+ 0.3*Q3)/10</f>
        <v>0.08</v>
      </c>
      <c r="T3" s="41">
        <f t="shared" ref="T3" si="4">(0.4*L3+0.3*Q3)/10</f>
        <v>0.46500000000000002</v>
      </c>
      <c r="U3" s="41">
        <f t="shared" ref="U3" ca="1" si="5">(Q3+I3+(LOG(J3)*4/3))*(F3/7)^0.5</f>
        <v>2.340152643159588</v>
      </c>
      <c r="V3" s="41">
        <f t="shared" ref="V3" ca="1" si="6">IF(F3=7,U3,(Q3+I3+(LOG(J3)*4/3))*((F3+0.99)/7)^0.5)</f>
        <v>2.5613716331601695</v>
      </c>
      <c r="W3" s="32">
        <f t="shared" ref="W3" ca="1" si="7">((K3+I3+(LOG(J3)*4/3))*0.597)+((L3+I3+(LOG(J3)*4/3))*0.276)</f>
        <v>13.500754892876998</v>
      </c>
      <c r="X3" s="32">
        <f t="shared" ref="X3" ca="1" si="8">((K3+I3+(LOG(J3)*4/3))*0.866)+((L3+I3+(LOG(J3)*4/3))*0.425)</f>
        <v>19.895532579271713</v>
      </c>
      <c r="Y3" s="32">
        <f t="shared" ref="Y3" ca="1" si="9">W3</f>
        <v>13.500754892876998</v>
      </c>
      <c r="Z3" s="32">
        <f t="shared" ref="Z3" ca="1" si="10">((L3+I3+(LOG(J3)*4/3))*0.516)</f>
        <v>6.5242554693293604</v>
      </c>
      <c r="AA3" s="32">
        <f t="shared" ref="AA3" ca="1" si="11">((L3+I3+(LOG(J3)*4/3))*1)</f>
        <v>12.643905948312714</v>
      </c>
      <c r="AB3" s="32">
        <f t="shared" ref="AB3" ca="1" si="12">Z3/2</f>
        <v>3.2621277346646802</v>
      </c>
      <c r="AC3" s="32">
        <f t="shared" ref="AC3" ca="1" si="13">((M3+I3+(LOG(J3)*4/3))*0.238)</f>
        <v>0.42099961569842581</v>
      </c>
      <c r="AD3" s="32">
        <f t="shared" ref="AD3" ca="1" si="14">((L3+I3+(LOG(J3)*4/3))*0.378)</f>
        <v>4.7793964484622062</v>
      </c>
      <c r="AE3" s="32">
        <f t="shared" ref="AE3" ca="1" si="15">((L3+I3+(LOG(J3)*4/3))*0.723)</f>
        <v>9.1415440006300912</v>
      </c>
      <c r="AF3" s="32">
        <f t="shared" ref="AF3" ca="1" si="16">AD3/2</f>
        <v>2.3896982242311031</v>
      </c>
      <c r="AG3" s="32">
        <f t="shared" ref="AG3" ca="1" si="17">((M3+I3+(LOG(J3)*4/3))*0.385)</f>
        <v>0.68102879010039474</v>
      </c>
      <c r="AH3" s="32">
        <f t="shared" ref="AH3" ca="1" si="18">((L3+I3+(LOG(J3)*4/3))*0.92)</f>
        <v>11.632393472447697</v>
      </c>
      <c r="AI3" s="32">
        <f t="shared" ref="AI3" ca="1" si="19">((L3+I3+(LOG(J3)*4/3))*0.414)</f>
        <v>5.2345770626014634</v>
      </c>
      <c r="AJ3" s="32">
        <f t="shared" ref="AJ3" ca="1" si="20">((M3+I3+(LOG(J3)*4/3))*0.167)</f>
        <v>0.29540729336822319</v>
      </c>
      <c r="AK3" s="32">
        <f t="shared" ref="AK3" ca="1" si="21">((N3+I3+(LOG(J3)*4/3))*0.588)</f>
        <v>1.0401166976078755</v>
      </c>
      <c r="AL3" s="32">
        <f t="shared" ref="AL3" ca="1" si="22">((L3+I3+(LOG(J3)*4/3))*0.754)</f>
        <v>9.5335050850277856</v>
      </c>
      <c r="AM3" s="32">
        <f t="shared" ref="AM3" ca="1" si="23">((L3+I3+(LOG(J3)*4/3))*0.708)</f>
        <v>8.9518854114054012</v>
      </c>
      <c r="AN3" s="32">
        <f t="shared" ref="AN3" ca="1" si="24">((Q3+I3+(LOG(J3)*4/3))*0.167)</f>
        <v>0.46240729336822323</v>
      </c>
      <c r="AO3" s="32">
        <f t="shared" ref="AO3" ca="1" si="25">((R3+I3+(LOG(J3)*4/3))*0.288)</f>
        <v>1.0089449131140615</v>
      </c>
      <c r="AP3" s="32">
        <f t="shared" ref="AP3" ca="1" si="26">((L3+I3+(LOG(J3)*4/3))*0.27)</f>
        <v>3.413854606044433</v>
      </c>
      <c r="AQ3" s="32">
        <f t="shared" ref="AQ3" ca="1" si="27">((L3+I3+(LOG(J3)*4/3))*0.594)</f>
        <v>7.5104801332977518</v>
      </c>
      <c r="AR3" s="32">
        <f t="shared" ref="AR3" ca="1" si="28">AP3/2</f>
        <v>1.7069273030222165</v>
      </c>
      <c r="AS3" s="32">
        <f t="shared" ref="AS3" ca="1" si="29">((M3+I3+(LOG(J3)*4/3))*0.944)</f>
        <v>1.6698472152072017</v>
      </c>
      <c r="AT3" s="32">
        <f t="shared" ref="AT3" ca="1" si="30">((O3+I3+(LOG(J3)*4/3))*0.13)</f>
        <v>0.22995777328065278</v>
      </c>
      <c r="AU3" s="32">
        <f t="shared" ref="AU3" ca="1" si="31">((P3+I3+(LOG(J3)*4/3))*0.173)+((O3+I3+(LOG(J3)*4/3))*0.12)</f>
        <v>0.6912894428556251</v>
      </c>
      <c r="AV3" s="32">
        <f t="shared" ref="AV3" ca="1" si="32">AT3/2</f>
        <v>0.11497888664032639</v>
      </c>
      <c r="AW3" s="32">
        <f t="shared" ref="AW3" ca="1" si="33">((L3+I3+(LOG(J3)*4/3))*0.189)</f>
        <v>2.3896982242311031</v>
      </c>
      <c r="AX3" s="32">
        <f t="shared" ref="AX3" ca="1" si="34">((L3+I3+(LOG(J3)*4/3))*0.4)</f>
        <v>5.0575623793250859</v>
      </c>
      <c r="AY3" s="32">
        <f t="shared" ref="AY3" ca="1" si="35">AW3/2</f>
        <v>1.1948491121155516</v>
      </c>
      <c r="AZ3" s="32">
        <f t="shared" ref="AZ3" ca="1" si="36">((M3+I3+(LOG(J3)*4/3))*1)</f>
        <v>1.7689059483127136</v>
      </c>
      <c r="BA3" s="32">
        <f t="shared" ref="BA3" ca="1" si="37">((O3+I3+(LOG(J3)*4/3))*0.253)</f>
        <v>0.44753320492311655</v>
      </c>
      <c r="BB3" s="32">
        <f t="shared" ref="BB3" ca="1" si="38">((P3+I3+(LOG(J3)*4/3))*0.21)+((O3+I3+(LOG(J3)*4/3))*0.341)</f>
        <v>1.1846671775203053</v>
      </c>
      <c r="BC3" s="32">
        <f t="shared" ref="BC3" ca="1" si="39">BA3/2</f>
        <v>0.22376660246155827</v>
      </c>
      <c r="BD3" s="32">
        <f t="shared" ref="BD3" ca="1" si="40">((L3+I3+(LOG(J3)*4/3))*0.291)</f>
        <v>3.6793766309589997</v>
      </c>
      <c r="BE3" s="32">
        <f t="shared" ref="BE3" ca="1" si="41">((L3+I3+(LOG(J3)*4/3))*0.348)</f>
        <v>4.4000792700128244</v>
      </c>
      <c r="BF3" s="32">
        <f t="shared" ref="BF3" ca="1" si="42">((M3+I3+(LOG(J3)*4/3))*0.881)</f>
        <v>1.5584061404635008</v>
      </c>
      <c r="BG3" s="32">
        <f t="shared" ref="BG3" ca="1" si="43">((N3+I3+(LOG(J3)*4/3))*0.574)+((O3+I3+(LOG(J3)*4/3))*0.315)</f>
        <v>1.5725573880500023</v>
      </c>
      <c r="BH3" s="32">
        <f t="shared" ref="BH3" ca="1" si="44">((O3+I3+(LOG(J3)*4/3))*0.241)</f>
        <v>0.42630633354336395</v>
      </c>
      <c r="BI3" s="32">
        <f t="shared" ref="BI3" ca="1" si="45">((L3+I3+(LOG(J3)*4/3))*0.485)</f>
        <v>6.132294384931666</v>
      </c>
      <c r="BJ3" s="32">
        <f t="shared" ref="BJ3" ca="1" si="46">((L3+I3+(LOG(J3)*4/3))*0.264)</f>
        <v>3.3379911703545568</v>
      </c>
      <c r="BK3" s="32">
        <f t="shared" ref="BK3" ca="1" si="47">((M3+I3+(LOG(J3)*4/3))*0.381)</f>
        <v>0.67395316630714386</v>
      </c>
      <c r="BL3" s="32">
        <f t="shared" ref="BL3" ca="1" si="48">((N3+I3+(LOG(J3)*4/3))*0.673)+((O3+I3+(LOG(J3)*4/3))*0.201)</f>
        <v>1.5460237988253118</v>
      </c>
      <c r="BM3" s="32">
        <f t="shared" ref="BM3" ca="1" si="49">((O3+I3+(LOG(J3)*4/3))*0.052)</f>
        <v>9.1983109312261099E-2</v>
      </c>
      <c r="BN3" s="32">
        <f t="shared" ref="BN3" ca="1" si="50">((L3+I3+(LOG(J3)*4/3))*0.18)</f>
        <v>2.2759030706962884</v>
      </c>
      <c r="BO3" s="32">
        <f t="shared" ref="BO3" ca="1" si="51">((L3+I3+(LOG(J3)*4/3))*0.068)</f>
        <v>0.85978560448526464</v>
      </c>
      <c r="BP3" s="32">
        <f t="shared" ref="BP3" ca="1" si="52">((M3+I3+(LOG(J3)*4/3))*0.305)</f>
        <v>0.5395163142353776</v>
      </c>
      <c r="BQ3" s="32">
        <f t="shared" ref="BQ3" ca="1" si="53">((N3+I3+(LOG(J3)*4/3))*1)+((O3+I3+(LOG(J3)*4/3))*0.286)</f>
        <v>2.2748130495301497</v>
      </c>
      <c r="BR3" s="32">
        <f t="shared" ref="BR3" ca="1" si="54">((O3+I3+(LOG(J3)*4/3))*0.135)</f>
        <v>0.23880230302221636</v>
      </c>
      <c r="BS3" s="32">
        <f t="shared" ref="BS3" ca="1" si="55">((L3+I3+(LOG(J3)*4/3))*0.284)</f>
        <v>3.5908692893208105</v>
      </c>
      <c r="BT3" s="32">
        <f t="shared" ref="BT3" ca="1" si="56">((L3+I3+(LOG(J3)*4/3))*0.244)</f>
        <v>3.0851130513883023</v>
      </c>
      <c r="BU3" s="32">
        <f t="shared" ref="BU3" ca="1" si="57">((M3+I3+(LOG(J3)*4/3))*0.631)</f>
        <v>1.1161796533853223</v>
      </c>
      <c r="BV3" s="32">
        <f t="shared" ref="BV3" ca="1" si="58">((N3+I3+(LOG(J3)*4/3))*0.702)+((O3+I3+(LOG(J3)*4/3))*0.193)</f>
        <v>1.5831708237398787</v>
      </c>
      <c r="BW3" s="32">
        <f t="shared" ref="BW3" ca="1" si="59">((O3+I3+(LOG(J3)*4/3))*0.148)</f>
        <v>0.26179808035028163</v>
      </c>
      <c r="BX3" s="32">
        <f t="shared" ref="BX3" ca="1" si="60">((M3+I3+(LOG(J3)*4/3))*0.406)</f>
        <v>0.71817581501496175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1.0485999990709238</v>
      </c>
      <c r="BZ3" s="32">
        <f t="shared" ref="BZ3" ca="1" si="62">IF(D3="TEC",((O3+I3+(LOG(J3)*4/3))*0.543)+((P3+I3+(LOG(J3)*4/3))*0.583),((O3+I3+(LOG(J3)*4/3))*0.543)+((P3+I3+(LOG(J3)*4/3))*0.583))</f>
        <v>2.5747880978001154</v>
      </c>
      <c r="CA3" s="32">
        <f t="shared" ref="CA3" ca="1" si="63">BY3</f>
        <v>1.0485999990709238</v>
      </c>
      <c r="CB3" s="32">
        <f t="shared" ref="CB3" ca="1" si="64">((P3+I3+(LOG(J3)*4/3))*0.26)+((N3+I3+(LOG(J3)*4/3))*0.221)+((O3+I3+(LOG(J3)*4/3))*0.142)</f>
        <v>1.3620284057988208</v>
      </c>
      <c r="CC3" s="32">
        <f t="shared" ref="CC3" ca="1" si="65">((P3+I3+(LOG(J3)*4/3))*1)+((O3+I3+(LOG(J3)*4/3))*0.369)</f>
        <v>3.4216322432401052</v>
      </c>
      <c r="CD3" s="32">
        <f t="shared" ref="CD3" ca="1" si="66">CB3</f>
        <v>1.3620284057988208</v>
      </c>
      <c r="CE3" s="32">
        <f t="shared" ref="CE3" ca="1" si="67">((M3+I3+(LOG(J3)*4/3))*0.25)</f>
        <v>0.44222648707817841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111</v>
      </c>
      <c r="D4" s="133">
        <f>Plantilla!G5</f>
        <v>0</v>
      </c>
      <c r="E4" s="28">
        <f>Plantilla!M5</f>
        <v>43190</v>
      </c>
      <c r="F4" s="42">
        <f>Plantilla!Q5</f>
        <v>7</v>
      </c>
      <c r="G4" s="43">
        <f t="shared" ref="G4:G18" si="68">(F4/7)^0.5</f>
        <v>1</v>
      </c>
      <c r="H4" s="43">
        <f t="shared" ref="H4:H18" si="69">IF(F4=7,1,((F4+0.99)/7)^0.5)</f>
        <v>1</v>
      </c>
      <c r="I4" s="139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2.1948373809043176</v>
      </c>
      <c r="V4" s="41">
        <f t="shared" ref="V4:V20" ca="1" si="74">IF(F4=7,U4,(Q4+I4+(LOG(J4)*4/3))*((F4+0.99)/7)^0.5)</f>
        <v>2.1948373809043176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83</v>
      </c>
      <c r="D5" s="133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9">
        <f ca="1">Plantilla!N6</f>
        <v>0.88986474799602622</v>
      </c>
      <c r="J5" s="34">
        <f>Plantilla!I6</f>
        <v>2.7</v>
      </c>
      <c r="K5" s="41">
        <f>Plantilla!X6</f>
        <v>0</v>
      </c>
      <c r="L5" s="41">
        <f>Plantilla!Y6</f>
        <v>14.8125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3.7265625</v>
      </c>
      <c r="S5" s="41">
        <f t="shared" si="71"/>
        <v>0.13</v>
      </c>
      <c r="T5" s="41">
        <f t="shared" si="72"/>
        <v>0.62250000000000005</v>
      </c>
      <c r="U5" s="41">
        <f t="shared" ca="1" si="73"/>
        <v>1.8633772745250767</v>
      </c>
      <c r="V5" s="41">
        <f t="shared" ca="1" si="74"/>
        <v>2.0812347649538694</v>
      </c>
      <c r="W5" s="32">
        <f t="shared" ca="1" si="75"/>
        <v>5.3672093464815926</v>
      </c>
      <c r="X5" s="32">
        <f t="shared" ca="1" si="76"/>
        <v>8.1866487157018746</v>
      </c>
      <c r="Y5" s="32">
        <f t="shared" ca="1" si="77"/>
        <v>5.3672093464815926</v>
      </c>
      <c r="Z5" s="32">
        <f t="shared" ca="1" si="78"/>
        <v>8.3991984797073336</v>
      </c>
      <c r="AA5" s="32">
        <f t="shared" ca="1" si="79"/>
        <v>16.277516433541344</v>
      </c>
      <c r="AB5" s="32">
        <f t="shared" ca="1" si="80"/>
        <v>4.1995992398536668</v>
      </c>
      <c r="AC5" s="32">
        <f t="shared" ca="1" si="81"/>
        <v>1.5386739111828396</v>
      </c>
      <c r="AD5" s="32">
        <f t="shared" ca="1" si="82"/>
        <v>6.1529012118786275</v>
      </c>
      <c r="AE5" s="32">
        <f t="shared" ca="1" si="83"/>
        <v>11.768644381450391</v>
      </c>
      <c r="AF5" s="32">
        <f t="shared" ca="1" si="84"/>
        <v>3.0764506059393137</v>
      </c>
      <c r="AG5" s="32">
        <f t="shared" ca="1" si="85"/>
        <v>2.489031326913417</v>
      </c>
      <c r="AH5" s="32">
        <f t="shared" ca="1" si="86"/>
        <v>14.975315118858036</v>
      </c>
      <c r="AI5" s="32">
        <f t="shared" ca="1" si="87"/>
        <v>6.7388918034861156</v>
      </c>
      <c r="AJ5" s="32">
        <f t="shared" ca="1" si="88"/>
        <v>1.0796577444014044</v>
      </c>
      <c r="AK5" s="32">
        <f t="shared" ca="1" si="89"/>
        <v>4.0366296629223095</v>
      </c>
      <c r="AL5" s="32">
        <f t="shared" ca="1" si="90"/>
        <v>12.273247390890173</v>
      </c>
      <c r="AM5" s="32">
        <f t="shared" ca="1" si="91"/>
        <v>11.524481634947271</v>
      </c>
      <c r="AN5" s="32">
        <f t="shared" ca="1" si="92"/>
        <v>0.41165774440140424</v>
      </c>
      <c r="AO5" s="32">
        <f t="shared" ca="1" si="93"/>
        <v>1.4951747328599065</v>
      </c>
      <c r="AP5" s="32">
        <f t="shared" ca="1" si="94"/>
        <v>4.3949294370561631</v>
      </c>
      <c r="AQ5" s="32">
        <f t="shared" ca="1" si="95"/>
        <v>9.6688447615235571</v>
      </c>
      <c r="AR5" s="32">
        <f t="shared" ca="1" si="96"/>
        <v>2.1974647185280816</v>
      </c>
      <c r="AS5" s="32">
        <f t="shared" ca="1" si="97"/>
        <v>6.1029755132630275</v>
      </c>
      <c r="AT5" s="32">
        <f t="shared" ca="1" si="98"/>
        <v>0.97045213636037453</v>
      </c>
      <c r="AU5" s="32">
        <f t="shared" ca="1" si="99"/>
        <v>1.4952498150276132</v>
      </c>
      <c r="AV5" s="32">
        <f t="shared" ca="1" si="100"/>
        <v>0.48522606818018726</v>
      </c>
      <c r="AW5" s="32">
        <f t="shared" ca="1" si="101"/>
        <v>3.0764506059393137</v>
      </c>
      <c r="AX5" s="32">
        <f t="shared" ca="1" si="102"/>
        <v>6.5110065734165374</v>
      </c>
      <c r="AY5" s="32">
        <f t="shared" ca="1" si="103"/>
        <v>1.5382253029696569</v>
      </c>
      <c r="AZ5" s="32">
        <f t="shared" ca="1" si="104"/>
        <v>6.4650164335413427</v>
      </c>
      <c r="BA5" s="32">
        <f t="shared" ca="1" si="105"/>
        <v>1.8886491576859596</v>
      </c>
      <c r="BB5" s="32">
        <f t="shared" ca="1" si="106"/>
        <v>3.2732240548812803</v>
      </c>
      <c r="BC5" s="32">
        <f t="shared" ca="1" si="107"/>
        <v>0.94432457884297982</v>
      </c>
      <c r="BD5" s="32">
        <f t="shared" ca="1" si="108"/>
        <v>4.7367572821605304</v>
      </c>
      <c r="BE5" s="32">
        <f t="shared" ca="1" si="109"/>
        <v>5.6645757188723875</v>
      </c>
      <c r="BF5" s="32">
        <f t="shared" ca="1" si="110"/>
        <v>5.6956794779499234</v>
      </c>
      <c r="BG5" s="32">
        <f t="shared" ca="1" si="111"/>
        <v>6.2919996094182533</v>
      </c>
      <c r="BH5" s="32">
        <f t="shared" ca="1" si="112"/>
        <v>1.7990689604834635</v>
      </c>
      <c r="BI5" s="32">
        <f t="shared" ca="1" si="113"/>
        <v>7.8945954702675518</v>
      </c>
      <c r="BJ5" s="32">
        <f t="shared" ca="1" si="114"/>
        <v>4.297264338454915</v>
      </c>
      <c r="BK5" s="32">
        <f t="shared" ca="1" si="115"/>
        <v>2.4631712611792516</v>
      </c>
      <c r="BL5" s="32">
        <f t="shared" ca="1" si="116"/>
        <v>6.1206243629151338</v>
      </c>
      <c r="BM5" s="32">
        <f t="shared" ca="1" si="117"/>
        <v>0.3881808545441498</v>
      </c>
      <c r="BN5" s="32">
        <f t="shared" ca="1" si="118"/>
        <v>2.9299529580374419</v>
      </c>
      <c r="BO5" s="32">
        <f t="shared" ca="1" si="119"/>
        <v>1.1068711174808115</v>
      </c>
      <c r="BP5" s="32">
        <f t="shared" ca="1" si="120"/>
        <v>1.9718300122301096</v>
      </c>
      <c r="BQ5" s="32">
        <f t="shared" ca="1" si="121"/>
        <v>9.0000111335341675</v>
      </c>
      <c r="BR5" s="32">
        <f t="shared" ca="1" si="122"/>
        <v>1.0077772185280813</v>
      </c>
      <c r="BS5" s="32">
        <f t="shared" ca="1" si="123"/>
        <v>4.6228146671257413</v>
      </c>
      <c r="BT5" s="32">
        <f t="shared" ca="1" si="124"/>
        <v>3.9717140097840877</v>
      </c>
      <c r="BU5" s="32">
        <f t="shared" ca="1" si="125"/>
        <v>4.0794253695645875</v>
      </c>
      <c r="BV5" s="32">
        <f t="shared" ca="1" si="126"/>
        <v>6.2599897080195017</v>
      </c>
      <c r="BW5" s="32">
        <f t="shared" ca="1" si="127"/>
        <v>1.1048224321641187</v>
      </c>
      <c r="BX5" s="32">
        <f t="shared" ca="1" si="128"/>
        <v>2.6247966720177853</v>
      </c>
      <c r="BY5" s="32">
        <f t="shared" ca="1" si="129"/>
        <v>3.2948735618750393</v>
      </c>
      <c r="BZ5" s="32">
        <f t="shared" ca="1" si="130"/>
        <v>6.0736085041675523</v>
      </c>
      <c r="CA5" s="32">
        <f t="shared" ca="1" si="131"/>
        <v>3.2948735618750393</v>
      </c>
      <c r="CB5" s="32">
        <f t="shared" ca="1" si="132"/>
        <v>3.4781052380962567</v>
      </c>
      <c r="CC5" s="32">
        <f t="shared" ca="1" si="133"/>
        <v>6.2196074975180977</v>
      </c>
      <c r="CD5" s="32">
        <f t="shared" ca="1" si="134"/>
        <v>3.4781052380962567</v>
      </c>
      <c r="CE5" s="32">
        <f t="shared" ca="1" si="135"/>
        <v>1.6162541083853357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64</v>
      </c>
      <c r="D6" s="133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9">
        <f ca="1">Plantilla!N7</f>
        <v>0.85905352016121761</v>
      </c>
      <c r="J6" s="34">
        <f>Plantilla!I7</f>
        <v>3.8</v>
      </c>
      <c r="K6" s="41">
        <f>Plantilla!X7</f>
        <v>0</v>
      </c>
      <c r="L6" s="41">
        <f>Plantilla!Y7</f>
        <v>14.75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3.53125</v>
      </c>
      <c r="S6" s="41">
        <f t="shared" si="71"/>
        <v>0.05</v>
      </c>
      <c r="T6" s="41">
        <f t="shared" si="72"/>
        <v>0.59000000000000008</v>
      </c>
      <c r="U6" s="41">
        <f t="shared" ca="1" si="73"/>
        <v>1.5110294254339718</v>
      </c>
      <c r="V6" s="41">
        <f t="shared" ca="1" si="74"/>
        <v>1.6309321144898479</v>
      </c>
      <c r="W6" s="32">
        <f t="shared" ca="1" si="75"/>
        <v>5.4958218295627104</v>
      </c>
      <c r="X6" s="32">
        <f t="shared" ca="1" si="76"/>
        <v>8.3757889255045352</v>
      </c>
      <c r="Y6" s="32">
        <f t="shared" ca="1" si="77"/>
        <v>5.4958218295627104</v>
      </c>
      <c r="Z6" s="32">
        <f t="shared" ca="1" si="78"/>
        <v>8.4531627308755546</v>
      </c>
      <c r="AA6" s="32">
        <f t="shared" ca="1" si="79"/>
        <v>16.3820983156503</v>
      </c>
      <c r="AB6" s="32">
        <f t="shared" ca="1" si="80"/>
        <v>4.2265813654377773</v>
      </c>
      <c r="AC6" s="32">
        <f t="shared" ca="1" si="81"/>
        <v>1.5784393991247709</v>
      </c>
      <c r="AD6" s="32">
        <f t="shared" ca="1" si="82"/>
        <v>6.1924331633158136</v>
      </c>
      <c r="AE6" s="32">
        <f t="shared" ca="1" si="83"/>
        <v>11.844257082215167</v>
      </c>
      <c r="AF6" s="32">
        <f t="shared" ca="1" si="84"/>
        <v>3.0962165816579068</v>
      </c>
      <c r="AG6" s="32">
        <f t="shared" ca="1" si="85"/>
        <v>2.553357851525365</v>
      </c>
      <c r="AH6" s="32">
        <f t="shared" ca="1" si="86"/>
        <v>15.071530450398276</v>
      </c>
      <c r="AI6" s="32">
        <f t="shared" ca="1" si="87"/>
        <v>6.7821887026792238</v>
      </c>
      <c r="AJ6" s="32">
        <f t="shared" ca="1" si="88"/>
        <v>1.1075604187135999</v>
      </c>
      <c r="AK6" s="32">
        <f t="shared" ca="1" si="89"/>
        <v>5.0756738096023746</v>
      </c>
      <c r="AL6" s="32">
        <f t="shared" ca="1" si="90"/>
        <v>12.352102130000326</v>
      </c>
      <c r="AM6" s="32">
        <f t="shared" ca="1" si="91"/>
        <v>11.598525607480411</v>
      </c>
      <c r="AN6" s="32">
        <f t="shared" ca="1" si="92"/>
        <v>0.27256041871359976</v>
      </c>
      <c r="AO6" s="32">
        <f t="shared" ca="1" si="93"/>
        <v>1.4870443149072856</v>
      </c>
      <c r="AP6" s="32">
        <f t="shared" ca="1" si="94"/>
        <v>4.4231665452255813</v>
      </c>
      <c r="AQ6" s="32">
        <f t="shared" ca="1" si="95"/>
        <v>9.7309663994962783</v>
      </c>
      <c r="AR6" s="32">
        <f t="shared" ca="1" si="96"/>
        <v>2.2115832726127906</v>
      </c>
      <c r="AS6" s="32">
        <f t="shared" ca="1" si="97"/>
        <v>6.2607008099738808</v>
      </c>
      <c r="AT6" s="32">
        <f t="shared" ca="1" si="98"/>
        <v>0.89467278103453873</v>
      </c>
      <c r="AU6" s="32">
        <f t="shared" ca="1" si="99"/>
        <v>1.2812048064855373</v>
      </c>
      <c r="AV6" s="32">
        <f t="shared" ca="1" si="100"/>
        <v>0.44733639051726937</v>
      </c>
      <c r="AW6" s="32">
        <f t="shared" ca="1" si="101"/>
        <v>3.0962165816579068</v>
      </c>
      <c r="AX6" s="32">
        <f t="shared" ca="1" si="102"/>
        <v>6.5528393262601199</v>
      </c>
      <c r="AY6" s="32">
        <f t="shared" ca="1" si="103"/>
        <v>1.5481082908289534</v>
      </c>
      <c r="AZ6" s="32">
        <f t="shared" ca="1" si="104"/>
        <v>6.6320983156502979</v>
      </c>
      <c r="BA6" s="32">
        <f t="shared" ca="1" si="105"/>
        <v>1.7411708738595253</v>
      </c>
      <c r="BB6" s="32">
        <f t="shared" ca="1" si="106"/>
        <v>2.8995361719233141</v>
      </c>
      <c r="BC6" s="32">
        <f t="shared" ca="1" si="107"/>
        <v>0.87058543692976265</v>
      </c>
      <c r="BD6" s="32">
        <f t="shared" ca="1" si="108"/>
        <v>4.7671906098542367</v>
      </c>
      <c r="BE6" s="32">
        <f t="shared" ca="1" si="109"/>
        <v>5.7009702138463041</v>
      </c>
      <c r="BF6" s="32">
        <f t="shared" ca="1" si="110"/>
        <v>5.8428786160879129</v>
      </c>
      <c r="BG6" s="32">
        <f t="shared" ca="1" si="111"/>
        <v>7.122685402613115</v>
      </c>
      <c r="BH6" s="32">
        <f t="shared" ca="1" si="112"/>
        <v>1.6585856940717218</v>
      </c>
      <c r="BI6" s="32">
        <f t="shared" ca="1" si="113"/>
        <v>7.9453176830903951</v>
      </c>
      <c r="BJ6" s="32">
        <f t="shared" ca="1" si="114"/>
        <v>4.3248739553316797</v>
      </c>
      <c r="BK6" s="32">
        <f t="shared" ca="1" si="115"/>
        <v>2.5268294582627635</v>
      </c>
      <c r="BL6" s="32">
        <f t="shared" ca="1" si="116"/>
        <v>7.1927039278783607</v>
      </c>
      <c r="BM6" s="32">
        <f t="shared" ca="1" si="117"/>
        <v>0.35786911241381547</v>
      </c>
      <c r="BN6" s="32">
        <f t="shared" ca="1" si="118"/>
        <v>2.948777696817054</v>
      </c>
      <c r="BO6" s="32">
        <f t="shared" ca="1" si="119"/>
        <v>1.1139826854642205</v>
      </c>
      <c r="BP6" s="32">
        <f t="shared" ca="1" si="120"/>
        <v>2.0227899862733407</v>
      </c>
      <c r="BQ6" s="32">
        <f t="shared" ca="1" si="121"/>
        <v>10.600378433926283</v>
      </c>
      <c r="BR6" s="32">
        <f t="shared" ca="1" si="122"/>
        <v>0.92908327261279033</v>
      </c>
      <c r="BS6" s="32">
        <f t="shared" ca="1" si="123"/>
        <v>4.6525159216446843</v>
      </c>
      <c r="BT6" s="32">
        <f t="shared" ca="1" si="124"/>
        <v>3.9972319890186729</v>
      </c>
      <c r="BU6" s="32">
        <f t="shared" ca="1" si="125"/>
        <v>4.184854037175338</v>
      </c>
      <c r="BV6" s="32">
        <f t="shared" ca="1" si="126"/>
        <v>7.3879779925070164</v>
      </c>
      <c r="BW6" s="32">
        <f t="shared" ca="1" si="127"/>
        <v>1.018550550716244</v>
      </c>
      <c r="BX6" s="32">
        <f t="shared" ca="1" si="128"/>
        <v>2.6926319161540211</v>
      </c>
      <c r="BY6" s="32">
        <f t="shared" ca="1" si="129"/>
        <v>3.2978232224538053</v>
      </c>
      <c r="BZ6" s="32">
        <f t="shared" ca="1" si="130"/>
        <v>5.2714927034222354</v>
      </c>
      <c r="CA6" s="32">
        <f t="shared" ca="1" si="131"/>
        <v>3.2978232224538053</v>
      </c>
      <c r="CB6" s="32">
        <f t="shared" ca="1" si="132"/>
        <v>3.569297250650135</v>
      </c>
      <c r="CC6" s="32">
        <f t="shared" ca="1" si="133"/>
        <v>5.1715925941252578</v>
      </c>
      <c r="CD6" s="32">
        <f t="shared" ca="1" si="134"/>
        <v>3.569297250650135</v>
      </c>
      <c r="CE6" s="32">
        <f t="shared" ca="1" si="135"/>
        <v>1.6580245789125745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2</v>
      </c>
      <c r="D7" s="133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39">
        <f ca="1">Plantilla!N8</f>
        <v>0.91408774693508266</v>
      </c>
      <c r="J7" s="34">
        <f>Plantilla!I8</f>
        <v>4</v>
      </c>
      <c r="K7" s="41">
        <f>Plantilla!X8</f>
        <v>0</v>
      </c>
      <c r="L7" s="41">
        <f>Plantilla!Y8</f>
        <v>12.818181818181818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4.5085227272727275</v>
      </c>
      <c r="S7" s="41">
        <f t="shared" si="71"/>
        <v>0.21000000000000002</v>
      </c>
      <c r="T7" s="41">
        <f t="shared" si="72"/>
        <v>0.57272727272727275</v>
      </c>
      <c r="U7" s="41">
        <f t="shared" ca="1" si="73"/>
        <v>3.4411199969338284</v>
      </c>
      <c r="V7" s="41">
        <f t="shared" ca="1" si="74"/>
        <v>3.7141785714733775</v>
      </c>
      <c r="W7" s="32">
        <f t="shared" ca="1" si="75"/>
        <v>5.0366146147982578</v>
      </c>
      <c r="X7" s="32">
        <f t="shared" ca="1" si="76"/>
        <v>7.6641604857596635</v>
      </c>
      <c r="Y7" s="32">
        <f t="shared" ca="1" si="77"/>
        <v>5.0366146147982578</v>
      </c>
      <c r="Z7" s="32">
        <f t="shared" ca="1" si="78"/>
        <v>7.5000683696339596</v>
      </c>
      <c r="AA7" s="32">
        <f t="shared" ca="1" si="79"/>
        <v>14.535016220220852</v>
      </c>
      <c r="AB7" s="32">
        <f t="shared" ca="1" si="80"/>
        <v>3.7500341848169798</v>
      </c>
      <c r="AC7" s="32">
        <f t="shared" ca="1" si="81"/>
        <v>1.1226065876852898</v>
      </c>
      <c r="AD7" s="32">
        <f t="shared" ca="1" si="82"/>
        <v>5.4942361312434818</v>
      </c>
      <c r="AE7" s="32">
        <f t="shared" ca="1" si="83"/>
        <v>10.508816727219676</v>
      </c>
      <c r="AF7" s="32">
        <f t="shared" ca="1" si="84"/>
        <v>2.7471180656217409</v>
      </c>
      <c r="AG7" s="32">
        <f t="shared" ca="1" si="85"/>
        <v>1.8159812447850276</v>
      </c>
      <c r="AH7" s="32">
        <f t="shared" ca="1" si="86"/>
        <v>13.372214922603185</v>
      </c>
      <c r="AI7" s="32">
        <f t="shared" ca="1" si="87"/>
        <v>6.0174967151714327</v>
      </c>
      <c r="AJ7" s="32">
        <f t="shared" ca="1" si="88"/>
        <v>0.78771134514051855</v>
      </c>
      <c r="AK7" s="32">
        <f t="shared" ca="1" si="89"/>
        <v>5.2430986283989514</v>
      </c>
      <c r="AL7" s="32">
        <f t="shared" ca="1" si="90"/>
        <v>10.959402230046523</v>
      </c>
      <c r="AM7" s="32">
        <f t="shared" ca="1" si="91"/>
        <v>10.290791483916363</v>
      </c>
      <c r="AN7" s="32">
        <f t="shared" ca="1" si="92"/>
        <v>0.6207113451405184</v>
      </c>
      <c r="AO7" s="32">
        <f t="shared" ca="1" si="93"/>
        <v>1.7929028532417868</v>
      </c>
      <c r="AP7" s="32">
        <f t="shared" ca="1" si="94"/>
        <v>3.9244543794596303</v>
      </c>
      <c r="AQ7" s="32">
        <f t="shared" ca="1" si="95"/>
        <v>8.6337996348111865</v>
      </c>
      <c r="AR7" s="32">
        <f t="shared" ca="1" si="96"/>
        <v>1.9622271897298151</v>
      </c>
      <c r="AS7" s="32">
        <f t="shared" ca="1" si="97"/>
        <v>4.4526916755248465</v>
      </c>
      <c r="AT7" s="32">
        <f t="shared" ca="1" si="98"/>
        <v>1.5394384722650745</v>
      </c>
      <c r="AU7" s="32">
        <f t="shared" ca="1" si="99"/>
        <v>2.2370324797974366</v>
      </c>
      <c r="AV7" s="32">
        <f t="shared" ca="1" si="100"/>
        <v>0.76971923613253723</v>
      </c>
      <c r="AW7" s="32">
        <f t="shared" ca="1" si="101"/>
        <v>2.7471180656217409</v>
      </c>
      <c r="AX7" s="32">
        <f t="shared" ca="1" si="102"/>
        <v>5.8140064880883413</v>
      </c>
      <c r="AY7" s="32">
        <f t="shared" ca="1" si="103"/>
        <v>1.3735590328108704</v>
      </c>
      <c r="AZ7" s="32">
        <f t="shared" ca="1" si="104"/>
        <v>4.7168344020390327</v>
      </c>
      <c r="BA7" s="32">
        <f t="shared" ca="1" si="105"/>
        <v>2.9959841037158754</v>
      </c>
      <c r="BB7" s="32">
        <f t="shared" ca="1" si="106"/>
        <v>5.0286007555235077</v>
      </c>
      <c r="BC7" s="32">
        <f t="shared" ca="1" si="107"/>
        <v>1.4979920518579377</v>
      </c>
      <c r="BD7" s="32">
        <f t="shared" ca="1" si="108"/>
        <v>4.2296897200842674</v>
      </c>
      <c r="BE7" s="32">
        <f t="shared" ca="1" si="109"/>
        <v>5.0581856446368558</v>
      </c>
      <c r="BF7" s="32">
        <f t="shared" ca="1" si="110"/>
        <v>4.1555311081963877</v>
      </c>
      <c r="BG7" s="32">
        <f t="shared" ca="1" si="111"/>
        <v>8.8484407834127001</v>
      </c>
      <c r="BH7" s="32">
        <f t="shared" ca="1" si="112"/>
        <v>2.8538820908914069</v>
      </c>
      <c r="BI7" s="32">
        <f t="shared" ca="1" si="113"/>
        <v>7.0494828668071126</v>
      </c>
      <c r="BJ7" s="32">
        <f t="shared" ca="1" si="114"/>
        <v>3.8372442821383053</v>
      </c>
      <c r="BK7" s="32">
        <f t="shared" ca="1" si="115"/>
        <v>1.7971139071768716</v>
      </c>
      <c r="BL7" s="32">
        <f t="shared" ca="1" si="116"/>
        <v>8.3812382673821162</v>
      </c>
      <c r="BM7" s="32">
        <f t="shared" ca="1" si="117"/>
        <v>0.61577538890602967</v>
      </c>
      <c r="BN7" s="32">
        <f t="shared" ca="1" si="118"/>
        <v>2.6163029196397534</v>
      </c>
      <c r="BO7" s="32">
        <f t="shared" ca="1" si="119"/>
        <v>0.98838110297501802</v>
      </c>
      <c r="BP7" s="32">
        <f t="shared" ca="1" si="120"/>
        <v>1.438634492621905</v>
      </c>
      <c r="BQ7" s="32">
        <f t="shared" ca="1" si="121"/>
        <v>12.303599041022196</v>
      </c>
      <c r="BR7" s="32">
        <f t="shared" ca="1" si="122"/>
        <v>1.5986476442752697</v>
      </c>
      <c r="BS7" s="32">
        <f t="shared" ca="1" si="123"/>
        <v>4.1279446065427212</v>
      </c>
      <c r="BT7" s="32">
        <f t="shared" ca="1" si="124"/>
        <v>3.546543957733888</v>
      </c>
      <c r="BU7" s="32">
        <f t="shared" ca="1" si="125"/>
        <v>2.9763225076866298</v>
      </c>
      <c r="BV7" s="32">
        <f t="shared" ca="1" si="126"/>
        <v>8.5450917898249337</v>
      </c>
      <c r="BW7" s="32">
        <f t="shared" ca="1" si="127"/>
        <v>1.7525914915017768</v>
      </c>
      <c r="BX7" s="32">
        <f t="shared" ca="1" si="128"/>
        <v>1.9150347672278474</v>
      </c>
      <c r="BY7" s="32">
        <f t="shared" ca="1" si="129"/>
        <v>4.8435207234623352</v>
      </c>
      <c r="BZ7" s="32">
        <f t="shared" ca="1" si="130"/>
        <v>9.180030536695952</v>
      </c>
      <c r="CA7" s="32">
        <f t="shared" ca="1" si="131"/>
        <v>4.8435207234623352</v>
      </c>
      <c r="CB7" s="32">
        <f t="shared" ca="1" si="132"/>
        <v>4.8785378324703172</v>
      </c>
      <c r="CC7" s="32">
        <f t="shared" ca="1" si="133"/>
        <v>9.0864712963914371</v>
      </c>
      <c r="CD7" s="32">
        <f t="shared" ca="1" si="134"/>
        <v>4.8785378324703172</v>
      </c>
      <c r="CE7" s="32">
        <f t="shared" ca="1" si="135"/>
        <v>1.1792086005097582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99</v>
      </c>
      <c r="D8" s="133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39">
        <f ca="1">Plantilla!N9</f>
        <v>0.84026532165091627</v>
      </c>
      <c r="J8" s="34">
        <f>Plantilla!I9</f>
        <v>4.7</v>
      </c>
      <c r="K8" s="41">
        <f>Plantilla!X9</f>
        <v>0</v>
      </c>
      <c r="L8" s="41">
        <f>Plantilla!Y9</f>
        <v>10.777777777777779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4.0079365079365079</v>
      </c>
      <c r="S8" s="41">
        <f t="shared" si="71"/>
        <v>0.22999999999999998</v>
      </c>
      <c r="T8" s="41">
        <f t="shared" si="72"/>
        <v>0.46111111111111114</v>
      </c>
      <c r="U8" s="41">
        <f t="shared" ca="1" si="73"/>
        <v>2.5334102315534364</v>
      </c>
      <c r="V8" s="41">
        <f t="shared" ca="1" si="74"/>
        <v>2.7344405319115421</v>
      </c>
      <c r="W8" s="32">
        <f t="shared" ca="1" si="75"/>
        <v>4.4905401991050926</v>
      </c>
      <c r="X8" s="32">
        <f t="shared" ca="1" si="76"/>
        <v>6.8222425319335711</v>
      </c>
      <c r="Y8" s="32">
        <f t="shared" ca="1" si="77"/>
        <v>4.4905401991050926</v>
      </c>
      <c r="Z8" s="32">
        <f t="shared" ca="1" si="78"/>
        <v>6.4573135655649807</v>
      </c>
      <c r="AA8" s="32">
        <f t="shared" ca="1" si="79"/>
        <v>12.514173576676319</v>
      </c>
      <c r="AB8" s="32">
        <f t="shared" ca="1" si="80"/>
        <v>3.2286567827824904</v>
      </c>
      <c r="AC8" s="32">
        <f t="shared" ca="1" si="81"/>
        <v>3.0312622001378524</v>
      </c>
      <c r="AD8" s="32">
        <f t="shared" ca="1" si="82"/>
        <v>4.7303576119836483</v>
      </c>
      <c r="AE8" s="32">
        <f t="shared" ca="1" si="83"/>
        <v>9.0477474959369779</v>
      </c>
      <c r="AF8" s="32">
        <f t="shared" ca="1" si="84"/>
        <v>2.3651788059918242</v>
      </c>
      <c r="AG8" s="32">
        <f t="shared" ca="1" si="85"/>
        <v>4.9035123825759381</v>
      </c>
      <c r="AH8" s="32">
        <f t="shared" ca="1" si="86"/>
        <v>11.513039690542215</v>
      </c>
      <c r="AI8" s="32">
        <f t="shared" ca="1" si="87"/>
        <v>5.1808678607439953</v>
      </c>
      <c r="AJ8" s="32">
        <f t="shared" ca="1" si="88"/>
        <v>2.1269780984160565</v>
      </c>
      <c r="AK8" s="32">
        <f t="shared" ca="1" si="89"/>
        <v>3.373000729752341</v>
      </c>
      <c r="AL8" s="32">
        <f t="shared" ca="1" si="90"/>
        <v>9.4356868768139446</v>
      </c>
      <c r="AM8" s="32">
        <f t="shared" ca="1" si="91"/>
        <v>8.8600348922868335</v>
      </c>
      <c r="AN8" s="32">
        <f t="shared" ca="1" si="92"/>
        <v>0.45697809841605613</v>
      </c>
      <c r="AO8" s="32">
        <f t="shared" ca="1" si="93"/>
        <v>1.6543677043684935</v>
      </c>
      <c r="AP8" s="32">
        <f t="shared" ca="1" si="94"/>
        <v>3.3788268657026062</v>
      </c>
      <c r="AQ8" s="32">
        <f t="shared" ca="1" si="95"/>
        <v>7.4334191045457327</v>
      </c>
      <c r="AR8" s="32">
        <f t="shared" ca="1" si="96"/>
        <v>1.6894134328513031</v>
      </c>
      <c r="AS8" s="32">
        <f t="shared" ca="1" si="97"/>
        <v>12.023157634160221</v>
      </c>
      <c r="AT8" s="32">
        <f t="shared" ca="1" si="98"/>
        <v>1.4143028824282389</v>
      </c>
      <c r="AU8" s="32">
        <f t="shared" ca="1" si="99"/>
        <v>2.297906826220129</v>
      </c>
      <c r="AV8" s="32">
        <f t="shared" ca="1" si="100"/>
        <v>0.70715144121411944</v>
      </c>
      <c r="AW8" s="32">
        <f t="shared" ca="1" si="101"/>
        <v>2.3651788059918242</v>
      </c>
      <c r="AX8" s="32">
        <f t="shared" ca="1" si="102"/>
        <v>5.0056694306705278</v>
      </c>
      <c r="AY8" s="32">
        <f t="shared" ca="1" si="103"/>
        <v>1.1825894029959121</v>
      </c>
      <c r="AZ8" s="32">
        <f t="shared" ca="1" si="104"/>
        <v>12.73639579889854</v>
      </c>
      <c r="BA8" s="32">
        <f t="shared" ca="1" si="105"/>
        <v>2.7524509942641875</v>
      </c>
      <c r="BB8" s="32">
        <f t="shared" ca="1" si="106"/>
        <v>4.9144683709073815</v>
      </c>
      <c r="BC8" s="32">
        <f t="shared" ca="1" si="107"/>
        <v>1.3762254971320937</v>
      </c>
      <c r="BD8" s="32">
        <f t="shared" ca="1" si="108"/>
        <v>3.6416245108128087</v>
      </c>
      <c r="BE8" s="32">
        <f t="shared" ca="1" si="109"/>
        <v>4.3549324046833586</v>
      </c>
      <c r="BF8" s="32">
        <f t="shared" ca="1" si="110"/>
        <v>11.220764698829614</v>
      </c>
      <c r="BG8" s="32">
        <f t="shared" ca="1" si="111"/>
        <v>6.7196558652208012</v>
      </c>
      <c r="BH8" s="32">
        <f t="shared" ca="1" si="112"/>
        <v>2.6218999589631196</v>
      </c>
      <c r="BI8" s="32">
        <f t="shared" ca="1" si="113"/>
        <v>6.069374184688014</v>
      </c>
      <c r="BJ8" s="32">
        <f t="shared" ca="1" si="114"/>
        <v>3.3037418242425485</v>
      </c>
      <c r="BK8" s="32">
        <f t="shared" ca="1" si="115"/>
        <v>4.8525667993803436</v>
      </c>
      <c r="BL8" s="32">
        <f t="shared" ca="1" si="116"/>
        <v>6.0473242139516099</v>
      </c>
      <c r="BM8" s="32">
        <f t="shared" ca="1" si="117"/>
        <v>0.56572115297129544</v>
      </c>
      <c r="BN8" s="32">
        <f t="shared" ca="1" si="118"/>
        <v>2.2525512438017374</v>
      </c>
      <c r="BO8" s="32">
        <f t="shared" ca="1" si="119"/>
        <v>0.85096380321398968</v>
      </c>
      <c r="BP8" s="32">
        <f t="shared" ca="1" si="120"/>
        <v>3.8846007186640548</v>
      </c>
      <c r="BQ8" s="32">
        <f t="shared" ca="1" si="121"/>
        <v>8.8478621402406645</v>
      </c>
      <c r="BR8" s="32">
        <f t="shared" ca="1" si="122"/>
        <v>1.4686991471370172</v>
      </c>
      <c r="BS8" s="32">
        <f t="shared" ca="1" si="123"/>
        <v>3.5540252957760741</v>
      </c>
      <c r="BT8" s="32">
        <f t="shared" ca="1" si="124"/>
        <v>3.0534583527090216</v>
      </c>
      <c r="BU8" s="32">
        <f t="shared" ca="1" si="125"/>
        <v>8.0366657491049782</v>
      </c>
      <c r="BV8" s="32">
        <f t="shared" ca="1" si="126"/>
        <v>6.1266456685856214</v>
      </c>
      <c r="BW8" s="32">
        <f t="shared" ca="1" si="127"/>
        <v>1.610129435379841</v>
      </c>
      <c r="BX8" s="32">
        <f t="shared" ca="1" si="128"/>
        <v>5.1709766943528077</v>
      </c>
      <c r="BY8" s="32">
        <f t="shared" ca="1" si="129"/>
        <v>4.274376496940425</v>
      </c>
      <c r="BZ8" s="32">
        <f t="shared" ca="1" si="130"/>
        <v>9.251753098131184</v>
      </c>
      <c r="CA8" s="32">
        <f t="shared" ca="1" si="131"/>
        <v>4.274376496940425</v>
      </c>
      <c r="CB8" s="32">
        <f t="shared" ca="1" si="132"/>
        <v>4.3040602969995039</v>
      </c>
      <c r="CC8" s="32">
        <f t="shared" ca="1" si="133"/>
        <v>9.7508401344063849</v>
      </c>
      <c r="CD8" s="32">
        <f t="shared" ca="1" si="134"/>
        <v>4.3040602969995039</v>
      </c>
      <c r="CE8" s="32">
        <f t="shared" ca="1" si="135"/>
        <v>3.184098949724635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75</v>
      </c>
      <c r="D9" s="133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39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79</v>
      </c>
      <c r="D10" s="133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9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12.1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3.0125000000000002</v>
      </c>
      <c r="S10" s="41">
        <f t="shared" si="71"/>
        <v>0.44000000000000006</v>
      </c>
      <c r="T10" s="41">
        <f t="shared" si="72"/>
        <v>0.57400000000000007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4.9615789154299224</v>
      </c>
      <c r="X10" s="32">
        <f t="shared" ca="1" si="76"/>
        <v>7.5410965404582235</v>
      </c>
      <c r="Y10" s="32">
        <f t="shared" ca="1" si="77"/>
        <v>4.9615789154299224</v>
      </c>
      <c r="Z10" s="32">
        <f t="shared" ca="1" si="78"/>
        <v>7.2022954414224971</v>
      </c>
      <c r="AA10" s="32">
        <f t="shared" ca="1" si="79"/>
        <v>13.957936901981583</v>
      </c>
      <c r="AB10" s="32">
        <f t="shared" ca="1" si="80"/>
        <v>3.6011477207112486</v>
      </c>
      <c r="AC10" s="32">
        <f t="shared" ca="1" si="81"/>
        <v>1.3941889826716167</v>
      </c>
      <c r="AD10" s="32">
        <f t="shared" ca="1" si="82"/>
        <v>5.2761001489490384</v>
      </c>
      <c r="AE10" s="32">
        <f t="shared" ca="1" si="83"/>
        <v>10.091588380132684</v>
      </c>
      <c r="AF10" s="32">
        <f t="shared" ca="1" si="84"/>
        <v>2.6380500744745192</v>
      </c>
      <c r="AG10" s="32">
        <f t="shared" ca="1" si="85"/>
        <v>2.2553057072629095</v>
      </c>
      <c r="AH10" s="32">
        <f t="shared" ca="1" si="86"/>
        <v>12.841301949823057</v>
      </c>
      <c r="AI10" s="32">
        <f t="shared" ca="1" si="87"/>
        <v>5.7785858774203751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10.524284424094114</v>
      </c>
      <c r="AM10" s="32">
        <f t="shared" ca="1" si="91"/>
        <v>9.8822193266029608</v>
      </c>
      <c r="AN10" s="32">
        <f t="shared" ca="1" si="92"/>
        <v>0.81127546263092443</v>
      </c>
      <c r="AO10" s="32">
        <f t="shared" ca="1" si="93"/>
        <v>1.4026858277706959</v>
      </c>
      <c r="AP10" s="32">
        <f t="shared" ca="1" si="94"/>
        <v>3.7686429635350276</v>
      </c>
      <c r="AQ10" s="32">
        <f t="shared" ca="1" si="95"/>
        <v>8.2910145197770593</v>
      </c>
      <c r="AR10" s="32">
        <f t="shared" ca="1" si="96"/>
        <v>1.8843214817675138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2.6380500744745192</v>
      </c>
      <c r="AX10" s="32">
        <f t="shared" ca="1" si="102"/>
        <v>5.5831747607926339</v>
      </c>
      <c r="AY10" s="32">
        <f t="shared" ca="1" si="103"/>
        <v>1.3190250372372596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4.0617596384766408</v>
      </c>
      <c r="BE10" s="32">
        <f t="shared" ca="1" si="109"/>
        <v>4.8573620418895906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6.7695993974610671</v>
      </c>
      <c r="BJ10" s="32">
        <f t="shared" ca="1" si="114"/>
        <v>3.6848953421231379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2.5124286423566846</v>
      </c>
      <c r="BO10" s="32">
        <f t="shared" ca="1" si="119"/>
        <v>0.94913970933474767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3.9640540801627693</v>
      </c>
      <c r="BT10" s="32">
        <f t="shared" ca="1" si="124"/>
        <v>3.405736604083506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40</v>
      </c>
      <c r="D11" s="133" t="str">
        <f>Plantilla!G12</f>
        <v>RAP</v>
      </c>
      <c r="E11" s="28">
        <f>Plantilla!M12</f>
        <v>43122</v>
      </c>
      <c r="F11" s="42">
        <f>Plantilla!Q12</f>
        <v>6</v>
      </c>
      <c r="G11" s="43">
        <f t="shared" si="68"/>
        <v>0.92582009977255142</v>
      </c>
      <c r="H11" s="43">
        <f t="shared" si="69"/>
        <v>0.99928545900129484</v>
      </c>
      <c r="I11" s="139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11.222222222222221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3.5902777777777777</v>
      </c>
      <c r="S11" s="41">
        <f t="shared" si="71"/>
        <v>0.44000000000000006</v>
      </c>
      <c r="T11" s="41">
        <f t="shared" si="72"/>
        <v>0.53888888888888897</v>
      </c>
      <c r="U11" s="41">
        <f t="shared" ca="1" si="73"/>
        <v>4.5096234319917627</v>
      </c>
      <c r="V11" s="41">
        <f t="shared" ca="1" si="74"/>
        <v>4.8674695248763582</v>
      </c>
      <c r="W11" s="32">
        <f t="shared" ca="1" si="75"/>
        <v>4.7306726993678332</v>
      </c>
      <c r="X11" s="32">
        <f t="shared" ca="1" si="76"/>
        <v>7.1848409181564028</v>
      </c>
      <c r="Y11" s="32">
        <f t="shared" ca="1" si="77"/>
        <v>4.7306726993678332</v>
      </c>
      <c r="Z11" s="32">
        <f t="shared" ca="1" si="78"/>
        <v>6.7560768761441032</v>
      </c>
      <c r="AA11" s="32">
        <f t="shared" ca="1" si="79"/>
        <v>13.093172240589347</v>
      </c>
      <c r="AB11" s="32">
        <f t="shared" ca="1" si="80"/>
        <v>3.3780384380720516</v>
      </c>
      <c r="AC11" s="32">
        <f t="shared" ca="1" si="81"/>
        <v>1.1592861043713758</v>
      </c>
      <c r="AD11" s="32">
        <f t="shared" ca="1" si="82"/>
        <v>4.9492191069427731</v>
      </c>
      <c r="AE11" s="32">
        <f t="shared" ca="1" si="83"/>
        <v>9.4663635299460971</v>
      </c>
      <c r="AF11" s="32">
        <f t="shared" ca="1" si="84"/>
        <v>2.4746095534713866</v>
      </c>
      <c r="AG11" s="32">
        <f t="shared" ca="1" si="85"/>
        <v>1.8753157570713432</v>
      </c>
      <c r="AH11" s="32">
        <f t="shared" ca="1" si="86"/>
        <v>12.045718461342199</v>
      </c>
      <c r="AI11" s="32">
        <f t="shared" ca="1" si="87"/>
        <v>5.4205733076039895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9.8722518694043675</v>
      </c>
      <c r="AM11" s="32">
        <f t="shared" ca="1" si="91"/>
        <v>9.2699659463372566</v>
      </c>
      <c r="AN11" s="32">
        <f t="shared" ca="1" si="92"/>
        <v>0.81344865306730996</v>
      </c>
      <c r="AO11" s="32">
        <f t="shared" ca="1" si="93"/>
        <v>1.572833605289732</v>
      </c>
      <c r="AP11" s="32">
        <f t="shared" ca="1" si="94"/>
        <v>3.535156504959124</v>
      </c>
      <c r="AQ11" s="32">
        <f t="shared" ca="1" si="95"/>
        <v>7.7773443109100713</v>
      </c>
      <c r="AR11" s="32">
        <f t="shared" ca="1" si="96"/>
        <v>1.767578252479562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2.4746095534713866</v>
      </c>
      <c r="AX11" s="32">
        <f t="shared" ca="1" si="102"/>
        <v>5.2372688962357392</v>
      </c>
      <c r="AY11" s="32">
        <f t="shared" ca="1" si="103"/>
        <v>1.2373047767356933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3.8101131220114994</v>
      </c>
      <c r="BE11" s="32">
        <f t="shared" ca="1" si="109"/>
        <v>4.5564239397250921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6.3501885366858328</v>
      </c>
      <c r="BJ11" s="32">
        <f t="shared" ca="1" si="114"/>
        <v>3.4565974715155878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2.3567710033060822</v>
      </c>
      <c r="BO11" s="32">
        <f t="shared" ca="1" si="119"/>
        <v>0.89033571236007569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3.7184609163273743</v>
      </c>
      <c r="BT11" s="32">
        <f t="shared" ca="1" si="124"/>
        <v>3.1947340267038005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79</v>
      </c>
      <c r="D12" s="133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39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10.857142857142858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3.2821428571428575</v>
      </c>
      <c r="S12" s="41">
        <f t="shared" si="71"/>
        <v>0.45250000000000001</v>
      </c>
      <c r="T12" s="41">
        <f t="shared" si="72"/>
        <v>0.52428571428571435</v>
      </c>
      <c r="U12" s="41">
        <f t="shared" ca="1" si="73"/>
        <v>4.1057060419124038</v>
      </c>
      <c r="V12" s="41">
        <f t="shared" ca="1" si="74"/>
        <v>4.4938260846310047</v>
      </c>
      <c r="W12" s="32">
        <f t="shared" ca="1" si="75"/>
        <v>4.6185503440013509</v>
      </c>
      <c r="X12" s="32">
        <f t="shared" ca="1" si="76"/>
        <v>7.0128822547439382</v>
      </c>
      <c r="Y12" s="32">
        <f t="shared" ca="1" si="77"/>
        <v>4.6185503440013509</v>
      </c>
      <c r="Z12" s="32">
        <f t="shared" ca="1" si="78"/>
        <v>6.5609811557082116</v>
      </c>
      <c r="AA12" s="32">
        <f t="shared" ca="1" si="79"/>
        <v>12.715079759124441</v>
      </c>
      <c r="AB12" s="32">
        <f t="shared" ca="1" si="80"/>
        <v>3.2804905778541058</v>
      </c>
      <c r="AC12" s="32">
        <f t="shared" ca="1" si="81"/>
        <v>1.1561889826716167</v>
      </c>
      <c r="AD12" s="32">
        <f t="shared" ca="1" si="82"/>
        <v>4.8063001489490391</v>
      </c>
      <c r="AE12" s="32">
        <f t="shared" ca="1" si="83"/>
        <v>9.1930026658469703</v>
      </c>
      <c r="AF12" s="32">
        <f t="shared" ca="1" si="84"/>
        <v>2.4031500744745196</v>
      </c>
      <c r="AG12" s="32">
        <f t="shared" ca="1" si="85"/>
        <v>1.8703057072629097</v>
      </c>
      <c r="AH12" s="32">
        <f t="shared" ca="1" si="86"/>
        <v>11.697873378394487</v>
      </c>
      <c r="AI12" s="32">
        <f t="shared" ca="1" si="87"/>
        <v>5.2640430202775184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9.5871701383798289</v>
      </c>
      <c r="AM12" s="32">
        <f t="shared" ca="1" si="91"/>
        <v>9.002276469460103</v>
      </c>
      <c r="AN12" s="32">
        <f t="shared" ca="1" si="92"/>
        <v>0.81127546263092443</v>
      </c>
      <c r="AO12" s="32">
        <f t="shared" ca="1" si="93"/>
        <v>1.4803429706278388</v>
      </c>
      <c r="AP12" s="32">
        <f t="shared" ca="1" si="94"/>
        <v>3.4330715349635992</v>
      </c>
      <c r="AQ12" s="32">
        <f t="shared" ca="1" si="95"/>
        <v>7.5527573769199172</v>
      </c>
      <c r="AR12" s="32">
        <f t="shared" ca="1" si="96"/>
        <v>1.7165357674817996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2.4031500744745196</v>
      </c>
      <c r="AX12" s="32">
        <f t="shared" ca="1" si="102"/>
        <v>5.0860319036497765</v>
      </c>
      <c r="AY12" s="32">
        <f t="shared" ca="1" si="103"/>
        <v>1.2015750372372598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3.7000882099052119</v>
      </c>
      <c r="BE12" s="32">
        <f t="shared" ca="1" si="109"/>
        <v>4.4248477561753052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6.1668136831753539</v>
      </c>
      <c r="BJ12" s="32">
        <f t="shared" ca="1" si="114"/>
        <v>3.3567810564088525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2.2887143566423993</v>
      </c>
      <c r="BO12" s="32">
        <f t="shared" ca="1" si="119"/>
        <v>0.86462542362046202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3.611082651591341</v>
      </c>
      <c r="BT12" s="32">
        <f t="shared" ca="1" si="124"/>
        <v>3.1024794612263635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75</v>
      </c>
      <c r="D13" s="133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39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9.4285714285714288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3.1035714285714286</v>
      </c>
      <c r="S13" s="41">
        <f t="shared" si="71"/>
        <v>0.52500000000000002</v>
      </c>
      <c r="T13" s="41">
        <f t="shared" si="72"/>
        <v>0.52714285714285725</v>
      </c>
      <c r="U13" s="41">
        <f t="shared" si="73"/>
        <v>6.8806579540581092</v>
      </c>
      <c r="V13" s="41">
        <f t="shared" si="74"/>
        <v>7.4266495656564908</v>
      </c>
      <c r="W13" s="32">
        <f t="shared" si="75"/>
        <v>4.7253867993328402</v>
      </c>
      <c r="X13" s="32">
        <f t="shared" si="76"/>
        <v>7.1468032246065913</v>
      </c>
      <c r="Y13" s="32">
        <f t="shared" si="77"/>
        <v>4.7253867993328402</v>
      </c>
      <c r="Z13" s="32">
        <f t="shared" si="78"/>
        <v>6.1200342201260378</v>
      </c>
      <c r="AA13" s="32">
        <f t="shared" si="79"/>
        <v>11.860531434352787</v>
      </c>
      <c r="AB13" s="32">
        <f t="shared" si="80"/>
        <v>3.0600171100630189</v>
      </c>
      <c r="AC13" s="32">
        <f t="shared" si="81"/>
        <v>1.9354064813759633</v>
      </c>
      <c r="AD13" s="32">
        <f t="shared" si="82"/>
        <v>4.4832808821853529</v>
      </c>
      <c r="AE13" s="32">
        <f t="shared" si="83"/>
        <v>8.5751642270370638</v>
      </c>
      <c r="AF13" s="32">
        <f t="shared" si="84"/>
        <v>2.2416404410926765</v>
      </c>
      <c r="AG13" s="32">
        <f t="shared" si="85"/>
        <v>3.1308046022258234</v>
      </c>
      <c r="AH13" s="32">
        <f t="shared" si="86"/>
        <v>10.911688919604565</v>
      </c>
      <c r="AI13" s="32">
        <f t="shared" si="87"/>
        <v>4.9102600138220538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8.9428407015020017</v>
      </c>
      <c r="AM13" s="32">
        <f t="shared" si="91"/>
        <v>8.3972562555217731</v>
      </c>
      <c r="AN13" s="32">
        <f t="shared" si="92"/>
        <v>1.241137320965487</v>
      </c>
      <c r="AO13" s="32">
        <f t="shared" si="93"/>
        <v>1.5942330530936026</v>
      </c>
      <c r="AP13" s="32">
        <f t="shared" si="94"/>
        <v>3.2023434872752525</v>
      </c>
      <c r="AQ13" s="32">
        <f t="shared" si="95"/>
        <v>7.0451556720055546</v>
      </c>
      <c r="AR13" s="32">
        <f t="shared" si="96"/>
        <v>1.6011717436376263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2.2416404410926765</v>
      </c>
      <c r="AX13" s="32">
        <f t="shared" si="102"/>
        <v>4.7442125737411152</v>
      </c>
      <c r="AY13" s="32">
        <f t="shared" si="103"/>
        <v>1.1208202205463382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3.4514146473966605</v>
      </c>
      <c r="BE13" s="32">
        <f t="shared" si="109"/>
        <v>4.1274649391547698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5.7523577456611017</v>
      </c>
      <c r="BJ13" s="32">
        <f t="shared" si="114"/>
        <v>3.1311802986691357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2.1348956581835017</v>
      </c>
      <c r="BO13" s="32">
        <f t="shared" si="119"/>
        <v>0.8065161375359895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3.3683909273561912</v>
      </c>
      <c r="BT13" s="32">
        <f t="shared" si="124"/>
        <v>2.8939696699820798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75</v>
      </c>
      <c r="D14" s="133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39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9.8571428571428577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2.9196428571428572</v>
      </c>
      <c r="S14" s="41">
        <f t="shared" si="71"/>
        <v>0.48008333333333331</v>
      </c>
      <c r="T14" s="41">
        <f t="shared" si="72"/>
        <v>0.48428571428571432</v>
      </c>
      <c r="U14" s="41">
        <f t="shared" ca="1" si="73"/>
        <v>4.0944550995399194</v>
      </c>
      <c r="V14" s="41">
        <f t="shared" ca="1" si="74"/>
        <v>4.4815115697110324</v>
      </c>
      <c r="W14" s="32">
        <f t="shared" ca="1" si="75"/>
        <v>4.3309287108660683</v>
      </c>
      <c r="X14" s="32">
        <f t="shared" ca="1" si="76"/>
        <v>6.5706960824900431</v>
      </c>
      <c r="Y14" s="32">
        <f t="shared" ca="1" si="77"/>
        <v>4.3309287108660683</v>
      </c>
      <c r="Z14" s="32">
        <f t="shared" ca="1" si="78"/>
        <v>6.0381120117244702</v>
      </c>
      <c r="AA14" s="32">
        <f t="shared" ca="1" si="79"/>
        <v>11.701767464582307</v>
      </c>
      <c r="AB14" s="32">
        <f t="shared" ca="1" si="80"/>
        <v>3.0190560058622351</v>
      </c>
      <c r="AC14" s="32">
        <f t="shared" ca="1" si="81"/>
        <v>1.6290206565705887</v>
      </c>
      <c r="AD14" s="32">
        <f t="shared" ca="1" si="82"/>
        <v>4.4232681016121118</v>
      </c>
      <c r="AE14" s="32">
        <f t="shared" ca="1" si="83"/>
        <v>8.4603778768930074</v>
      </c>
      <c r="AF14" s="32">
        <f t="shared" ca="1" si="84"/>
        <v>2.2116340508060559</v>
      </c>
      <c r="AG14" s="32">
        <f t="shared" ca="1" si="85"/>
        <v>2.635180473864188</v>
      </c>
      <c r="AH14" s="32">
        <f t="shared" ca="1" si="86"/>
        <v>10.765626067415724</v>
      </c>
      <c r="AI14" s="32">
        <f t="shared" ca="1" si="87"/>
        <v>4.8445317303370752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8.8231326682950595</v>
      </c>
      <c r="AM14" s="32">
        <f t="shared" ca="1" si="91"/>
        <v>8.2848513649242737</v>
      </c>
      <c r="AN14" s="32">
        <f t="shared" ca="1" si="92"/>
        <v>0.80905230944238793</v>
      </c>
      <c r="AO14" s="32">
        <f t="shared" ca="1" si="93"/>
        <v>1.3721090297997041</v>
      </c>
      <c r="AP14" s="32">
        <f t="shared" ca="1" si="94"/>
        <v>3.159477215437223</v>
      </c>
      <c r="AQ14" s="32">
        <f t="shared" ca="1" si="95"/>
        <v>6.9508498739618902</v>
      </c>
      <c r="AR14" s="32">
        <f t="shared" ca="1" si="96"/>
        <v>1.5797386077186115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2.2116340508060559</v>
      </c>
      <c r="AX14" s="32">
        <f t="shared" ca="1" si="102"/>
        <v>4.6807069858329227</v>
      </c>
      <c r="AY14" s="32">
        <f t="shared" ca="1" si="103"/>
        <v>1.105817025403028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3.4052143321934509</v>
      </c>
      <c r="BE14" s="32">
        <f t="shared" ca="1" si="109"/>
        <v>4.0722150776746426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5.675357220322419</v>
      </c>
      <c r="BJ14" s="32">
        <f t="shared" ca="1" si="114"/>
        <v>3.0892666106497293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2.1063181436248151</v>
      </c>
      <c r="BO14" s="32">
        <f t="shared" ca="1" si="119"/>
        <v>0.79572018759159691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3.3233019599413751</v>
      </c>
      <c r="BT14" s="32">
        <f t="shared" ca="1" si="124"/>
        <v>2.855231261358083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44</v>
      </c>
      <c r="D15" s="133" t="str">
        <f>Plantilla!G16</f>
        <v>POT</v>
      </c>
      <c r="E15" s="28">
        <f>Plantilla!M16</f>
        <v>43591</v>
      </c>
      <c r="F15" s="42">
        <f>Plantilla!Q16</f>
        <v>7</v>
      </c>
      <c r="G15" s="43">
        <f t="shared" si="68"/>
        <v>1</v>
      </c>
      <c r="H15" s="43">
        <f t="shared" si="69"/>
        <v>1</v>
      </c>
      <c r="I15" s="139">
        <f ca="1">Plantilla!N16</f>
        <v>0.4117955086337865</v>
      </c>
      <c r="J15" s="34">
        <f>Plantilla!I16</f>
        <v>7.3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18.562892655461063</v>
      </c>
      <c r="V15" s="41">
        <f t="shared" ca="1" si="74"/>
        <v>18.562892655461063</v>
      </c>
      <c r="W15" s="32">
        <f t="shared" ca="1" si="75"/>
        <v>3.8790719548841732</v>
      </c>
      <c r="X15" s="32">
        <f t="shared" ca="1" si="76"/>
        <v>5.8899166404224523</v>
      </c>
      <c r="Y15" s="32">
        <f t="shared" ca="1" si="77"/>
        <v>3.8790719548841732</v>
      </c>
      <c r="Z15" s="32">
        <f t="shared" ca="1" si="78"/>
        <v>5.5077859435512408</v>
      </c>
      <c r="AA15" s="32">
        <f t="shared" ca="1" si="79"/>
        <v>10.674003766572172</v>
      </c>
      <c r="AB15" s="32">
        <f t="shared" ca="1" si="80"/>
        <v>2.7538929717756204</v>
      </c>
      <c r="AC15" s="32">
        <f t="shared" ca="1" si="81"/>
        <v>3.4659684519997325</v>
      </c>
      <c r="AD15" s="32">
        <f t="shared" ca="1" si="82"/>
        <v>4.0347734237642809</v>
      </c>
      <c r="AE15" s="32">
        <f t="shared" ca="1" si="83"/>
        <v>7.7173047232316803</v>
      </c>
      <c r="AF15" s="32">
        <f t="shared" ca="1" si="84"/>
        <v>2.0173867118821405</v>
      </c>
      <c r="AG15" s="32">
        <f t="shared" ca="1" si="85"/>
        <v>5.6067136723525088</v>
      </c>
      <c r="AH15" s="32">
        <f t="shared" ca="1" si="86"/>
        <v>9.8200834652463982</v>
      </c>
      <c r="AI15" s="32">
        <f t="shared" ca="1" si="87"/>
        <v>4.4190375593608788</v>
      </c>
      <c r="AJ15" s="32">
        <f t="shared" ca="1" si="88"/>
        <v>2.4320030734619973</v>
      </c>
      <c r="AK15" s="32">
        <f t="shared" ca="1" si="89"/>
        <v>4.446980881411104</v>
      </c>
      <c r="AL15" s="32">
        <f t="shared" ca="1" si="90"/>
        <v>8.0481988399954183</v>
      </c>
      <c r="AM15" s="32">
        <f t="shared" ca="1" si="91"/>
        <v>7.5571946667330971</v>
      </c>
      <c r="AN15" s="32">
        <f t="shared" ca="1" si="92"/>
        <v>3.1000030734619979</v>
      </c>
      <c r="AO15" s="32">
        <f t="shared" ca="1" si="93"/>
        <v>1.4003987990584996</v>
      </c>
      <c r="AP15" s="32">
        <f t="shared" ca="1" si="94"/>
        <v>2.8819810169744864</v>
      </c>
      <c r="AQ15" s="32">
        <f t="shared" ca="1" si="95"/>
        <v>6.3403582373438701</v>
      </c>
      <c r="AR15" s="32">
        <f t="shared" ca="1" si="96"/>
        <v>1.4409905084872432</v>
      </c>
      <c r="AS15" s="32">
        <f t="shared" ca="1" si="97"/>
        <v>13.747370666755241</v>
      </c>
      <c r="AT15" s="32">
        <f t="shared" ca="1" si="98"/>
        <v>1.1317474737813664</v>
      </c>
      <c r="AU15" s="32">
        <f t="shared" ca="1" si="99"/>
        <v>2.5260704051929479</v>
      </c>
      <c r="AV15" s="32">
        <f t="shared" ca="1" si="100"/>
        <v>0.56587373689068321</v>
      </c>
      <c r="AW15" s="32">
        <f t="shared" ca="1" si="101"/>
        <v>2.0173867118821405</v>
      </c>
      <c r="AX15" s="32">
        <f t="shared" ca="1" si="102"/>
        <v>4.2696015066288693</v>
      </c>
      <c r="AY15" s="32">
        <f t="shared" ca="1" si="103"/>
        <v>1.0086933559410702</v>
      </c>
      <c r="AZ15" s="32">
        <f t="shared" ca="1" si="104"/>
        <v>14.562892655461061</v>
      </c>
      <c r="BA15" s="32">
        <f t="shared" ca="1" si="105"/>
        <v>2.2025546989745055</v>
      </c>
      <c r="BB15" s="32">
        <f t="shared" ca="1" si="106"/>
        <v>4.7668681388733303</v>
      </c>
      <c r="BC15" s="32">
        <f t="shared" ca="1" si="107"/>
        <v>1.1012773494872528</v>
      </c>
      <c r="BD15" s="32">
        <f t="shared" ca="1" si="108"/>
        <v>3.1061350960725016</v>
      </c>
      <c r="BE15" s="32">
        <f t="shared" ca="1" si="109"/>
        <v>3.7145533107671156</v>
      </c>
      <c r="BF15" s="32">
        <f t="shared" ca="1" si="110"/>
        <v>12.829908429461195</v>
      </c>
      <c r="BG15" s="32">
        <f t="shared" ca="1" si="111"/>
        <v>7.0834115707048824</v>
      </c>
      <c r="BH15" s="32">
        <f t="shared" ca="1" si="112"/>
        <v>2.098085701394687</v>
      </c>
      <c r="BI15" s="32">
        <f t="shared" ca="1" si="113"/>
        <v>5.1768918267875028</v>
      </c>
      <c r="BJ15" s="32">
        <f t="shared" ca="1" si="114"/>
        <v>2.8179369943750534</v>
      </c>
      <c r="BK15" s="32">
        <f t="shared" ca="1" si="115"/>
        <v>5.5484621017306646</v>
      </c>
      <c r="BL15" s="32">
        <f t="shared" ca="1" si="116"/>
        <v>6.839682466587254</v>
      </c>
      <c r="BM15" s="32">
        <f t="shared" ca="1" si="117"/>
        <v>0.45269898951254656</v>
      </c>
      <c r="BN15" s="32">
        <f t="shared" ca="1" si="118"/>
        <v>1.9213206779829908</v>
      </c>
      <c r="BO15" s="32">
        <f t="shared" ca="1" si="119"/>
        <v>0.72583225612690772</v>
      </c>
      <c r="BP15" s="32">
        <f t="shared" ca="1" si="120"/>
        <v>4.4416822599156234</v>
      </c>
      <c r="BQ15" s="32">
        <f t="shared" ca="1" si="121"/>
        <v>10.052737097780067</v>
      </c>
      <c r="BR15" s="32">
        <f t="shared" ca="1" si="122"/>
        <v>1.1752762227729576</v>
      </c>
      <c r="BS15" s="32">
        <f t="shared" ca="1" si="123"/>
        <v>3.0314170697064964</v>
      </c>
      <c r="BT15" s="32">
        <f t="shared" ca="1" si="124"/>
        <v>2.60445691904361</v>
      </c>
      <c r="BU15" s="32">
        <f t="shared" ca="1" si="125"/>
        <v>9.1891852655959294</v>
      </c>
      <c r="BV15" s="32">
        <f t="shared" ca="1" si="126"/>
        <v>6.9893603552090777</v>
      </c>
      <c r="BW15" s="32">
        <f t="shared" ca="1" si="127"/>
        <v>1.288450970151094</v>
      </c>
      <c r="BX15" s="32">
        <f t="shared" ca="1" si="128"/>
        <v>5.9125344181171915</v>
      </c>
      <c r="BY15" s="32">
        <f t="shared" ca="1" si="129"/>
        <v>4.3529813592094984</v>
      </c>
      <c r="BZ15" s="32">
        <f t="shared" ca="1" si="130"/>
        <v>9.719388558620583</v>
      </c>
      <c r="CA15" s="32">
        <f t="shared" ca="1" si="131"/>
        <v>4.3529813592094984</v>
      </c>
      <c r="CB15" s="32">
        <f t="shared" ca="1" si="132"/>
        <v>5.1339678386379548</v>
      </c>
      <c r="CC15" s="32">
        <f t="shared" ca="1" si="133"/>
        <v>11.775314331040478</v>
      </c>
      <c r="CD15" s="32">
        <f t="shared" ca="1" si="134"/>
        <v>5.1339678386379548</v>
      </c>
      <c r="CE15" s="32">
        <f t="shared" ca="1" si="135"/>
        <v>3.6407231638652653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49</v>
      </c>
      <c r="D16" s="133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9">
        <f ca="1">Plantilla!N17</f>
        <v>0.84864450827469529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12.758360646129448</v>
      </c>
      <c r="V16" s="41">
        <f t="shared" ca="1" si="74"/>
        <v>13.770757707143819</v>
      </c>
      <c r="W16" s="32">
        <f t="shared" ca="1" si="75"/>
        <v>3.2104677407709348</v>
      </c>
      <c r="X16" s="32">
        <f t="shared" ca="1" si="76"/>
        <v>4.8487604276463649</v>
      </c>
      <c r="Y16" s="32">
        <f t="shared" ca="1" si="77"/>
        <v>3.2104677407709348</v>
      </c>
      <c r="Z16" s="32">
        <f t="shared" ca="1" si="78"/>
        <v>4.0147919292529242</v>
      </c>
      <c r="AA16" s="32">
        <f t="shared" ca="1" si="79"/>
        <v>7.780604514056054</v>
      </c>
      <c r="AB16" s="32">
        <f t="shared" ca="1" si="80"/>
        <v>2.0073959646264621</v>
      </c>
      <c r="AC16" s="32">
        <f t="shared" ca="1" si="81"/>
        <v>3.0417838743453407</v>
      </c>
      <c r="AD16" s="32">
        <f t="shared" ca="1" si="82"/>
        <v>2.9410685063131883</v>
      </c>
      <c r="AE16" s="32">
        <f t="shared" ca="1" si="83"/>
        <v>5.6253770636625271</v>
      </c>
      <c r="AF16" s="32">
        <f t="shared" ca="1" si="84"/>
        <v>1.4705342531565941</v>
      </c>
      <c r="AG16" s="32">
        <f t="shared" ca="1" si="85"/>
        <v>4.9205327379115804</v>
      </c>
      <c r="AH16" s="32">
        <f t="shared" ca="1" si="86"/>
        <v>7.1581561529315696</v>
      </c>
      <c r="AI16" s="32">
        <f t="shared" ca="1" si="87"/>
        <v>3.2211702688192063</v>
      </c>
      <c r="AJ16" s="32">
        <f t="shared" ca="1" si="88"/>
        <v>2.1343609538473611</v>
      </c>
      <c r="AK16" s="32">
        <f t="shared" ca="1" si="89"/>
        <v>2.2229954542649595</v>
      </c>
      <c r="AL16" s="32">
        <f t="shared" ca="1" si="90"/>
        <v>5.8665758035982645</v>
      </c>
      <c r="AM16" s="32">
        <f t="shared" ca="1" si="91"/>
        <v>5.5086679959516855</v>
      </c>
      <c r="AN16" s="32">
        <f t="shared" ca="1" si="92"/>
        <v>2.3013609538473609</v>
      </c>
      <c r="AO16" s="32">
        <f t="shared" ca="1" si="93"/>
        <v>1.1278141000481436</v>
      </c>
      <c r="AP16" s="32">
        <f t="shared" ca="1" si="94"/>
        <v>2.1007632187951346</v>
      </c>
      <c r="AQ16" s="32">
        <f t="shared" ca="1" si="95"/>
        <v>4.6216790813492956</v>
      </c>
      <c r="AR16" s="32">
        <f t="shared" ca="1" si="96"/>
        <v>1.0503816093975673</v>
      </c>
      <c r="AS16" s="32">
        <f t="shared" ca="1" si="97"/>
        <v>12.064890661268914</v>
      </c>
      <c r="AT16" s="32">
        <f t="shared" ca="1" si="98"/>
        <v>0.7568952534939537</v>
      </c>
      <c r="AU16" s="32">
        <f t="shared" ca="1" si="99"/>
        <v>1.8717171226184237</v>
      </c>
      <c r="AV16" s="32">
        <f t="shared" ca="1" si="100"/>
        <v>0.37844762674697685</v>
      </c>
      <c r="AW16" s="32">
        <f t="shared" ca="1" si="101"/>
        <v>1.4705342531565941</v>
      </c>
      <c r="AX16" s="32">
        <f t="shared" ca="1" si="102"/>
        <v>3.1122418056224217</v>
      </c>
      <c r="AY16" s="32">
        <f t="shared" ca="1" si="103"/>
        <v>0.73526712657829707</v>
      </c>
      <c r="AZ16" s="32">
        <f t="shared" ca="1" si="104"/>
        <v>12.780604514056053</v>
      </c>
      <c r="BA16" s="32">
        <f t="shared" ca="1" si="105"/>
        <v>1.4730346087228485</v>
      </c>
      <c r="BB16" s="32">
        <f t="shared" ca="1" si="106"/>
        <v>3.4093214205782196</v>
      </c>
      <c r="BC16" s="32">
        <f t="shared" ca="1" si="107"/>
        <v>0.73651730436142426</v>
      </c>
      <c r="BD16" s="32">
        <f t="shared" ca="1" si="108"/>
        <v>2.2641559135903115</v>
      </c>
      <c r="BE16" s="32">
        <f t="shared" ca="1" si="109"/>
        <v>2.7076503708915065</v>
      </c>
      <c r="BF16" s="32">
        <f t="shared" ca="1" si="110"/>
        <v>11.259712576883382</v>
      </c>
      <c r="BG16" s="32">
        <f t="shared" ca="1" si="111"/>
        <v>4.0040824129958317</v>
      </c>
      <c r="BH16" s="32">
        <f t="shared" ca="1" si="112"/>
        <v>1.4031673545541756</v>
      </c>
      <c r="BI16" s="32">
        <f t="shared" ca="1" si="113"/>
        <v>3.7735931893171859</v>
      </c>
      <c r="BJ16" s="32">
        <f t="shared" ca="1" si="114"/>
        <v>2.0540795917107983</v>
      </c>
      <c r="BK16" s="32">
        <f t="shared" ca="1" si="115"/>
        <v>4.8694103198553567</v>
      </c>
      <c r="BL16" s="32">
        <f t="shared" ca="1" si="116"/>
        <v>3.7146233452849917</v>
      </c>
      <c r="BM16" s="32">
        <f t="shared" ca="1" si="117"/>
        <v>0.30275810139758147</v>
      </c>
      <c r="BN16" s="32">
        <f t="shared" ca="1" si="118"/>
        <v>1.4005088125300897</v>
      </c>
      <c r="BO16" s="32">
        <f t="shared" ca="1" si="119"/>
        <v>0.52908110695581168</v>
      </c>
      <c r="BP16" s="32">
        <f t="shared" ca="1" si="120"/>
        <v>3.8980843767870961</v>
      </c>
      <c r="BQ16" s="32">
        <f t="shared" ca="1" si="121"/>
        <v>5.4457740717427523</v>
      </c>
      <c r="BR16" s="32">
        <f t="shared" ca="1" si="122"/>
        <v>0.78600660939756739</v>
      </c>
      <c r="BS16" s="32">
        <f t="shared" ca="1" si="123"/>
        <v>2.2096916819919192</v>
      </c>
      <c r="BT16" s="32">
        <f t="shared" ca="1" si="124"/>
        <v>1.8984675014296772</v>
      </c>
      <c r="BU16" s="32">
        <f t="shared" ca="1" si="125"/>
        <v>8.0645614483693695</v>
      </c>
      <c r="BV16" s="32">
        <f t="shared" ca="1" si="126"/>
        <v>3.7776827067468348</v>
      </c>
      <c r="BW16" s="32">
        <f t="shared" ca="1" si="127"/>
        <v>0.86169613474696272</v>
      </c>
      <c r="BX16" s="32">
        <f t="shared" ca="1" si="128"/>
        <v>5.1889254327067578</v>
      </c>
      <c r="BY16" s="32">
        <f t="shared" ca="1" si="129"/>
        <v>2.8611116184898706</v>
      </c>
      <c r="BZ16" s="32">
        <f t="shared" ca="1" si="130"/>
        <v>7.1145856828271175</v>
      </c>
      <c r="CA16" s="32">
        <f t="shared" ca="1" si="131"/>
        <v>2.8611116184898706</v>
      </c>
      <c r="CB16" s="32">
        <f t="shared" ca="1" si="132"/>
        <v>3.4252332789235882</v>
      </c>
      <c r="CC16" s="32">
        <f t="shared" ca="1" si="133"/>
        <v>8.9290225797427389</v>
      </c>
      <c r="CD16" s="32">
        <f t="shared" ca="1" si="134"/>
        <v>3.4252332789235882</v>
      </c>
      <c r="CE16" s="32">
        <f t="shared" ca="1" si="135"/>
        <v>3.1951511285140133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4</v>
      </c>
      <c r="D17" s="133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39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41</v>
      </c>
      <c r="D18" s="133" t="str">
        <f>Plantilla!G19</f>
        <v>RAP</v>
      </c>
      <c r="E18" s="28">
        <f>Plantilla!M19</f>
        <v>43420</v>
      </c>
      <c r="F18" s="42">
        <f>Plantilla!Q19</f>
        <v>6</v>
      </c>
      <c r="G18" s="43">
        <f t="shared" si="68"/>
        <v>0.92582009977255142</v>
      </c>
      <c r="H18" s="43">
        <f t="shared" si="69"/>
        <v>0.99928545900129484</v>
      </c>
      <c r="I18" s="139">
        <f ca="1">Plantilla!N19</f>
        <v>0.83816317869628709</v>
      </c>
      <c r="J18" s="34">
        <f>Plantilla!I19</f>
        <v>6.7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14.757198589550089</v>
      </c>
      <c r="V18" s="41">
        <f t="shared" ca="1" si="74"/>
        <v>15.928206753941364</v>
      </c>
      <c r="W18" s="32">
        <f t="shared" ca="1" si="75"/>
        <v>3.0732675253456208</v>
      </c>
      <c r="X18" s="32">
        <f t="shared" ca="1" si="76"/>
        <v>4.6290187574125961</v>
      </c>
      <c r="Y18" s="32">
        <f t="shared" ca="1" si="77"/>
        <v>3.0732675253456208</v>
      </c>
      <c r="Z18" s="32">
        <f t="shared" ca="1" si="78"/>
        <v>3.5808316644654528</v>
      </c>
      <c r="AA18" s="32">
        <f t="shared" ca="1" si="79"/>
        <v>6.9395962489640555</v>
      </c>
      <c r="AB18" s="32">
        <f t="shared" ca="1" si="80"/>
        <v>1.7904158322327264</v>
      </c>
      <c r="AC18" s="32">
        <f t="shared" ca="1" si="81"/>
        <v>0.93762390725344513</v>
      </c>
      <c r="AD18" s="32">
        <f t="shared" ca="1" si="82"/>
        <v>2.6231673821084129</v>
      </c>
      <c r="AE18" s="32">
        <f t="shared" ca="1" si="83"/>
        <v>5.0173280880010118</v>
      </c>
      <c r="AF18" s="32">
        <f t="shared" ca="1" si="84"/>
        <v>1.3115836910542065</v>
      </c>
      <c r="AG18" s="32">
        <f t="shared" ca="1" si="85"/>
        <v>1.5167445558511614</v>
      </c>
      <c r="AH18" s="32">
        <f t="shared" ca="1" si="86"/>
        <v>6.3844285490469312</v>
      </c>
      <c r="AI18" s="32">
        <f t="shared" ca="1" si="87"/>
        <v>2.872992847071119</v>
      </c>
      <c r="AJ18" s="32">
        <f t="shared" ca="1" si="88"/>
        <v>0.65791257357699728</v>
      </c>
      <c r="AK18" s="32">
        <f t="shared" ca="1" si="89"/>
        <v>3.4924825943908644</v>
      </c>
      <c r="AL18" s="32">
        <f t="shared" ca="1" si="90"/>
        <v>5.2324555717188979</v>
      </c>
      <c r="AM18" s="32">
        <f t="shared" ca="1" si="91"/>
        <v>4.9132341442665508</v>
      </c>
      <c r="AN18" s="32">
        <f t="shared" ca="1" si="92"/>
        <v>2.6619125735769975</v>
      </c>
      <c r="AO18" s="32">
        <f t="shared" ca="1" si="93"/>
        <v>1.3650037197016478</v>
      </c>
      <c r="AP18" s="32">
        <f t="shared" ca="1" si="94"/>
        <v>1.8736909872202951</v>
      </c>
      <c r="AQ18" s="32">
        <f t="shared" ca="1" si="95"/>
        <v>4.1221201718846485</v>
      </c>
      <c r="AR18" s="32">
        <f t="shared" ca="1" si="96"/>
        <v>0.93684549361014757</v>
      </c>
      <c r="AS18" s="32">
        <f t="shared" ca="1" si="97"/>
        <v>3.718978859022068</v>
      </c>
      <c r="AT18" s="32">
        <f t="shared" ca="1" si="98"/>
        <v>1.1881475123653273</v>
      </c>
      <c r="AU18" s="32">
        <f t="shared" ca="1" si="99"/>
        <v>3.1623017009464682</v>
      </c>
      <c r="AV18" s="32">
        <f t="shared" ca="1" si="100"/>
        <v>0.59407375618266367</v>
      </c>
      <c r="AW18" s="32">
        <f t="shared" ca="1" si="101"/>
        <v>1.3115836910542065</v>
      </c>
      <c r="AX18" s="32">
        <f t="shared" ca="1" si="102"/>
        <v>2.7758384995856225</v>
      </c>
      <c r="AY18" s="32">
        <f t="shared" ca="1" si="103"/>
        <v>0.65579184552710323</v>
      </c>
      <c r="AZ18" s="32">
        <f t="shared" ca="1" si="104"/>
        <v>3.9395962489640555</v>
      </c>
      <c r="BA18" s="32">
        <f t="shared" ca="1" si="105"/>
        <v>2.3123178509879061</v>
      </c>
      <c r="BB18" s="32">
        <f t="shared" ca="1" si="106"/>
        <v>5.6239175331791955</v>
      </c>
      <c r="BC18" s="32">
        <f t="shared" ca="1" si="107"/>
        <v>1.156158925493953</v>
      </c>
      <c r="BD18" s="32">
        <f t="shared" ca="1" si="108"/>
        <v>2.0194225084485402</v>
      </c>
      <c r="BE18" s="32">
        <f t="shared" ca="1" si="109"/>
        <v>2.4149794946394914</v>
      </c>
      <c r="BF18" s="32">
        <f t="shared" ca="1" si="110"/>
        <v>3.4707842953373329</v>
      </c>
      <c r="BG18" s="32">
        <f t="shared" ca="1" si="111"/>
        <v>6.288301065329045</v>
      </c>
      <c r="BH18" s="32">
        <f t="shared" ca="1" si="112"/>
        <v>2.2026426960003374</v>
      </c>
      <c r="BI18" s="32">
        <f t="shared" ca="1" si="113"/>
        <v>3.3657041807475667</v>
      </c>
      <c r="BJ18" s="32">
        <f t="shared" ca="1" si="114"/>
        <v>1.8320534097265107</v>
      </c>
      <c r="BK18" s="32">
        <f t="shared" ca="1" si="115"/>
        <v>1.5009861708553052</v>
      </c>
      <c r="BL18" s="32">
        <f t="shared" ca="1" si="116"/>
        <v>5.8344071215945847</v>
      </c>
      <c r="BM18" s="32">
        <f t="shared" ca="1" si="117"/>
        <v>0.47525900494613088</v>
      </c>
      <c r="BN18" s="32">
        <f t="shared" ca="1" si="118"/>
        <v>1.2491273248135299</v>
      </c>
      <c r="BO18" s="32">
        <f t="shared" ca="1" si="119"/>
        <v>0.47189254492955579</v>
      </c>
      <c r="BP18" s="32">
        <f t="shared" ca="1" si="120"/>
        <v>1.201576855934037</v>
      </c>
      <c r="BQ18" s="32">
        <f t="shared" ca="1" si="121"/>
        <v>8.5535207761677761</v>
      </c>
      <c r="BR18" s="32">
        <f t="shared" ca="1" si="122"/>
        <v>1.2338454936101475</v>
      </c>
      <c r="BS18" s="32">
        <f t="shared" ca="1" si="123"/>
        <v>1.9708453347057915</v>
      </c>
      <c r="BT18" s="32">
        <f t="shared" ca="1" si="124"/>
        <v>1.6932614847472296</v>
      </c>
      <c r="BU18" s="32">
        <f t="shared" ca="1" si="125"/>
        <v>2.4858852330963188</v>
      </c>
      <c r="BV18" s="32">
        <f t="shared" ca="1" si="126"/>
        <v>5.9335386428228301</v>
      </c>
      <c r="BW18" s="32">
        <f t="shared" ca="1" si="127"/>
        <v>1.3526602448466802</v>
      </c>
      <c r="BX18" s="32">
        <f t="shared" ca="1" si="128"/>
        <v>1.5994760770794065</v>
      </c>
      <c r="BY18" s="32">
        <f t="shared" ca="1" si="129"/>
        <v>4.6565296457102727</v>
      </c>
      <c r="BZ18" s="32">
        <f t="shared" ca="1" si="130"/>
        <v>11.923585376333527</v>
      </c>
      <c r="CA18" s="32">
        <f t="shared" ca="1" si="131"/>
        <v>4.6565296457102727</v>
      </c>
      <c r="CB18" s="32">
        <f t="shared" ca="1" si="132"/>
        <v>5.7147684631046065</v>
      </c>
      <c r="CC18" s="32">
        <f t="shared" ca="1" si="133"/>
        <v>15.312107264831793</v>
      </c>
      <c r="CD18" s="32">
        <f t="shared" ca="1" si="134"/>
        <v>5.7147684631046065</v>
      </c>
      <c r="CE18" s="32">
        <f t="shared" ca="1" si="135"/>
        <v>0.98489906224101387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79</v>
      </c>
      <c r="D19" s="133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9">
        <f ca="1">Plantilla!N20</f>
        <v>0.8444607609722582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13.812650208285035</v>
      </c>
      <c r="V19" s="41">
        <f t="shared" ca="1" si="74"/>
        <v>14.908706893273765</v>
      </c>
      <c r="W19" s="32">
        <f t="shared" ca="1" si="75"/>
        <v>3.3316077340460262</v>
      </c>
      <c r="X19" s="32">
        <f t="shared" ca="1" si="76"/>
        <v>5.0279033042994499</v>
      </c>
      <c r="Y19" s="32">
        <f t="shared" ca="1" si="77"/>
        <v>3.3316077340460262</v>
      </c>
      <c r="Z19" s="32">
        <f t="shared" ca="1" si="78"/>
        <v>4.0863935747625995</v>
      </c>
      <c r="AA19" s="32">
        <f t="shared" ca="1" si="79"/>
        <v>7.9193673929507744</v>
      </c>
      <c r="AB19" s="32">
        <f t="shared" ca="1" si="80"/>
        <v>2.0431967873812997</v>
      </c>
      <c r="AC19" s="32">
        <f t="shared" ca="1" si="81"/>
        <v>0.93280943952228423</v>
      </c>
      <c r="AD19" s="32">
        <f t="shared" ca="1" si="82"/>
        <v>2.9935208745353927</v>
      </c>
      <c r="AE19" s="32">
        <f t="shared" ca="1" si="83"/>
        <v>5.72570262510341</v>
      </c>
      <c r="AF19" s="32">
        <f t="shared" ca="1" si="84"/>
        <v>1.4967604372676964</v>
      </c>
      <c r="AG19" s="32">
        <f t="shared" ca="1" si="85"/>
        <v>1.5089564462860481</v>
      </c>
      <c r="AH19" s="32">
        <f t="shared" ca="1" si="86"/>
        <v>7.2858180015147127</v>
      </c>
      <c r="AI19" s="32">
        <f t="shared" ca="1" si="87"/>
        <v>3.2786181006816206</v>
      </c>
      <c r="AJ19" s="32">
        <f t="shared" ca="1" si="88"/>
        <v>0.65453435462277931</v>
      </c>
      <c r="AK19" s="32">
        <f t="shared" ca="1" si="89"/>
        <v>4.6565880270550553</v>
      </c>
      <c r="AL19" s="32">
        <f t="shared" ca="1" si="90"/>
        <v>5.9712030142848835</v>
      </c>
      <c r="AM19" s="32">
        <f t="shared" ca="1" si="91"/>
        <v>5.6069121142091483</v>
      </c>
      <c r="AN19" s="32">
        <f t="shared" ca="1" si="92"/>
        <v>2.4915343546227793</v>
      </c>
      <c r="AO19" s="32">
        <f t="shared" ca="1" si="93"/>
        <v>1.532777809169823</v>
      </c>
      <c r="AP19" s="32">
        <f t="shared" ca="1" si="94"/>
        <v>2.138229196096709</v>
      </c>
      <c r="AQ19" s="32">
        <f t="shared" ca="1" si="95"/>
        <v>4.7041042314127601</v>
      </c>
      <c r="AR19" s="32">
        <f t="shared" ca="1" si="96"/>
        <v>1.0691145980483545</v>
      </c>
      <c r="AS19" s="32">
        <f t="shared" ca="1" si="97"/>
        <v>3.6998828189455311</v>
      </c>
      <c r="AT19" s="32">
        <f t="shared" ca="1" si="98"/>
        <v>1.433962205528045</v>
      </c>
      <c r="AU19" s="32">
        <f t="shared" ca="1" si="99"/>
        <v>3.2040579794679096</v>
      </c>
      <c r="AV19" s="32">
        <f t="shared" ca="1" si="100"/>
        <v>0.71698110276402249</v>
      </c>
      <c r="AW19" s="32">
        <f t="shared" ca="1" si="101"/>
        <v>1.4967604372676964</v>
      </c>
      <c r="AX19" s="32">
        <f t="shared" ca="1" si="102"/>
        <v>3.1677469571803099</v>
      </c>
      <c r="AY19" s="32">
        <f t="shared" ca="1" si="103"/>
        <v>0.74838021863384818</v>
      </c>
      <c r="AZ19" s="32">
        <f t="shared" ca="1" si="104"/>
        <v>3.9193673929507744</v>
      </c>
      <c r="BA19" s="32">
        <f t="shared" ca="1" si="105"/>
        <v>2.7907110615276567</v>
      </c>
      <c r="BB19" s="32">
        <f t="shared" ca="1" si="106"/>
        <v>6.0439603224047644</v>
      </c>
      <c r="BC19" s="32">
        <f t="shared" ca="1" si="107"/>
        <v>1.3953555307638283</v>
      </c>
      <c r="BD19" s="32">
        <f t="shared" ca="1" si="108"/>
        <v>2.3045359113486752</v>
      </c>
      <c r="BE19" s="32">
        <f t="shared" ca="1" si="109"/>
        <v>2.7559398527468693</v>
      </c>
      <c r="BF19" s="32">
        <f t="shared" ca="1" si="110"/>
        <v>3.4529626731896323</v>
      </c>
      <c r="BG19" s="32">
        <f t="shared" ca="1" si="111"/>
        <v>8.0203176123332387</v>
      </c>
      <c r="BH19" s="32">
        <f t="shared" ca="1" si="112"/>
        <v>2.6583453194789142</v>
      </c>
      <c r="BI19" s="32">
        <f t="shared" ca="1" si="113"/>
        <v>3.8408931855811255</v>
      </c>
      <c r="BJ19" s="32">
        <f t="shared" ca="1" si="114"/>
        <v>2.0907129917390046</v>
      </c>
      <c r="BK19" s="32">
        <f t="shared" ca="1" si="115"/>
        <v>1.4932789767142451</v>
      </c>
      <c r="BL19" s="32">
        <f t="shared" ca="1" si="116"/>
        <v>7.5468604347723112</v>
      </c>
      <c r="BM19" s="32">
        <f t="shared" ca="1" si="117"/>
        <v>0.57358488221121795</v>
      </c>
      <c r="BN19" s="32">
        <f t="shared" ca="1" si="118"/>
        <v>1.4254861307311393</v>
      </c>
      <c r="BO19" s="32">
        <f t="shared" ca="1" si="119"/>
        <v>0.53851698272065274</v>
      </c>
      <c r="BP19" s="32">
        <f t="shared" ca="1" si="120"/>
        <v>1.1954070548499862</v>
      </c>
      <c r="BQ19" s="32">
        <f t="shared" ca="1" si="121"/>
        <v>11.074084245112473</v>
      </c>
      <c r="BR19" s="32">
        <f t="shared" ca="1" si="122"/>
        <v>1.4891145980483544</v>
      </c>
      <c r="BS19" s="32">
        <f t="shared" ca="1" si="123"/>
        <v>2.2491003395980198</v>
      </c>
      <c r="BT19" s="32">
        <f t="shared" ca="1" si="124"/>
        <v>1.932325643879989</v>
      </c>
      <c r="BU19" s="32">
        <f t="shared" ca="1" si="125"/>
        <v>2.4731208249519385</v>
      </c>
      <c r="BV19" s="32">
        <f t="shared" ca="1" si="126"/>
        <v>7.6882782611353875</v>
      </c>
      <c r="BW19" s="32">
        <f t="shared" ca="1" si="127"/>
        <v>1.6325108186011588</v>
      </c>
      <c r="BX19" s="32">
        <f t="shared" ca="1" si="128"/>
        <v>1.5912631615380146</v>
      </c>
      <c r="BY19" s="32">
        <f t="shared" ca="1" si="129"/>
        <v>5.2784181895051301</v>
      </c>
      <c r="BZ19" s="32">
        <f t="shared" ca="1" si="130"/>
        <v>12.326391017795904</v>
      </c>
      <c r="CA19" s="32">
        <f t="shared" ca="1" si="131"/>
        <v>5.2784181895051301</v>
      </c>
      <c r="CB19" s="32">
        <f t="shared" ca="1" si="132"/>
        <v>6.1425436635861104</v>
      </c>
      <c r="CC19" s="32">
        <f t="shared" ca="1" si="133"/>
        <v>14.939613960949607</v>
      </c>
      <c r="CD19" s="32">
        <f t="shared" ca="1" si="134"/>
        <v>6.1425436635861104</v>
      </c>
      <c r="CE19" s="32">
        <f t="shared" ca="1" si="135"/>
        <v>0.9798418482376936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54</v>
      </c>
      <c r="D20" s="133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39">
        <f ca="1">Plantilla!N21</f>
        <v>0.41492631106246303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1.4524613115739879</v>
      </c>
      <c r="V20" s="41">
        <f t="shared" ca="1" si="74"/>
        <v>1.4524613115739879</v>
      </c>
      <c r="W20" s="32">
        <f t="shared" ca="1" si="75"/>
        <v>2.6479987250040917</v>
      </c>
      <c r="X20" s="32">
        <f t="shared" ca="1" si="76"/>
        <v>4.0001275532420184</v>
      </c>
      <c r="Y20" s="32">
        <f t="shared" ca="1" si="77"/>
        <v>2.6479987250040917</v>
      </c>
      <c r="Z20" s="32">
        <f t="shared" ca="1" si="78"/>
        <v>3.3294700367721779</v>
      </c>
      <c r="AA20" s="32">
        <f t="shared" ca="1" si="79"/>
        <v>6.4524613115739884</v>
      </c>
      <c r="AB20" s="32">
        <f t="shared" ca="1" si="80"/>
        <v>1.6647350183860889</v>
      </c>
      <c r="AC20" s="32">
        <f t="shared" ca="1" si="81"/>
        <v>1.7736857921546092</v>
      </c>
      <c r="AD20" s="32">
        <f t="shared" ca="1" si="82"/>
        <v>2.4390303757749678</v>
      </c>
      <c r="AE20" s="32">
        <f t="shared" ca="1" si="83"/>
        <v>4.6651295282679932</v>
      </c>
      <c r="AF20" s="32">
        <f t="shared" ca="1" si="84"/>
        <v>1.2195151878874839</v>
      </c>
      <c r="AG20" s="32">
        <f t="shared" ca="1" si="85"/>
        <v>2.8691976049559855</v>
      </c>
      <c r="AH20" s="32">
        <f t="shared" ca="1" si="86"/>
        <v>5.9362644066480694</v>
      </c>
      <c r="AI20" s="32">
        <f t="shared" ca="1" si="87"/>
        <v>2.6713189829916311</v>
      </c>
      <c r="AJ20" s="32">
        <f t="shared" ca="1" si="88"/>
        <v>1.2445610390328561</v>
      </c>
      <c r="AK20" s="32">
        <f t="shared" ca="1" si="89"/>
        <v>3.7940472512055048</v>
      </c>
      <c r="AL20" s="32">
        <f t="shared" ca="1" si="90"/>
        <v>4.8651558289267873</v>
      </c>
      <c r="AM20" s="32">
        <f t="shared" ca="1" si="91"/>
        <v>4.5683426085943832</v>
      </c>
      <c r="AN20" s="32">
        <f t="shared" ca="1" si="92"/>
        <v>0.242561039032856</v>
      </c>
      <c r="AO20" s="32">
        <f t="shared" ca="1" si="93"/>
        <v>1.3645945720190229</v>
      </c>
      <c r="AP20" s="32">
        <f t="shared" ca="1" si="94"/>
        <v>1.7421645541249771</v>
      </c>
      <c r="AQ20" s="32">
        <f t="shared" ca="1" si="95"/>
        <v>3.832762019074949</v>
      </c>
      <c r="AR20" s="32">
        <f t="shared" ca="1" si="96"/>
        <v>0.87108227706248853</v>
      </c>
      <c r="AS20" s="32">
        <f t="shared" ca="1" si="97"/>
        <v>7.0351234781258443</v>
      </c>
      <c r="AT20" s="32">
        <f t="shared" ca="1" si="98"/>
        <v>1.3773913990760469</v>
      </c>
      <c r="AU20" s="32">
        <f t="shared" ca="1" si="99"/>
        <v>3.5987140214340352</v>
      </c>
      <c r="AV20" s="32">
        <f t="shared" ca="1" si="100"/>
        <v>0.68869569953802345</v>
      </c>
      <c r="AW20" s="32">
        <f t="shared" ca="1" si="101"/>
        <v>1.2195151878874839</v>
      </c>
      <c r="AX20" s="32">
        <f t="shared" ca="1" si="102"/>
        <v>2.5809845246295957</v>
      </c>
      <c r="AY20" s="32">
        <f t="shared" ca="1" si="103"/>
        <v>0.60975759394374196</v>
      </c>
      <c r="AZ20" s="32">
        <f t="shared" ca="1" si="104"/>
        <v>7.4524613115739884</v>
      </c>
      <c r="BA20" s="32">
        <f t="shared" ca="1" si="105"/>
        <v>2.680615568971076</v>
      </c>
      <c r="BB20" s="32">
        <f t="shared" ca="1" si="106"/>
        <v>6.438020468391553</v>
      </c>
      <c r="BC20" s="32">
        <f t="shared" ca="1" si="107"/>
        <v>1.340307784485538</v>
      </c>
      <c r="BD20" s="32">
        <f t="shared" ca="1" si="108"/>
        <v>1.8776662416680305</v>
      </c>
      <c r="BE20" s="32">
        <f t="shared" ca="1" si="109"/>
        <v>2.2454565364277479</v>
      </c>
      <c r="BF20" s="32">
        <f t="shared" ca="1" si="110"/>
        <v>6.5656184154966839</v>
      </c>
      <c r="BG20" s="32">
        <f t="shared" ca="1" si="111"/>
        <v>7.041238105989275</v>
      </c>
      <c r="BH20" s="32">
        <f t="shared" ca="1" si="112"/>
        <v>2.5534717475179023</v>
      </c>
      <c r="BI20" s="32">
        <f t="shared" ca="1" si="113"/>
        <v>3.1294437361133842</v>
      </c>
      <c r="BJ20" s="32">
        <f t="shared" ca="1" si="114"/>
        <v>1.7034497862555331</v>
      </c>
      <c r="BK20" s="32">
        <f t="shared" ca="1" si="115"/>
        <v>2.8393877597096897</v>
      </c>
      <c r="BL20" s="32">
        <f t="shared" ca="1" si="116"/>
        <v>6.4721654720299515</v>
      </c>
      <c r="BM20" s="32">
        <f t="shared" ca="1" si="117"/>
        <v>0.55095655963041867</v>
      </c>
      <c r="BN20" s="32">
        <f t="shared" ca="1" si="118"/>
        <v>1.1614430360833179</v>
      </c>
      <c r="BO20" s="32">
        <f t="shared" ca="1" si="119"/>
        <v>0.43876736918703124</v>
      </c>
      <c r="BP20" s="32">
        <f t="shared" ca="1" si="120"/>
        <v>2.2730007000300665</v>
      </c>
      <c r="BQ20" s="32">
        <f t="shared" ca="1" si="121"/>
        <v>9.4827223895412907</v>
      </c>
      <c r="BR20" s="32">
        <f t="shared" ca="1" si="122"/>
        <v>1.4303679913482026</v>
      </c>
      <c r="BS20" s="32">
        <f t="shared" ca="1" si="123"/>
        <v>1.8324990124870126</v>
      </c>
      <c r="BT20" s="32">
        <f t="shared" ca="1" si="124"/>
        <v>1.5744005600240532</v>
      </c>
      <c r="BU20" s="32">
        <f t="shared" ca="1" si="125"/>
        <v>4.702503087603187</v>
      </c>
      <c r="BV20" s="32">
        <f t="shared" ca="1" si="126"/>
        <v>6.5745243024301487</v>
      </c>
      <c r="BW20" s="32">
        <f t="shared" ca="1" si="127"/>
        <v>1.568107131255807</v>
      </c>
      <c r="BX20" s="32">
        <f t="shared" ca="1" si="128"/>
        <v>3.0256992924990396</v>
      </c>
      <c r="BY20" s="32">
        <f t="shared" ca="1" si="129"/>
        <v>5.2864466290443328</v>
      </c>
      <c r="BZ20" s="32">
        <f t="shared" ca="1" si="130"/>
        <v>13.596042865403739</v>
      </c>
      <c r="CA20" s="32">
        <f t="shared" ca="1" si="131"/>
        <v>5.2864466290443328</v>
      </c>
      <c r="CB20" s="32">
        <f t="shared" ca="1" si="132"/>
        <v>6.4281691113963086</v>
      </c>
      <c r="CC20" s="32">
        <f t="shared" ca="1" si="133"/>
        <v>17.362133821259075</v>
      </c>
      <c r="CD20" s="32">
        <f t="shared" ca="1" si="134"/>
        <v>6.4281691113963086</v>
      </c>
      <c r="CE20" s="32">
        <f t="shared" ca="1" si="135"/>
        <v>1.8631153278934971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3"/>
      <c r="M1" s="133"/>
      <c r="N1" s="133"/>
      <c r="W1" s="47"/>
    </row>
    <row r="2" spans="1:23" x14ac:dyDescent="0.25">
      <c r="B2" s="28">
        <v>43636</v>
      </c>
      <c r="L2" s="133"/>
      <c r="M2" s="133"/>
      <c r="N2" s="133"/>
      <c r="U2" s="140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1">
        <v>1</v>
      </c>
      <c r="M3" s="141">
        <v>0.5</v>
      </c>
      <c r="N3" s="10" t="s">
        <v>377</v>
      </c>
      <c r="O3" s="143" t="s">
        <v>378</v>
      </c>
      <c r="P3" s="143" t="s">
        <v>379</v>
      </c>
      <c r="Q3" s="143" t="s">
        <v>47</v>
      </c>
      <c r="R3" s="143" t="s">
        <v>380</v>
      </c>
      <c r="S3" s="142" t="s">
        <v>62</v>
      </c>
      <c r="T3" s="148" t="s">
        <v>381</v>
      </c>
      <c r="U3" s="74" t="s">
        <v>85</v>
      </c>
      <c r="W3" s="47"/>
    </row>
    <row r="4" spans="1:23" x14ac:dyDescent="0.25">
      <c r="A4" s="144" t="str">
        <f>Plantilla!A4</f>
        <v>#1</v>
      </c>
      <c r="B4" s="145" t="str">
        <f>Plantilla!D4</f>
        <v>Cosme Fonteboa</v>
      </c>
      <c r="C4" s="144">
        <f>Plantilla!E4</f>
        <v>22</v>
      </c>
      <c r="D4" s="147">
        <f ca="1">Plantilla!F4</f>
        <v>86</v>
      </c>
      <c r="E4" s="41">
        <f>Plantilla!X4</f>
        <v>15</v>
      </c>
      <c r="F4" s="41">
        <f>Plantilla!Y4</f>
        <v>10.875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6"/>
      <c r="M4" s="146"/>
      <c r="N4" s="146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4" t="str">
        <f>Plantilla!A5</f>
        <v>#19</v>
      </c>
      <c r="B5" s="145" t="str">
        <f>Plantilla!D5</f>
        <v>Nicolae Hornet</v>
      </c>
      <c r="C5" s="144">
        <f>Plantilla!E5</f>
        <v>22</v>
      </c>
      <c r="D5" s="147">
        <f ca="1">Plantilla!F5</f>
        <v>111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6"/>
      <c r="M5" s="146"/>
      <c r="N5" s="146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4" t="str">
        <f>Plantilla!A6</f>
        <v>#2</v>
      </c>
      <c r="B6" s="145" t="str">
        <f>Plantilla!D6</f>
        <v>Miguel Fernández</v>
      </c>
      <c r="C6" s="144">
        <f>Plantilla!E6</f>
        <v>22</v>
      </c>
      <c r="D6" s="147">
        <f ca="1">Plantilla!F6</f>
        <v>83</v>
      </c>
      <c r="E6" s="41">
        <f>Plantilla!X6</f>
        <v>0</v>
      </c>
      <c r="F6" s="41">
        <f>Plantilla!Y6</f>
        <v>14.8125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6">
        <f>1/3</f>
        <v>0.33333333333333331</v>
      </c>
      <c r="M6" s="146">
        <f t="shared" ref="M6:M15" si="0">L6/2</f>
        <v>0.16666666666666666</v>
      </c>
      <c r="N6" s="146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4" t="str">
        <f>Plantilla!A7</f>
        <v>#13</v>
      </c>
      <c r="B7" s="145" t="str">
        <f>Plantilla!D7</f>
        <v>Iván Real Figueroa</v>
      </c>
      <c r="C7" s="144">
        <f>Plantilla!E7</f>
        <v>22</v>
      </c>
      <c r="D7" s="147">
        <f ca="1">Plantilla!F7</f>
        <v>64</v>
      </c>
      <c r="E7" s="41">
        <f>Plantilla!X7</f>
        <v>0</v>
      </c>
      <c r="F7" s="41">
        <f>Plantilla!Y7</f>
        <v>14.75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6">
        <f>1/4</f>
        <v>0.25</v>
      </c>
      <c r="M7" s="146">
        <f t="shared" si="0"/>
        <v>0.125</v>
      </c>
      <c r="N7" s="146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4" t="str">
        <f>Plantilla!A8</f>
        <v>#4</v>
      </c>
      <c r="B8" s="145" t="str">
        <f>Plantilla!D8</f>
        <v>Berto Abandero</v>
      </c>
      <c r="C8" s="144">
        <f>Plantilla!E8</f>
        <v>23</v>
      </c>
      <c r="D8" s="147">
        <f ca="1">Plantilla!F8</f>
        <v>2</v>
      </c>
      <c r="E8" s="41">
        <f>Plantilla!X8</f>
        <v>0</v>
      </c>
      <c r="F8" s="41">
        <f>Plantilla!Y8</f>
        <v>12.818181818181818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6">
        <f>1/4</f>
        <v>0.25</v>
      </c>
      <c r="M8" s="146">
        <f t="shared" si="0"/>
        <v>0.125</v>
      </c>
      <c r="N8" s="146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4" t="str">
        <f>Plantilla!A9</f>
        <v>#2</v>
      </c>
      <c r="B9" s="145" t="str">
        <f>Plantilla!D9</f>
        <v>Guillermo Pedrajas</v>
      </c>
      <c r="C9" s="144">
        <f>Plantilla!E9</f>
        <v>22</v>
      </c>
      <c r="D9" s="147">
        <f ca="1">Plantilla!F9</f>
        <v>99</v>
      </c>
      <c r="E9" s="41">
        <f>Plantilla!X9</f>
        <v>0</v>
      </c>
      <c r="F9" s="41">
        <f>Plantilla!Y9</f>
        <v>10.777777777777779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6">
        <f>1/3</f>
        <v>0.33333333333333331</v>
      </c>
      <c r="M9" s="146">
        <f t="shared" si="0"/>
        <v>0.16666666666666666</v>
      </c>
      <c r="N9" s="146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4" t="str">
        <f>Plantilla!A10</f>
        <v>#23</v>
      </c>
      <c r="B10" s="145" t="str">
        <f>Plantilla!D10</f>
        <v>Eckardt Hägerling</v>
      </c>
      <c r="C10" s="144">
        <f>Plantilla!E10</f>
        <v>22</v>
      </c>
      <c r="D10" s="147">
        <f ca="1">Plantilla!F10</f>
        <v>75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6"/>
      <c r="M10" s="146"/>
      <c r="N10" s="146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4" t="str">
        <f>Plantilla!A11</f>
        <v>#9</v>
      </c>
      <c r="B11" s="145" t="str">
        <f>Plantilla!D11</f>
        <v>Francesc Añigas</v>
      </c>
      <c r="C11" s="144">
        <f>Plantilla!E11</f>
        <v>22</v>
      </c>
      <c r="D11" s="147">
        <f ca="1">Plantilla!F11</f>
        <v>79</v>
      </c>
      <c r="E11" s="41">
        <f>Plantilla!X11</f>
        <v>0</v>
      </c>
      <c r="F11" s="41">
        <f>Plantilla!Y11</f>
        <v>12.1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6">
        <f>1/7</f>
        <v>0.14285714285714285</v>
      </c>
      <c r="M11" s="146">
        <f t="shared" si="0"/>
        <v>7.1428571428571425E-2</v>
      </c>
      <c r="N11" s="146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4" t="str">
        <f>Plantilla!A12</f>
        <v>#3</v>
      </c>
      <c r="B12" s="145" t="str">
        <f>Plantilla!D12</f>
        <v>Will Duffill</v>
      </c>
      <c r="C12" s="144">
        <f>Plantilla!E12</f>
        <v>22</v>
      </c>
      <c r="D12" s="147">
        <f ca="1">Plantilla!F12</f>
        <v>40</v>
      </c>
      <c r="E12" s="41">
        <f>Plantilla!X12</f>
        <v>0</v>
      </c>
      <c r="F12" s="41">
        <f>Plantilla!Y12</f>
        <v>11.222222222222221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6">
        <f>1/8</f>
        <v>0.125</v>
      </c>
      <c r="M12" s="146">
        <f t="shared" si="0"/>
        <v>6.25E-2</v>
      </c>
      <c r="N12" s="146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4" t="str">
        <f>Plantilla!A13</f>
        <v>#5</v>
      </c>
      <c r="B13" s="145" t="str">
        <f>Plantilla!D13</f>
        <v>Valeri Gomis</v>
      </c>
      <c r="C13" s="144">
        <f>Plantilla!E13</f>
        <v>22</v>
      </c>
      <c r="D13" s="147">
        <f ca="1">Plantilla!F13</f>
        <v>79</v>
      </c>
      <c r="E13" s="41">
        <f>Plantilla!X13</f>
        <v>0</v>
      </c>
      <c r="F13" s="41">
        <f>Plantilla!Y13</f>
        <v>10.857142857142858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6">
        <f>1/7</f>
        <v>0.14285714285714285</v>
      </c>
      <c r="M13" s="146">
        <f t="shared" si="0"/>
        <v>7.1428571428571425E-2</v>
      </c>
      <c r="N13" s="146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4" t="str">
        <f>Plantilla!A14</f>
        <v>#8</v>
      </c>
      <c r="B14" s="145" t="str">
        <f>Plantilla!D14</f>
        <v>Enrique Cubas</v>
      </c>
      <c r="C14" s="144">
        <f>Plantilla!E14</f>
        <v>22</v>
      </c>
      <c r="D14" s="147">
        <f ca="1">Plantilla!F14</f>
        <v>75</v>
      </c>
      <c r="E14" s="41">
        <f>Plantilla!X14</f>
        <v>0</v>
      </c>
      <c r="F14" s="41">
        <f>Plantilla!Y14</f>
        <v>9.4285714285714288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6">
        <f>1/9</f>
        <v>0.1111111111111111</v>
      </c>
      <c r="M14" s="146">
        <f t="shared" si="0"/>
        <v>5.5555555555555552E-2</v>
      </c>
      <c r="N14" s="146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4" t="str">
        <f>Plantilla!A15</f>
        <v>#11</v>
      </c>
      <c r="B15" s="145" t="str">
        <f>Plantilla!D15</f>
        <v>J. G. Peñuela</v>
      </c>
      <c r="C15" s="144">
        <f>Plantilla!E15</f>
        <v>22</v>
      </c>
      <c r="D15" s="147">
        <f ca="1">Plantilla!F15</f>
        <v>75</v>
      </c>
      <c r="E15" s="41">
        <f>Plantilla!X15</f>
        <v>0</v>
      </c>
      <c r="F15" s="41">
        <f>Plantilla!Y15</f>
        <v>9.8571428571428577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6">
        <f>1/8</f>
        <v>0.125</v>
      </c>
      <c r="M15" s="146">
        <f t="shared" si="0"/>
        <v>6.25E-2</v>
      </c>
      <c r="N15" s="146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4" t="str">
        <f>Plantilla!A16</f>
        <v>#12</v>
      </c>
      <c r="B16" s="145" t="str">
        <f>Plantilla!D16</f>
        <v>David Garcia-Spiess</v>
      </c>
      <c r="C16" s="144">
        <f>Plantilla!E16</f>
        <v>30</v>
      </c>
      <c r="D16" s="147">
        <f ca="1">Plantilla!F16</f>
        <v>44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6"/>
      <c r="M16" s="146"/>
      <c r="N16" s="146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4" t="str">
        <f>Plantilla!A17</f>
        <v>#26</v>
      </c>
      <c r="B17" s="145" t="str">
        <f>Plantilla!D17</f>
        <v>Fabien Fabre</v>
      </c>
      <c r="C17" s="144">
        <f>Plantilla!E17</f>
        <v>31</v>
      </c>
      <c r="D17" s="147">
        <f ca="1">Plantilla!F17</f>
        <v>49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6"/>
      <c r="M17" s="146"/>
      <c r="N17" s="146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4" t="str">
        <f>Plantilla!A18</f>
        <v>#21</v>
      </c>
      <c r="B18" s="145" t="str">
        <f>Plantilla!D18</f>
        <v>Fernando Gazón</v>
      </c>
      <c r="C18" s="144">
        <f>Plantilla!E18</f>
        <v>23</v>
      </c>
      <c r="D18" s="147">
        <f ca="1">Plantilla!F18</f>
        <v>4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6"/>
      <c r="M18" s="146"/>
      <c r="N18" s="146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4" t="str">
        <f>Plantilla!A19</f>
        <v>#36</v>
      </c>
      <c r="B19" s="145" t="str">
        <f>Plantilla!D19</f>
        <v>Miklós Gábriel</v>
      </c>
      <c r="C19" s="144">
        <f>Plantilla!E19</f>
        <v>31</v>
      </c>
      <c r="D19" s="147">
        <f ca="1">Plantilla!F19</f>
        <v>41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6"/>
      <c r="M19" s="146"/>
      <c r="N19" s="146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4" t="str">
        <f>Plantilla!A20</f>
        <v>#38</v>
      </c>
      <c r="B20" s="145" t="str">
        <f>Plantilla!D20</f>
        <v>Emilio Rojas</v>
      </c>
      <c r="C20" s="144">
        <f>Plantilla!E20</f>
        <v>31</v>
      </c>
      <c r="D20" s="147">
        <f ca="1">Plantilla!F20</f>
        <v>79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6"/>
      <c r="M20" s="146"/>
      <c r="N20" s="146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4" t="str">
        <f>Plantilla!A21</f>
        <v>#25</v>
      </c>
      <c r="B21" s="145" t="str">
        <f>Plantilla!D21</f>
        <v>Leo Hilpinen</v>
      </c>
      <c r="C21" s="144">
        <f>Plantilla!E21</f>
        <v>30</v>
      </c>
      <c r="D21" s="147">
        <f ca="1">Plantilla!F21</f>
        <v>54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6"/>
      <c r="M21" s="146"/>
      <c r="N21" s="146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3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3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3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3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3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3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3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3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3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3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3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3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3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3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43675</v>
      </c>
      <c r="I2" s="29">
        <f>AVERAGE(I4:I21)</f>
        <v>4.4555555555555557</v>
      </c>
      <c r="J2" s="29"/>
      <c r="N2" s="32">
        <f ca="1">AVERAGE(N4:N21)</f>
        <v>0.90055033959207931</v>
      </c>
      <c r="O2" s="29">
        <f>AVERAGE(O4:O21)</f>
        <v>5.8555555555555543</v>
      </c>
      <c r="Q2" s="29">
        <f>AVERAGE(Q4:Q21)</f>
        <v>5.833333333333333</v>
      </c>
      <c r="R2" s="64">
        <f>AVERAGE(R4:R21)</f>
        <v>0.91045894543563577</v>
      </c>
      <c r="S2" s="64">
        <f>AVERAGE(S4:S21)</f>
        <v>0.97021298088501196</v>
      </c>
      <c r="T2" s="33">
        <f>SUM(T4:T21)</f>
        <v>1092490</v>
      </c>
      <c r="U2" s="33">
        <f>SUM(U4:U21)</f>
        <v>26730</v>
      </c>
      <c r="V2" s="33">
        <f>SUM(V4:V21)</f>
        <v>168072</v>
      </c>
      <c r="W2" s="34">
        <f>T2/V2</f>
        <v>6.5001308962825455</v>
      </c>
      <c r="AD2" s="32">
        <f>AVERAGE(AD5:AD21)</f>
        <v>4.9411764705882355</v>
      </c>
      <c r="AE2" s="30">
        <f>AVERAGE(AE5:AE21)</f>
        <v>97.492941176470595</v>
      </c>
      <c r="AF2" s="30">
        <f>AVERAGE(AF5:AF21)</f>
        <v>2014.5555555555557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11.232142857142858</v>
      </c>
      <c r="D4" s="111" t="s">
        <v>360</v>
      </c>
      <c r="E4" s="1">
        <v>22</v>
      </c>
      <c r="F4" s="2">
        <f ca="1">$D$2-$D$1-1097-112-112</f>
        <v>86</v>
      </c>
      <c r="G4" s="3"/>
      <c r="H4" s="4">
        <v>4</v>
      </c>
      <c r="I4" s="5">
        <v>4.9000000000000004</v>
      </c>
      <c r="J4" s="21">
        <f>LOG(I4)*4/3</f>
        <v>0.92026144003801835</v>
      </c>
      <c r="K4" s="6">
        <f>(H4)*(H4)*(I4)</f>
        <v>78.400000000000006</v>
      </c>
      <c r="L4" s="6">
        <f>(H4+1)*(H4+1)*I4</f>
        <v>122.50000000000001</v>
      </c>
      <c r="M4" s="72">
        <v>43415</v>
      </c>
      <c r="N4" s="73">
        <f t="shared" ref="N4:N9" ca="1" si="0">IF((TODAY()-M4)&gt;335,1,((TODAY()-M4)^0.64)/(336^0.64))</f>
        <v>0.84864450827469529</v>
      </c>
      <c r="O4" s="24">
        <v>6.7</v>
      </c>
      <c r="P4" s="19">
        <f>O4*10+19</f>
        <v>86</v>
      </c>
      <c r="Q4" s="25">
        <v>5</v>
      </c>
      <c r="R4" s="63">
        <f>(Q4/7)^0.5</f>
        <v>0.84515425472851657</v>
      </c>
      <c r="S4" s="63">
        <f>IF(Q4=7,1,((Q4+0.99)/7)^0.5)</f>
        <v>0.92504826128926143</v>
      </c>
      <c r="T4" s="27">
        <v>70500</v>
      </c>
      <c r="U4" s="27">
        <f t="shared" ref="U4:U21" si="1">T4-AT4</f>
        <v>1070</v>
      </c>
      <c r="V4" s="7">
        <v>27520</v>
      </c>
      <c r="W4" s="8">
        <f>T4/V4</f>
        <v>2.5617732558139537</v>
      </c>
      <c r="X4" s="20">
        <v>15</v>
      </c>
      <c r="Y4" s="21">
        <f>10+7/8</f>
        <v>10.875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97.5</v>
      </c>
      <c r="AF4" s="9">
        <v>1752</v>
      </c>
      <c r="AG4" s="8">
        <f t="shared" ref="AG4:AG21" ca="1" si="2">(((Y4+LOG(I4)*4/3+N4)+(AB4+LOG(I4)*4/3+N4)*2)/8)*(Q4/7)^0.5</f>
        <v>1.709505960683229</v>
      </c>
      <c r="AH4" s="22">
        <f t="shared" ref="AH4" ca="1" si="3">(AD4+1+(LOG(I4)*4/3)+N4)*(Q4/7)^0.5</f>
        <v>3.1853068978881045</v>
      </c>
      <c r="AI4" s="22">
        <f t="shared" ref="AI4" ca="1" si="4">(AD4+1+N4+(LOG(I4)*4/3))*(IF(Q4=7, (Q4/7)^0.5, ((Q4+1)/7)^0.5))</f>
        <v>3.4893288811002394</v>
      </c>
      <c r="AJ4" s="22">
        <f t="shared" ref="AJ4" ca="1" si="5">(Z4+N4+(LOG(I4)*4/3))</f>
        <v>1.7689059483127136</v>
      </c>
      <c r="AK4" s="68">
        <f t="shared" ref="AK4" ca="1" si="6">(Z4+N4+(LOG(I4)*4/3))*(Q4/7)^0.5</f>
        <v>1.4949983884310714</v>
      </c>
      <c r="AL4" s="68">
        <f t="shared" ref="AL4" ca="1" si="7">(Z4+N4+(LOG(I4)*4/3))*(IF(Q4=7, (Q4/7)^0.5, ((Q4+1)/7)^0.5))</f>
        <v>1.6376886815551361</v>
      </c>
      <c r="AM4" s="8">
        <f t="shared" ref="AM4:AM21" ca="1" si="8">(AD4+LOG(I4)*4/3+N4)*0.7+(AC4+LOG(I4)*4/3+N4)*0.3</f>
        <v>2.7689059483127139</v>
      </c>
      <c r="AN4" s="8">
        <f t="shared" ref="AN4:AN21" ca="1" si="9">(0.5*(AC4+LOG(I4)*4/3+N4)+ 0.3*(AD4+LOG(I4)*4/3+N4))/10</f>
        <v>0.2215124758650171</v>
      </c>
      <c r="AO4" s="8">
        <f t="shared" ref="AO4:AO21" ca="1" si="10">(0.4*(Y4+LOG(I4)*4/3+N4)+0.3*(AD4+LOG(I4)*4/3+N4))/10</f>
        <v>0.58882341638189006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69430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11.008928571428571</v>
      </c>
      <c r="D5" s="122" t="s">
        <v>338</v>
      </c>
      <c r="E5" s="16">
        <v>22</v>
      </c>
      <c r="F5" s="2">
        <f ca="1">$D$2-$D$1-880+32-112-112-112-112</f>
        <v>111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6</v>
      </c>
      <c r="P5" s="19">
        <f t="shared" ref="P5:P9" si="15">O5*10+19</f>
        <v>79</v>
      </c>
      <c r="Q5" s="25">
        <v>7</v>
      </c>
      <c r="R5" s="63">
        <f t="shared" ref="R5:R9" si="16">(Q5/7)^0.5</f>
        <v>1</v>
      </c>
      <c r="S5" s="63">
        <f t="shared" ref="S5:S9" si="17">IF(Q5=7,1,((Q5+0.99)/7)^0.5)</f>
        <v>1</v>
      </c>
      <c r="T5" s="27">
        <v>3360</v>
      </c>
      <c r="U5" s="27">
        <f t="shared" si="1"/>
        <v>0</v>
      </c>
      <c r="V5" s="27">
        <v>1170</v>
      </c>
      <c r="W5" s="8">
        <f t="shared" ref="W5:W9" si="18">T5/V5</f>
        <v>2.8717948717948718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0.94806401783911909</v>
      </c>
      <c r="AH5" s="22">
        <f ca="1">(AD5+1+(LOG(I5)*4/3)+N5)*(Q5/7)^0.5</f>
        <v>3.1948373809043176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1.1948373809043173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3360</v>
      </c>
    </row>
    <row r="6" spans="1:46" x14ac:dyDescent="0.25">
      <c r="A6" s="15" t="s">
        <v>31</v>
      </c>
      <c r="B6" s="23" t="s">
        <v>241</v>
      </c>
      <c r="C6" s="69">
        <f t="shared" ca="1" si="11"/>
        <v>11.258928571428571</v>
      </c>
      <c r="D6" s="111" t="s">
        <v>349</v>
      </c>
      <c r="E6" s="1">
        <v>22</v>
      </c>
      <c r="F6" s="2">
        <f ca="1">$D$2-$D$1-1100-112-112</f>
        <v>83</v>
      </c>
      <c r="G6" s="3"/>
      <c r="H6" s="107">
        <v>5</v>
      </c>
      <c r="I6" s="5">
        <v>2.7</v>
      </c>
      <c r="J6" s="21">
        <f t="shared" ref="J6" si="20">LOG(I6)*4/3</f>
        <v>0.57515168554531648</v>
      </c>
      <c r="K6" s="6">
        <f t="shared" ref="K6" si="21">(H6)*(H6)*(I6)</f>
        <v>67.5</v>
      </c>
      <c r="L6" s="6">
        <f t="shared" ref="L6" si="22">(H6+1)*(H6+1)*I6</f>
        <v>97.2</v>
      </c>
      <c r="M6" s="72">
        <v>43395</v>
      </c>
      <c r="N6" s="73">
        <f t="shared" ca="1" si="0"/>
        <v>0.88986474799602622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79650</v>
      </c>
      <c r="U6" s="27">
        <f t="shared" si="1"/>
        <v>1820</v>
      </c>
      <c r="V6" s="7">
        <v>18250</v>
      </c>
      <c r="W6" s="8">
        <f t="shared" ref="W6" si="25">T6/V6</f>
        <v>4.3643835616438356</v>
      </c>
      <c r="X6" s="20">
        <v>0</v>
      </c>
      <c r="Y6" s="21">
        <f>14+13/16</f>
        <v>14.8125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117</v>
      </c>
      <c r="AF6" s="9">
        <v>1960</v>
      </c>
      <c r="AG6" s="8">
        <f t="shared" ca="1" si="2"/>
        <v>2.9488362313299596</v>
      </c>
      <c r="AH6" s="22">
        <f t="shared" ref="AH6" ca="1" si="26">(AD6+1+(LOG(I6)*4/3)+N6)*(Q6/7)^0.5</f>
        <v>2.6193062205435309</v>
      </c>
      <c r="AI6" s="22">
        <f t="shared" ref="AI6" ca="1" si="27">(AD6+1+N6+(LOG(I6)*4/3))*(IF(Q6=7, (Q6/7)^0.5, ((Q6+1)/7)^0.5))</f>
        <v>2.9284733815116959</v>
      </c>
      <c r="AJ6" s="22">
        <f t="shared" ref="AJ6" ca="1" si="28">(Z6+N6+(LOG(I6)*4/3))</f>
        <v>6.4650164335413427</v>
      </c>
      <c r="AK6" s="68">
        <f t="shared" ref="AK6" ca="1" si="29">(Z6+N6+(LOG(I6)*4/3))*(Q6/7)^0.5</f>
        <v>4.8870930585988939</v>
      </c>
      <c r="AL6" s="68">
        <f t="shared" ref="AL6" ca="1" si="30">(Z6+N6+(LOG(I6)*4/3))*(IF(Q6=7, (Q6/7)^0.5, ((Q6+1)/7)^0.5))</f>
        <v>5.4639361456972457</v>
      </c>
      <c r="AM6" s="8">
        <f t="shared" ca="1" si="8"/>
        <v>2.7650164335413425</v>
      </c>
      <c r="AN6" s="8">
        <f t="shared" ca="1" si="9"/>
        <v>0.24720131468330742</v>
      </c>
      <c r="AO6" s="8">
        <f t="shared" ca="1" si="10"/>
        <v>0.72505115034789402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77830</v>
      </c>
    </row>
    <row r="7" spans="1:46" x14ac:dyDescent="0.25">
      <c r="A7" s="15" t="s">
        <v>33</v>
      </c>
      <c r="B7" s="15" t="s">
        <v>241</v>
      </c>
      <c r="C7" s="69">
        <f t="shared" ca="1" si="11"/>
        <v>11.428571428571429</v>
      </c>
      <c r="D7" s="111" t="s">
        <v>353</v>
      </c>
      <c r="E7" s="16">
        <v>22</v>
      </c>
      <c r="F7" s="2">
        <f ca="1">$D$2-$D$1-1102-17-112-112</f>
        <v>64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0.85905352016121761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106400</v>
      </c>
      <c r="U7" s="27">
        <f t="shared" si="1"/>
        <v>4820</v>
      </c>
      <c r="V7" s="27">
        <v>19870</v>
      </c>
      <c r="W7" s="8">
        <f>T7/V7</f>
        <v>5.3548062405636641</v>
      </c>
      <c r="X7" s="20">
        <v>0</v>
      </c>
      <c r="Y7" s="21">
        <f>14+12/16</f>
        <v>14.75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118.5</v>
      </c>
      <c r="AF7" s="9">
        <v>2023</v>
      </c>
      <c r="AG7" s="8">
        <f t="shared" ca="1" si="2"/>
        <v>3.4887557244448546</v>
      </c>
      <c r="AH7" s="22">
        <f t="shared" ref="AH7" ca="1" si="32">(AD7+1+(LOG(I7)*4/3)+N7)*(Q7/7)^0.5</f>
        <v>2.4368495252065228</v>
      </c>
      <c r="AI7" s="22">
        <f t="shared" ref="AI7" ca="1" si="33">(AD7+1+N7+(LOG(I7)*4/3))*(IF(Q7=7, (Q7/7)^0.5, ((Q7+1)/7)^0.5))</f>
        <v>2.6320983156502975</v>
      </c>
      <c r="AJ7" s="22">
        <f t="shared" ref="AJ7" ca="1" si="34">(Z7+N7+(LOG(I7)*4/3))</f>
        <v>6.6320983156502979</v>
      </c>
      <c r="AK7" s="68">
        <f t="shared" ref="AK7" ca="1" si="35">(Z7+N7+(LOG(I7)*4/3))*(Q7/7)^0.5</f>
        <v>6.1401299242967289</v>
      </c>
      <c r="AL7" s="68">
        <f t="shared" ref="AL7" ca="1" si="36">(Z7+N7+(LOG(I7)*4/3))*(IF(Q7=7, (Q7/7)^0.5, ((Q7+1)/7)^0.5))</f>
        <v>6.6320983156502979</v>
      </c>
      <c r="AM7" s="8">
        <f t="shared" ca="1" si="8"/>
        <v>1.9320983156502975</v>
      </c>
      <c r="AN7" s="8">
        <f t="shared" ca="1" si="9"/>
        <v>0.18056786525202381</v>
      </c>
      <c r="AO7" s="8">
        <f t="shared" ca="1" si="10"/>
        <v>0.70424688209552078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101580</v>
      </c>
    </row>
    <row r="8" spans="1:46" x14ac:dyDescent="0.25">
      <c r="A8" s="15" t="s">
        <v>38</v>
      </c>
      <c r="B8" s="15" t="s">
        <v>241</v>
      </c>
      <c r="C8" s="69">
        <f t="shared" ca="1" si="11"/>
        <v>10.982142857142858</v>
      </c>
      <c r="D8" s="111" t="s">
        <v>348</v>
      </c>
      <c r="E8" s="16">
        <v>23</v>
      </c>
      <c r="F8" s="2">
        <f ca="1">$D$2-$D$1-1069-112-112-112</f>
        <v>2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2">
        <v>43383</v>
      </c>
      <c r="N8" s="73">
        <f t="shared" ca="1" si="0"/>
        <v>0.91408774693508266</v>
      </c>
      <c r="O8" s="18">
        <v>6.2</v>
      </c>
      <c r="P8" s="19">
        <f>O8*10+19</f>
        <v>81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93170</v>
      </c>
      <c r="U8" s="27">
        <f t="shared" si="1"/>
        <v>1710</v>
      </c>
      <c r="V8" s="27">
        <v>11670</v>
      </c>
      <c r="W8" s="8">
        <f>T8/V8</f>
        <v>7.9837189374464437</v>
      </c>
      <c r="X8" s="20">
        <v>0</v>
      </c>
      <c r="Y8" s="21">
        <f>12+9/11</f>
        <v>12.818181818181818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111.5</v>
      </c>
      <c r="AF8" s="9">
        <v>1910</v>
      </c>
      <c r="AG8" s="8">
        <f t="shared" ca="1" si="2"/>
        <v>4.4229533477965184</v>
      </c>
      <c r="AH8" s="22">
        <f ca="1">(AD8+1+(LOG(I8)*4/3)+N8)*(Q8/7)^0.5</f>
        <v>4.3669400967063803</v>
      </c>
      <c r="AI8" s="22">
        <f ca="1">(AD8+1+N8+(LOG(I8)*4/3))*(IF(Q8=7, (Q8/7)^0.5, ((Q8+1)/7)^0.5))</f>
        <v>4.7168344020390327</v>
      </c>
      <c r="AJ8" s="22">
        <f ca="1">(Z8+N8+(LOG(I8)*4/3))</f>
        <v>4.7168344020390327</v>
      </c>
      <c r="AK8" s="68">
        <f ca="1">(Z8+N8+(LOG(I8)*4/3))*(Q8/7)^0.5</f>
        <v>4.3669400967063803</v>
      </c>
      <c r="AL8" s="68">
        <f ca="1">(Z8+N8+(LOG(I8)*4/3))*(IF(Q8=7, (Q8/7)^0.5, ((Q8+1)/7)^0.5))</f>
        <v>4.7168344020390327</v>
      </c>
      <c r="AM8" s="8">
        <f t="shared" ca="1" si="8"/>
        <v>4.0168344020390325</v>
      </c>
      <c r="AN8" s="8">
        <f t="shared" ca="1" si="9"/>
        <v>0.34734675216312261</v>
      </c>
      <c r="AO8" s="8">
        <f t="shared" ca="1" si="10"/>
        <v>0.69290568087000515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91460</v>
      </c>
    </row>
    <row r="9" spans="1:46" x14ac:dyDescent="0.25">
      <c r="A9" s="15" t="s">
        <v>31</v>
      </c>
      <c r="B9" s="15" t="s">
        <v>241</v>
      </c>
      <c r="C9" s="69">
        <f t="shared" ca="1" si="11"/>
        <v>11.116071428571429</v>
      </c>
      <c r="D9" s="111" t="s">
        <v>357</v>
      </c>
      <c r="E9" s="1">
        <v>22</v>
      </c>
      <c r="F9" s="2">
        <f ca="1">$D$2-$D$1-880+55-112-112-14-21-112-112</f>
        <v>99</v>
      </c>
      <c r="G9" s="3"/>
      <c r="H9" s="4">
        <v>4</v>
      </c>
      <c r="I9" s="5">
        <v>4.7</v>
      </c>
      <c r="J9" s="21">
        <f t="shared" si="12"/>
        <v>0.8961304772476234</v>
      </c>
      <c r="K9" s="6">
        <f t="shared" si="13"/>
        <v>75.2</v>
      </c>
      <c r="L9" s="6">
        <f t="shared" si="14"/>
        <v>117.5</v>
      </c>
      <c r="M9" s="72">
        <v>43419</v>
      </c>
      <c r="N9" s="73">
        <f t="shared" ca="1" si="0"/>
        <v>0.84026532165091627</v>
      </c>
      <c r="O9" s="24">
        <v>6.5</v>
      </c>
      <c r="P9" s="19">
        <f t="shared" si="15"/>
        <v>84</v>
      </c>
      <c r="Q9" s="25">
        <v>6</v>
      </c>
      <c r="R9" s="63">
        <f t="shared" si="16"/>
        <v>0.92582009977255142</v>
      </c>
      <c r="S9" s="63">
        <f t="shared" si="17"/>
        <v>0.99928545900129484</v>
      </c>
      <c r="T9" s="27">
        <v>90700</v>
      </c>
      <c r="U9" s="27">
        <f t="shared" si="1"/>
        <v>-290</v>
      </c>
      <c r="V9" s="7">
        <v>6250</v>
      </c>
      <c r="W9" s="8">
        <f t="shared" si="18"/>
        <v>14.512</v>
      </c>
      <c r="X9" s="20">
        <v>0</v>
      </c>
      <c r="Y9" s="21">
        <f>10+7/9</f>
        <v>10.777777777777779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116.5</v>
      </c>
      <c r="AF9" s="9">
        <v>2011</v>
      </c>
      <c r="AG9" s="8">
        <f t="shared" ca="1" si="2"/>
        <v>3.9662919396629541</v>
      </c>
      <c r="AH9" s="22">
        <f ca="1">(AD9+1+(LOG(I9)*4/3)+N9)*(Q9/7)^0.5</f>
        <v>3.4592303313259878</v>
      </c>
      <c r="AI9" s="22">
        <f ca="1">(AD9+1+N9+(LOG(I9)*4/3))*(IF(Q9=7, (Q9/7)^0.5, ((Q9+1)/7)^0.5))</f>
        <v>3.7363957988985397</v>
      </c>
      <c r="AJ9" s="22">
        <f ca="1">(Z9+N9+(LOG(I9)*4/3))</f>
        <v>12.73639579889854</v>
      </c>
      <c r="AK9" s="68">
        <f ca="1">(Z9+N9+(LOG(I9)*4/3))*(Q9/7)^0.5</f>
        <v>11.791611229278951</v>
      </c>
      <c r="AL9" s="68">
        <f ca="1">(Z9+N9+(LOG(I9)*4/3))*(IF(Q9=7, (Q9/7)^0.5, ((Q9+1)/7)^0.5))</f>
        <v>12.73639579889854</v>
      </c>
      <c r="AM9" s="8">
        <f t="shared" ca="1" si="8"/>
        <v>3.6363957988985396</v>
      </c>
      <c r="AN9" s="8">
        <f t="shared" ca="1" si="9"/>
        <v>0.36891166391188313</v>
      </c>
      <c r="AO9" s="8">
        <f t="shared" ca="1" si="10"/>
        <v>0.58265881703400901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90990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11.330357142857142</v>
      </c>
      <c r="D10" s="122" t="s">
        <v>194</v>
      </c>
      <c r="E10" s="1">
        <v>22</v>
      </c>
      <c r="F10" s="2">
        <f ca="1">$D$2-$D$1-880-4-112-112-112-112</f>
        <v>75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3330</v>
      </c>
      <c r="U10" s="27">
        <f t="shared" si="1"/>
        <v>-30</v>
      </c>
      <c r="V10" s="7">
        <v>450</v>
      </c>
      <c r="W10" s="8">
        <f>T10/V10</f>
        <v>7.4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3360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11.294642857142858</v>
      </c>
      <c r="D11" s="111" t="s">
        <v>249</v>
      </c>
      <c r="E11" s="1">
        <v>22</v>
      </c>
      <c r="F11" s="2">
        <f ca="1">$D$2-$D$1-880-112-112-112-112</f>
        <v>79</v>
      </c>
      <c r="G11" s="3" t="s">
        <v>192</v>
      </c>
      <c r="H11" s="107">
        <v>5</v>
      </c>
      <c r="I11" s="5">
        <v>4.4000000000000004</v>
      </c>
      <c r="J11" s="21">
        <f t="shared" ref="J11:J13" si="37">LOG(I11)*4/3</f>
        <v>0.85793690198158323</v>
      </c>
      <c r="K11" s="6">
        <f t="shared" ref="K11:K13" si="38">(H11)*(H11)*(I11)</f>
        <v>110.00000000000001</v>
      </c>
      <c r="L11" s="6">
        <f t="shared" ref="L11:L13" si="39">(H11+1)*(H11+1)*I11</f>
        <v>158.4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112270</v>
      </c>
      <c r="U11" s="27">
        <f t="shared" si="1"/>
        <v>2820</v>
      </c>
      <c r="V11" s="7">
        <v>8650</v>
      </c>
      <c r="W11" s="8">
        <f t="shared" ref="W11:W13" si="44">T11/V11</f>
        <v>12.979190751445087</v>
      </c>
      <c r="X11" s="20">
        <v>0</v>
      </c>
      <c r="Y11" s="21">
        <f>12+1/10</f>
        <v>12.1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126.5</v>
      </c>
      <c r="AF11" s="9">
        <v>2057</v>
      </c>
      <c r="AG11" s="8">
        <f t="shared" ca="1" si="2"/>
        <v>3.3342263382430937</v>
      </c>
      <c r="AH11" s="22">
        <f t="shared" ref="AH11:AH13" ca="1" si="45">(AD11+1+(LOG(I11)*4/3)+N11)*(Q11/7)^0.5</f>
        <v>5.8579369019815832</v>
      </c>
      <c r="AI11" s="22">
        <f t="shared" ref="AI11:AI13" ca="1" si="46">(AD11+1+N11+(LOG(I11)*4/3))*(IF(Q11=7, (Q11/7)^0.5, ((Q11+1)/7)^0.5))</f>
        <v>5.8579369019815832</v>
      </c>
      <c r="AJ11" s="22">
        <f t="shared" ref="AJ11:AJ13" ca="1" si="47">(Z11+N11+(LOG(I11)*4/3))</f>
        <v>5.8579369019815832</v>
      </c>
      <c r="AK11" s="68">
        <f t="shared" ref="AK11:AK13" ca="1" si="48">(Z11+N11+(LOG(I11)*4/3))*(Q11/7)^0.5</f>
        <v>5.8579369019815832</v>
      </c>
      <c r="AL11" s="68">
        <f t="shared" ref="AL11:AL13" ca="1" si="49">(Z11+N11+(LOG(I11)*4/3))*(IF(Q11=7, (Q11/7)^0.5, ((Q11+1)/7)^0.5))</f>
        <v>5.8579369019815832</v>
      </c>
      <c r="AM11" s="8">
        <f t="shared" ca="1" si="8"/>
        <v>6.0579369019815825</v>
      </c>
      <c r="AN11" s="8">
        <f t="shared" ca="1" si="9"/>
        <v>0.58863495215852668</v>
      </c>
      <c r="AO11" s="8">
        <f t="shared" ca="1" si="10"/>
        <v>0.70405558313871086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109450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11.642857142857142</v>
      </c>
      <c r="D12" s="111" t="s">
        <v>248</v>
      </c>
      <c r="E12" s="1">
        <v>22</v>
      </c>
      <c r="F12" s="2">
        <f ca="1">$D$2-$D$1-1367</f>
        <v>40</v>
      </c>
      <c r="G12" s="3" t="s">
        <v>44</v>
      </c>
      <c r="H12" s="4">
        <v>3</v>
      </c>
      <c r="I12" s="5">
        <v>4.5</v>
      </c>
      <c r="J12" s="21">
        <f t="shared" si="37"/>
        <v>0.87095001836712493</v>
      </c>
      <c r="K12" s="6">
        <f t="shared" si="38"/>
        <v>40.5</v>
      </c>
      <c r="L12" s="6">
        <f t="shared" si="39"/>
        <v>72</v>
      </c>
      <c r="M12" s="72">
        <v>43122</v>
      </c>
      <c r="N12" s="73">
        <f t="shared" ca="1" si="40"/>
        <v>1</v>
      </c>
      <c r="O12" s="24">
        <v>6</v>
      </c>
      <c r="P12" s="19">
        <f t="shared" si="41"/>
        <v>79</v>
      </c>
      <c r="Q12" s="25">
        <v>6</v>
      </c>
      <c r="R12" s="63">
        <f t="shared" si="42"/>
        <v>0.92582009977255142</v>
      </c>
      <c r="S12" s="63">
        <f t="shared" si="43"/>
        <v>0.99928545900129484</v>
      </c>
      <c r="T12" s="27">
        <v>111730</v>
      </c>
      <c r="U12" s="27">
        <f t="shared" si="1"/>
        <v>4600</v>
      </c>
      <c r="V12" s="7">
        <v>9290</v>
      </c>
      <c r="W12" s="8">
        <f t="shared" si="44"/>
        <v>12.026910656620021</v>
      </c>
      <c r="X12" s="20">
        <v>0</v>
      </c>
      <c r="Y12" s="21">
        <f>11+2/9</f>
        <v>11.222222222222221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122.5</v>
      </c>
      <c r="AF12" s="9">
        <v>2156</v>
      </c>
      <c r="AG12" s="8">
        <f t="shared" ca="1" si="2"/>
        <v>3.6263299677714804</v>
      </c>
      <c r="AH12" s="22">
        <f t="shared" ca="1" si="45"/>
        <v>5.4354435317643146</v>
      </c>
      <c r="AI12" s="22">
        <f t="shared" ca="1" si="46"/>
        <v>5.8709500183671253</v>
      </c>
      <c r="AJ12" s="22">
        <f t="shared" ca="1" si="47"/>
        <v>4.8709500183671253</v>
      </c>
      <c r="AK12" s="68">
        <f t="shared" ca="1" si="48"/>
        <v>4.5096234319917627</v>
      </c>
      <c r="AL12" s="68">
        <f t="shared" ca="1" si="49"/>
        <v>4.8709500183671253</v>
      </c>
      <c r="AM12" s="8">
        <f t="shared" ca="1" si="8"/>
        <v>6.0709500183671246</v>
      </c>
      <c r="AN12" s="8">
        <f t="shared" ca="1" si="9"/>
        <v>0.58967600146937005</v>
      </c>
      <c r="AO12" s="8">
        <f t="shared" ca="1" si="10"/>
        <v>0.66985539017458762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107130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11.294642857142858</v>
      </c>
      <c r="D13" s="111" t="s">
        <v>195</v>
      </c>
      <c r="E13" s="16">
        <v>22</v>
      </c>
      <c r="F13" s="2">
        <f ca="1">$D$2-$D$1-880-112-112-112-112</f>
        <v>79</v>
      </c>
      <c r="G13" s="17" t="s">
        <v>192</v>
      </c>
      <c r="H13" s="35">
        <v>6</v>
      </c>
      <c r="I13" s="26">
        <v>4.4000000000000004</v>
      </c>
      <c r="J13" s="21">
        <f t="shared" si="37"/>
        <v>0.85793690198158323</v>
      </c>
      <c r="K13" s="6">
        <f t="shared" si="38"/>
        <v>158.4</v>
      </c>
      <c r="L13" s="6">
        <f t="shared" si="39"/>
        <v>215.60000000000002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72320</v>
      </c>
      <c r="U13" s="27">
        <f t="shared" si="1"/>
        <v>520</v>
      </c>
      <c r="V13" s="27">
        <v>5690</v>
      </c>
      <c r="W13" s="8">
        <f t="shared" si="44"/>
        <v>12.710017574692444</v>
      </c>
      <c r="X13" s="20">
        <v>0</v>
      </c>
      <c r="Y13" s="21">
        <f>10+6/7</f>
        <v>10.857142857142858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109.5</v>
      </c>
      <c r="AF13" s="9">
        <v>1961</v>
      </c>
      <c r="AG13" s="8">
        <f t="shared" ca="1" si="2"/>
        <v>3.0458253839654725</v>
      </c>
      <c r="AH13" s="22">
        <f t="shared" ca="1" si="45"/>
        <v>4.9508602966409203</v>
      </c>
      <c r="AI13" s="22">
        <f t="shared" ca="1" si="46"/>
        <v>5.4233957270538999</v>
      </c>
      <c r="AJ13" s="22">
        <f t="shared" ca="1" si="47"/>
        <v>4.8579369019815832</v>
      </c>
      <c r="AK13" s="68">
        <f t="shared" ca="1" si="48"/>
        <v>4.1057060419124038</v>
      </c>
      <c r="AL13" s="68">
        <f t="shared" ca="1" si="49"/>
        <v>4.497575627281349</v>
      </c>
      <c r="AM13" s="8">
        <f t="shared" ca="1" si="8"/>
        <v>6.1329369019815836</v>
      </c>
      <c r="AN13" s="8">
        <f t="shared" ca="1" si="9"/>
        <v>0.60113495215852664</v>
      </c>
      <c r="AO13" s="8">
        <f t="shared" ca="1" si="10"/>
        <v>0.65434129742442515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71800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11.330357142857142</v>
      </c>
      <c r="D14" s="111" t="s">
        <v>190</v>
      </c>
      <c r="E14" s="16">
        <v>22</v>
      </c>
      <c r="F14" s="2">
        <f ca="1">$D$2-$D$1-880-4-112-112-112-112</f>
        <v>75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108960</v>
      </c>
      <c r="U14" s="27">
        <f t="shared" si="1"/>
        <v>6740</v>
      </c>
      <c r="V14" s="27">
        <v>13450</v>
      </c>
      <c r="W14" s="8">
        <f>T14/V14</f>
        <v>8.1011152416356875</v>
      </c>
      <c r="X14" s="20">
        <v>0</v>
      </c>
      <c r="Y14" s="21">
        <f>9+3/7</f>
        <v>9.4285714285714288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123</v>
      </c>
      <c r="AF14" s="9">
        <v>2078</v>
      </c>
      <c r="AG14" s="8">
        <f t="shared" si="2"/>
        <v>3.3705003179347903</v>
      </c>
      <c r="AH14" s="22">
        <f>(AD14+1+(LOG(I14)*4/3)+N14)*(Q14/7)^0.5</f>
        <v>7.8064780538306611</v>
      </c>
      <c r="AI14" s="22">
        <f>(AD14+1+N14+(LOG(I14)*4/3))*(IF(Q14=7, (Q14/7)^0.5, ((Q14+1)/7)^0.5))</f>
        <v>8.4319600057813577</v>
      </c>
      <c r="AJ14" s="22">
        <f>(Z14+N14+(LOG(I14)*4/3))</f>
        <v>8.1319600057813588</v>
      </c>
      <c r="AK14" s="68">
        <f>(Z14+N14+(LOG(I14)*4/3))*(Q14/7)^0.5</f>
        <v>7.5287320238988951</v>
      </c>
      <c r="AL14" s="68">
        <f>(Z14+N14+(LOG(I14)*4/3))*(IF(Q14=7, (Q14/7)^0.5, ((Q14+1)/7)^0.5))</f>
        <v>8.1319600057813588</v>
      </c>
      <c r="AM14" s="8">
        <f t="shared" si="8"/>
        <v>8.1819600057813577</v>
      </c>
      <c r="AN14" s="8">
        <f t="shared" si="9"/>
        <v>0.71955680046250858</v>
      </c>
      <c r="AO14" s="8">
        <f t="shared" si="10"/>
        <v>0.69738005754755217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102220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11.330357142857142</v>
      </c>
      <c r="D15" s="111" t="s">
        <v>246</v>
      </c>
      <c r="E15" s="16">
        <v>22</v>
      </c>
      <c r="F15" s="2">
        <f ca="1">$D$2-$D$1-880-4-112-112-112-112</f>
        <v>75</v>
      </c>
      <c r="G15" s="17" t="s">
        <v>192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87710</v>
      </c>
      <c r="U15" s="27">
        <f t="shared" si="1"/>
        <v>2150</v>
      </c>
      <c r="V15" s="27">
        <v>9050</v>
      </c>
      <c r="W15" s="8">
        <f>T15/V15</f>
        <v>9.6917127071823206</v>
      </c>
      <c r="X15" s="20">
        <v>0</v>
      </c>
      <c r="Y15" s="21">
        <f>9+6/7</f>
        <v>9.8571428571428577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112.88</v>
      </c>
      <c r="AF15" s="9">
        <v>1975</v>
      </c>
      <c r="AG15" s="8">
        <f t="shared" ca="1" si="2"/>
        <v>2.7352378632367031</v>
      </c>
      <c r="AH15" s="22">
        <f ca="1">(AD15+1+(LOG(I15)*4/3)+N15)*(Q15/7)^0.5</f>
        <v>4.9396093542684358</v>
      </c>
      <c r="AI15" s="22">
        <f ca="1">(AD15+1+N15+(LOG(I15)*4/3))*(IF(Q15=7, (Q15/7)^0.5, ((Q15+1)/7)^0.5))</f>
        <v>5.411070937192699</v>
      </c>
      <c r="AJ15" s="22">
        <f ca="1">(Z15+N15+(LOG(I15)*4/3))</f>
        <v>6.8446246074394486</v>
      </c>
      <c r="AK15" s="68">
        <f ca="1">(Z15+N15+(LOG(I15)*4/3))*(Q15/7)^0.5</f>
        <v>5.7847636089969523</v>
      </c>
      <c r="AL15" s="68">
        <f ca="1">(Z15+N15+(LOG(I15)*4/3))*(IF(Q15=7, (Q15/7)^0.5, ((Q15+1)/7)^0.5))</f>
        <v>6.3368910369652509</v>
      </c>
      <c r="AM15" s="8">
        <f t="shared" ca="1" si="8"/>
        <v>6.2851246074394487</v>
      </c>
      <c r="AN15" s="8">
        <f t="shared" ca="1" si="9"/>
        <v>0.62765330192848934</v>
      </c>
      <c r="AO15" s="8">
        <f t="shared" ca="1" si="10"/>
        <v>0.61340943680647575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85560</v>
      </c>
    </row>
    <row r="16" spans="1:46" x14ac:dyDescent="0.25">
      <c r="A16" s="15" t="s">
        <v>39</v>
      </c>
      <c r="B16" s="15" t="s">
        <v>75</v>
      </c>
      <c r="C16" s="69">
        <f t="shared" ca="1" si="11"/>
        <v>3.6071428571428572</v>
      </c>
      <c r="D16" s="122" t="s">
        <v>369</v>
      </c>
      <c r="E16" s="16">
        <v>30</v>
      </c>
      <c r="F16" s="2">
        <f ca="1">$D$2-$D$1-880+25-112-112-60-112-112</f>
        <v>44</v>
      </c>
      <c r="G16" s="17" t="s">
        <v>101</v>
      </c>
      <c r="H16" s="4">
        <v>1</v>
      </c>
      <c r="I16" s="26">
        <v>7.3</v>
      </c>
      <c r="J16" s="21">
        <f t="shared" ref="J16:J21" si="51">LOG(I16)*4/3</f>
        <v>1.1510971468272746</v>
      </c>
      <c r="K16" s="6">
        <f t="shared" ref="K16:K17" si="52">(H16)*(H16)*(I16)</f>
        <v>7.3</v>
      </c>
      <c r="L16" s="6">
        <f t="shared" ref="L16:L17" si="53">(H16+1)*(H16+1)*I16</f>
        <v>29.2</v>
      </c>
      <c r="M16" s="72">
        <v>43591</v>
      </c>
      <c r="N16" s="73">
        <f t="shared" ca="1" si="40"/>
        <v>0.4117955086337865</v>
      </c>
      <c r="O16" s="18">
        <v>5.6</v>
      </c>
      <c r="P16" s="19">
        <f t="shared" ref="P16:P21" si="54">O16*10+19</f>
        <v>75</v>
      </c>
      <c r="Q16" s="25">
        <v>7</v>
      </c>
      <c r="R16" s="63">
        <f t="shared" ref="R16:R21" si="55">(Q16/7)^0.5</f>
        <v>1</v>
      </c>
      <c r="S16" s="63">
        <f t="shared" ref="S16:S21" si="56">IF(Q16=7,1,((Q16+0.99)/7)^0.5)</f>
        <v>1</v>
      </c>
      <c r="T16" s="27">
        <v>74070</v>
      </c>
      <c r="U16" s="27">
        <f t="shared" si="1"/>
        <v>-60</v>
      </c>
      <c r="V16" s="27">
        <v>17100</v>
      </c>
      <c r="W16" s="8">
        <f t="shared" ref="W16:W21" si="57">T16/V16</f>
        <v>4.3315789473684214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3.5106879204010726</v>
      </c>
      <c r="AH16" s="22">
        <f t="shared" ref="AH16:AH17" ca="1" si="58">(AD16+1+(LOG(I16)*4/3)+N16)*(Q16/7)^0.5</f>
        <v>19.562892655461063</v>
      </c>
      <c r="AI16" s="22">
        <f t="shared" ref="AI16:AI17" ca="1" si="59">(AD16+1+N16+(LOG(I16)*4/3))*(IF(Q16=7, (Q16/7)^0.5, ((Q16+1)/7)^0.5))</f>
        <v>19.562892655461063</v>
      </c>
      <c r="AJ16" s="22">
        <f t="shared" ref="AJ16:AJ17" ca="1" si="60">(Z16+N16+(LOG(I16)*4/3))</f>
        <v>14.562892655461061</v>
      </c>
      <c r="AK16" s="68">
        <f t="shared" ref="AK16:AK17" ca="1" si="61">(Z16+N16+(LOG(I16)*4/3))*(Q16/7)^0.5</f>
        <v>14.562892655461061</v>
      </c>
      <c r="AL16" s="68">
        <f t="shared" ref="AL16:AL17" ca="1" si="62">(Z16+N16+(LOG(I16)*4/3))*(IF(Q16=7, (Q16/7)^0.5, ((Q16+1)/7)^0.5))</f>
        <v>14.562892655461061</v>
      </c>
      <c r="AM16" s="8">
        <f t="shared" ca="1" si="8"/>
        <v>15.562892655461063</v>
      </c>
      <c r="AN16" s="8">
        <f t="shared" ca="1" si="9"/>
        <v>0.98503141243688508</v>
      </c>
      <c r="AO16" s="8">
        <f t="shared" ca="1" si="10"/>
        <v>0.98384693032671888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74130</v>
      </c>
    </row>
    <row r="17" spans="1:46" x14ac:dyDescent="0.25">
      <c r="A17" s="15" t="s">
        <v>240</v>
      </c>
      <c r="B17" s="23" t="s">
        <v>75</v>
      </c>
      <c r="C17" s="69">
        <f t="shared" ca="1" si="11"/>
        <v>2.5625</v>
      </c>
      <c r="D17" s="122" t="s">
        <v>355</v>
      </c>
      <c r="E17" s="1">
        <v>31</v>
      </c>
      <c r="F17" s="2">
        <f ca="1">$D$2-$D$1-880+25-112-112-55-112-112</f>
        <v>49</v>
      </c>
      <c r="G17" s="3" t="s">
        <v>192</v>
      </c>
      <c r="H17" s="107">
        <v>5</v>
      </c>
      <c r="I17" s="5">
        <v>5</v>
      </c>
      <c r="J17" s="21">
        <f t="shared" si="51"/>
        <v>0.93196000578135851</v>
      </c>
      <c r="K17" s="6">
        <f t="shared" si="52"/>
        <v>125</v>
      </c>
      <c r="L17" s="6">
        <f t="shared" si="53"/>
        <v>180</v>
      </c>
      <c r="M17" s="72">
        <v>43415</v>
      </c>
      <c r="N17" s="73">
        <f t="shared" ca="1" si="40"/>
        <v>0.84864450827469529</v>
      </c>
      <c r="O17" s="24">
        <v>5.5</v>
      </c>
      <c r="P17" s="19">
        <f t="shared" si="54"/>
        <v>74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12490</v>
      </c>
      <c r="U17" s="27">
        <f t="shared" si="1"/>
        <v>-250</v>
      </c>
      <c r="V17" s="7">
        <v>5892</v>
      </c>
      <c r="W17" s="8">
        <f t="shared" si="57"/>
        <v>2.1198234894772572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2.2480239272966576</v>
      </c>
      <c r="AH17" s="22">
        <f t="shared" ca="1" si="58"/>
        <v>13.684180745901999</v>
      </c>
      <c r="AI17" s="22">
        <f t="shared" ca="1" si="59"/>
        <v>14.780604514056053</v>
      </c>
      <c r="AJ17" s="22">
        <f t="shared" ca="1" si="60"/>
        <v>12.780604514056053</v>
      </c>
      <c r="AK17" s="68">
        <f t="shared" ca="1" si="61"/>
        <v>11.832540546356896</v>
      </c>
      <c r="AL17" s="68">
        <f t="shared" ca="1" si="62"/>
        <v>12.780604514056053</v>
      </c>
      <c r="AM17" s="8">
        <f t="shared" ca="1" si="8"/>
        <v>11.680604514056053</v>
      </c>
      <c r="AN17" s="8">
        <f t="shared" ca="1" si="9"/>
        <v>0.75244836112448432</v>
      </c>
      <c r="AO17" s="8">
        <f t="shared" ca="1" si="10"/>
        <v>0.7246423159839237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12740</v>
      </c>
    </row>
    <row r="18" spans="1:46" x14ac:dyDescent="0.25">
      <c r="A18" s="15" t="s">
        <v>189</v>
      </c>
      <c r="B18" s="15" t="s">
        <v>75</v>
      </c>
      <c r="C18" s="69">
        <f t="shared" ca="1" si="11"/>
        <v>10.964285714285714</v>
      </c>
      <c r="D18" s="122" t="s">
        <v>191</v>
      </c>
      <c r="E18" s="16">
        <v>23</v>
      </c>
      <c r="F18" s="2">
        <f ca="1">$D$2-$D$1-880+37-112-112-112-112-112</f>
        <v>4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4190</v>
      </c>
      <c r="U18" s="27">
        <f t="shared" si="1"/>
        <v>220</v>
      </c>
      <c r="V18" s="27">
        <v>450</v>
      </c>
      <c r="W18" s="8">
        <f>T18/V18</f>
        <v>9.3111111111111118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3970</v>
      </c>
    </row>
    <row r="19" spans="1:46" x14ac:dyDescent="0.25">
      <c r="A19" s="15" t="s">
        <v>340</v>
      </c>
      <c r="B19" s="15" t="s">
        <v>43</v>
      </c>
      <c r="C19" s="69">
        <f t="shared" ca="1" si="11"/>
        <v>2.6339285714285716</v>
      </c>
      <c r="D19" s="122" t="s">
        <v>362</v>
      </c>
      <c r="E19" s="16">
        <v>31</v>
      </c>
      <c r="F19" s="2">
        <f ca="1">$D$2-$D$1-880+25-112-3-112-60-112-112</f>
        <v>41</v>
      </c>
      <c r="G19" s="17" t="s">
        <v>44</v>
      </c>
      <c r="H19" s="4">
        <v>2</v>
      </c>
      <c r="I19" s="26">
        <v>6.7</v>
      </c>
      <c r="J19" s="21">
        <f>LOG(I19)*4/3</f>
        <v>1.1014330702677686</v>
      </c>
      <c r="K19" s="6">
        <f>(H19)*(H19)*(I19)</f>
        <v>26.8</v>
      </c>
      <c r="L19" s="6">
        <f>(H19+1)*(H19+1)*I19</f>
        <v>60.300000000000004</v>
      </c>
      <c r="M19" s="72">
        <v>43420</v>
      </c>
      <c r="N19" s="73">
        <f ca="1">IF((TODAY()-M19)&gt;335,1,((TODAY()-M19)^0.64)/(336^0.64))</f>
        <v>0.83816317869628709</v>
      </c>
      <c r="O19" s="18">
        <v>5.4</v>
      </c>
      <c r="P19" s="19">
        <f>O19*10+19</f>
        <v>73</v>
      </c>
      <c r="Q19" s="25">
        <v>6</v>
      </c>
      <c r="R19" s="63">
        <f>(Q19/7)^0.5</f>
        <v>0.92582009977255142</v>
      </c>
      <c r="S19" s="63">
        <f>IF(Q19=7,1,((Q19+0.99)/7)^0.5)</f>
        <v>0.99928545900129484</v>
      </c>
      <c r="T19" s="27">
        <v>9550</v>
      </c>
      <c r="U19" s="27">
        <f t="shared" si="1"/>
        <v>-600</v>
      </c>
      <c r="V19" s="27">
        <v>3072</v>
      </c>
      <c r="W19" s="8">
        <f>T19/V19</f>
        <v>3.1087239583333335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2.9185076892238255</v>
      </c>
      <c r="AH19" s="22">
        <f ca="1">(AD19+1+(LOG(I19)*4/3)+N19)*(Q19/7)^0.5</f>
        <v>15.683018689322639</v>
      </c>
      <c r="AI19" s="22">
        <f ca="1">(AD19+1+N19+(LOG(I19)*4/3))*(IF(Q19=7, (Q19/7)^0.5, ((Q19+1)/7)^0.5))</f>
        <v>16.939596248964058</v>
      </c>
      <c r="AJ19" s="22">
        <f ca="1">(Z19+N19+(LOG(I19)*4/3))</f>
        <v>3.9395962489640555</v>
      </c>
      <c r="AK19" s="68">
        <f ca="1">(Z19+N19+(LOG(I19)*4/3))*(Q19/7)^0.5</f>
        <v>3.6473573922794711</v>
      </c>
      <c r="AL19" s="68">
        <f ca="1">(Z19+N19+(LOG(I19)*4/3))*(IF(Q19=7, (Q19/7)^0.5, ((Q19+1)/7)^0.5))</f>
        <v>3.9395962489640555</v>
      </c>
      <c r="AM19" s="8">
        <f t="shared" ca="1" si="8"/>
        <v>14.739596248964055</v>
      </c>
      <c r="AN19" s="8">
        <f t="shared" ca="1" si="9"/>
        <v>1.0751676999171245</v>
      </c>
      <c r="AO19" s="8">
        <f t="shared" ca="1" si="10"/>
        <v>0.75577173742748394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10150</v>
      </c>
    </row>
    <row r="20" spans="1:46" x14ac:dyDescent="0.25">
      <c r="A20" s="15" t="s">
        <v>347</v>
      </c>
      <c r="B20" s="15" t="s">
        <v>43</v>
      </c>
      <c r="C20" s="69">
        <f t="shared" ca="1" si="11"/>
        <v>2.2946428571428572</v>
      </c>
      <c r="D20" s="122" t="s">
        <v>356</v>
      </c>
      <c r="E20" s="16">
        <v>31</v>
      </c>
      <c r="F20" s="2">
        <f ca="1">$D$2-$D$1-880+56-112-112+41-112+15-112-112</f>
        <v>79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0.8444607609722582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443">
        <v>11220</v>
      </c>
      <c r="U20" s="27">
        <f t="shared" si="1"/>
        <v>1460</v>
      </c>
      <c r="V20" s="27">
        <v>1812</v>
      </c>
      <c r="W20" s="8">
        <f>T20/V20</f>
        <v>6.1920529801324502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3.4695483660270363</v>
      </c>
      <c r="AH20" s="22">
        <f ca="1">(AD20+1+(LOG(I20)*4/3)+N20)*(Q20/7)^0.5</f>
        <v>14.738470308057586</v>
      </c>
      <c r="AI20" s="22">
        <f ca="1">(AD20+1+N20+(LOG(I20)*4/3))*(IF(Q20=7, (Q20/7)^0.5, ((Q20+1)/7)^0.5))</f>
        <v>15.919367392950774</v>
      </c>
      <c r="AJ20" s="22">
        <f ca="1">(Z20+N20+(LOG(I20)*4/3))</f>
        <v>3.9193673929507744</v>
      </c>
      <c r="AK20" s="68">
        <f ca="1">(Z20+N20+(LOG(I20)*4/3))*(Q20/7)^0.5</f>
        <v>3.6286291107869708</v>
      </c>
      <c r="AL20" s="68">
        <f ca="1">(Z20+N20+(LOG(I20)*4/3))*(IF(Q20=7, (Q20/7)^0.5, ((Q20+1)/7)^0.5))</f>
        <v>3.9193673929507744</v>
      </c>
      <c r="AM20" s="8">
        <f t="shared" ca="1" si="8"/>
        <v>13.704367392950772</v>
      </c>
      <c r="AN20" s="8">
        <f t="shared" ca="1" si="9"/>
        <v>0.99104939143606186</v>
      </c>
      <c r="AO20" s="8">
        <f t="shared" ca="1" si="10"/>
        <v>0.76435571750655418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443">
        <v>9760</v>
      </c>
    </row>
    <row r="21" spans="1:46" x14ac:dyDescent="0.25">
      <c r="A21" s="15" t="s">
        <v>352</v>
      </c>
      <c r="B21" s="15" t="s">
        <v>43</v>
      </c>
      <c r="C21" s="69">
        <f t="shared" ca="1" si="11"/>
        <v>3.5178571428571428</v>
      </c>
      <c r="D21" s="122" t="s">
        <v>370</v>
      </c>
      <c r="E21" s="16">
        <v>30</v>
      </c>
      <c r="F21" s="2">
        <f ca="1">$D$2-$D$1-1100+25-112-166</f>
        <v>54</v>
      </c>
      <c r="G21" s="17" t="s">
        <v>0</v>
      </c>
      <c r="H21" s="4">
        <v>3</v>
      </c>
      <c r="I21" s="26">
        <v>6</v>
      </c>
      <c r="J21" s="21">
        <f t="shared" si="51"/>
        <v>1.0375350005115249</v>
      </c>
      <c r="K21" s="6">
        <f t="shared" ref="K21" si="64">(H21)*(H21)*(I21)</f>
        <v>54</v>
      </c>
      <c r="L21" s="6">
        <f t="shared" ref="L21" si="65">(H21+1)*(H21+1)*I21</f>
        <v>96</v>
      </c>
      <c r="M21" s="72">
        <v>43590</v>
      </c>
      <c r="N21" s="73">
        <f ca="1">IF((TODAY()-M21)&gt;335,1,((TODAY()-M21)^0.64)/(336^0.64))</f>
        <v>0.41492631106246303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40870</v>
      </c>
      <c r="U21" s="27">
        <f t="shared" si="1"/>
        <v>30</v>
      </c>
      <c r="V21" s="27">
        <v>8436</v>
      </c>
      <c r="W21" s="8">
        <f t="shared" si="57"/>
        <v>4.8447131341868186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3.4553872775545309</v>
      </c>
      <c r="AH21" s="22">
        <f t="shared" ref="AH21" ca="1" si="66">(AD21+1+(LOG(I21)*4/3)+N21)*(Q21/7)^0.5</f>
        <v>2.4524613115739884</v>
      </c>
      <c r="AI21" s="22">
        <f t="shared" ref="AI21" ca="1" si="67">(AD21+1+N21+(LOG(I21)*4/3))*(IF(Q21=7, (Q21/7)^0.5, ((Q21+1)/7)^0.5))</f>
        <v>2.4524613115739879</v>
      </c>
      <c r="AJ21" s="22">
        <f t="shared" ref="AJ21" ca="1" si="68">(Z21+N21+(LOG(I21)*4/3))</f>
        <v>7.4524613115739884</v>
      </c>
      <c r="AK21" s="68">
        <f t="shared" ref="AK21" ca="1" si="69">(Z21+N21+(LOG(I21)*4/3))*(Q21/7)^0.5</f>
        <v>7.4524613115739884</v>
      </c>
      <c r="AL21" s="68">
        <f t="shared" ref="AL21" ca="1" si="70">(Z21+N21+(LOG(I21)*4/3))*(IF(Q21=7, (Q21/7)^0.5, ((Q21+1)/7)^0.5))</f>
        <v>7.4524613115739884</v>
      </c>
      <c r="AM21" s="8">
        <f t="shared" ca="1" si="8"/>
        <v>5.052461311573988</v>
      </c>
      <c r="AN21" s="8">
        <f t="shared" ca="1" si="9"/>
        <v>0.71619690492591903</v>
      </c>
      <c r="AO21" s="8">
        <f t="shared" ca="1" si="10"/>
        <v>0.30167229181017918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40840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4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8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9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40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{4D1DF9AC-B84A-451B-BA74-868F3F265FCE}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4D1DF9AC-B84A-451B-BA74-868F3F265F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D17" sqref="D17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2"/>
      <c r="B1" s="153" t="s">
        <v>410</v>
      </c>
      <c r="C1" s="153"/>
      <c r="D1" s="153"/>
      <c r="E1" s="154"/>
      <c r="F1" s="153"/>
      <c r="G1" s="154"/>
      <c r="H1" s="155"/>
      <c r="I1" s="154"/>
      <c r="J1" s="154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4"/>
      <c r="Z1" s="154"/>
      <c r="AA1" s="154"/>
      <c r="AB1" s="154"/>
      <c r="AC1" s="154"/>
      <c r="AD1" s="156"/>
      <c r="AE1" s="156"/>
      <c r="AF1" s="156"/>
      <c r="AG1" s="156"/>
      <c r="AH1" s="156"/>
      <c r="AI1" s="156"/>
      <c r="AJ1" s="155"/>
      <c r="AL1" s="296" t="s">
        <v>461</v>
      </c>
      <c r="AM1" s="297"/>
      <c r="AN1" s="297"/>
      <c r="AO1" s="298"/>
      <c r="AP1" s="297"/>
      <c r="AQ1" s="297"/>
      <c r="AR1" s="297"/>
      <c r="AS1" s="297"/>
      <c r="AT1" s="297"/>
      <c r="AU1" s="297"/>
      <c r="AV1" s="297"/>
      <c r="AW1" s="297"/>
      <c r="AX1" s="297"/>
      <c r="AY1" s="297"/>
      <c r="AZ1" s="297"/>
      <c r="BA1" s="297"/>
      <c r="BB1" s="297"/>
      <c r="BC1" s="297"/>
      <c r="BD1" s="297"/>
    </row>
    <row r="2" spans="1:57" x14ac:dyDescent="0.25">
      <c r="A2" s="157"/>
      <c r="B2" s="158" t="s">
        <v>3</v>
      </c>
      <c r="C2" s="158" t="s">
        <v>411</v>
      </c>
      <c r="D2" s="158" t="s">
        <v>5</v>
      </c>
      <c r="E2" s="159" t="s">
        <v>412</v>
      </c>
      <c r="F2" s="158" t="s">
        <v>413</v>
      </c>
      <c r="G2" s="159" t="s">
        <v>414</v>
      </c>
      <c r="H2" s="160" t="s">
        <v>415</v>
      </c>
      <c r="I2" s="159" t="s">
        <v>416</v>
      </c>
      <c r="J2" s="159" t="s">
        <v>7</v>
      </c>
      <c r="K2" s="158" t="s">
        <v>27</v>
      </c>
      <c r="L2" s="158" t="s">
        <v>417</v>
      </c>
      <c r="M2" s="161" t="s">
        <v>29</v>
      </c>
      <c r="N2" s="161" t="s">
        <v>417</v>
      </c>
      <c r="O2" s="158" t="s">
        <v>68</v>
      </c>
      <c r="P2" s="158" t="s">
        <v>417</v>
      </c>
      <c r="Q2" s="161" t="s">
        <v>113</v>
      </c>
      <c r="R2" s="161" t="s">
        <v>417</v>
      </c>
      <c r="S2" s="158" t="s">
        <v>69</v>
      </c>
      <c r="T2" s="158" t="s">
        <v>417</v>
      </c>
      <c r="U2" s="161" t="s">
        <v>70</v>
      </c>
      <c r="V2" s="161" t="s">
        <v>417</v>
      </c>
      <c r="W2" s="158" t="s">
        <v>46</v>
      </c>
      <c r="X2" s="158" t="s">
        <v>417</v>
      </c>
      <c r="Y2" s="162" t="s">
        <v>418</v>
      </c>
      <c r="Z2" s="162" t="s">
        <v>101</v>
      </c>
      <c r="AA2" s="159" t="s">
        <v>419</v>
      </c>
      <c r="AB2" s="159" t="s">
        <v>46</v>
      </c>
      <c r="AC2" s="159" t="s">
        <v>193</v>
      </c>
      <c r="AD2" s="163" t="s">
        <v>420</v>
      </c>
      <c r="AE2" s="163" t="s">
        <v>421</v>
      </c>
      <c r="AF2" s="163" t="s">
        <v>422</v>
      </c>
      <c r="AG2" s="163" t="s">
        <v>423</v>
      </c>
      <c r="AH2" s="163" t="s">
        <v>424</v>
      </c>
      <c r="AI2" s="163" t="s">
        <v>425</v>
      </c>
      <c r="AJ2" s="160" t="s">
        <v>426</v>
      </c>
      <c r="AL2" s="260" t="s">
        <v>3</v>
      </c>
      <c r="AM2" s="260" t="s">
        <v>411</v>
      </c>
      <c r="AN2" s="260" t="s">
        <v>5</v>
      </c>
      <c r="AO2" s="299" t="s">
        <v>412</v>
      </c>
      <c r="AP2" s="301" t="s">
        <v>27</v>
      </c>
      <c r="AQ2" s="301" t="s">
        <v>462</v>
      </c>
      <c r="AR2" s="301" t="s">
        <v>29</v>
      </c>
      <c r="AS2" s="301" t="s">
        <v>463</v>
      </c>
      <c r="AT2" s="301" t="s">
        <v>68</v>
      </c>
      <c r="AU2" s="301" t="s">
        <v>464</v>
      </c>
      <c r="AV2" s="301" t="s">
        <v>113</v>
      </c>
      <c r="AW2" s="301" t="s">
        <v>465</v>
      </c>
      <c r="AX2" s="301" t="s">
        <v>70</v>
      </c>
      <c r="AY2" s="301" t="s">
        <v>466</v>
      </c>
      <c r="AZ2" s="301" t="s">
        <v>69</v>
      </c>
      <c r="BA2" s="301" t="s">
        <v>467</v>
      </c>
      <c r="BB2" s="301" t="s">
        <v>46</v>
      </c>
      <c r="BC2" s="301" t="s">
        <v>468</v>
      </c>
      <c r="BD2" s="301" t="s">
        <v>382</v>
      </c>
    </row>
    <row r="3" spans="1:57" x14ac:dyDescent="0.25">
      <c r="A3" s="164"/>
      <c r="B3" s="181" t="s">
        <v>430</v>
      </c>
      <c r="C3" s="182">
        <v>16</v>
      </c>
      <c r="D3" s="167">
        <f>88+B44-38</f>
        <v>50</v>
      </c>
      <c r="E3" s="168"/>
      <c r="F3" s="169">
        <f ca="1">G3-TODAY()</f>
        <v>28</v>
      </c>
      <c r="G3" s="170">
        <v>43703</v>
      </c>
      <c r="H3" s="171"/>
      <c r="I3" s="172" t="s">
        <v>431</v>
      </c>
      <c r="J3" s="171" t="s">
        <v>428</v>
      </c>
      <c r="K3" s="182"/>
      <c r="L3" s="178">
        <v>1.99</v>
      </c>
      <c r="M3" s="173">
        <v>5</v>
      </c>
      <c r="N3" s="174">
        <v>5.99</v>
      </c>
      <c r="O3" s="182"/>
      <c r="P3" s="178">
        <v>3.99</v>
      </c>
      <c r="Q3" s="182"/>
      <c r="R3" s="178">
        <v>2.99</v>
      </c>
      <c r="S3" s="182"/>
      <c r="T3" s="178">
        <v>2.99</v>
      </c>
      <c r="U3" s="182"/>
      <c r="V3" s="178">
        <v>3.99</v>
      </c>
      <c r="W3" s="182"/>
      <c r="X3" s="178">
        <v>4.99</v>
      </c>
      <c r="Y3" s="179">
        <f>7-(COUNTBLANK(K3)+COUNTBLANK(M3)+COUNTBLANK(O3)+COUNTBLANK(Q3)+COUNTBLANK(S3)+COUNTBLANK(U3)+COUNTBLANK(W3))</f>
        <v>1</v>
      </c>
      <c r="Z3" s="171">
        <f>COUNT(X3,T3,V3,R3,P3,N3,L3)</f>
        <v>7</v>
      </c>
      <c r="AA3" s="183"/>
      <c r="AB3" s="183"/>
      <c r="AC3" s="183"/>
      <c r="AD3" s="180"/>
      <c r="AE3" s="180">
        <v>4.5</v>
      </c>
      <c r="AF3" s="180">
        <v>4.5</v>
      </c>
      <c r="AG3" s="180"/>
      <c r="AH3" s="180"/>
      <c r="AI3" s="180"/>
      <c r="AJ3" s="180" t="s">
        <v>432</v>
      </c>
      <c r="AL3" s="274" t="s">
        <v>469</v>
      </c>
      <c r="AM3" s="268">
        <v>17</v>
      </c>
      <c r="AN3" s="275">
        <v>0</v>
      </c>
      <c r="AO3" s="300"/>
      <c r="AP3" s="261"/>
      <c r="AQ3" s="261"/>
      <c r="AR3" s="262">
        <v>4</v>
      </c>
      <c r="AS3" s="262">
        <v>4.99</v>
      </c>
      <c r="AT3" s="262">
        <v>5</v>
      </c>
      <c r="AU3" s="263">
        <v>5.99</v>
      </c>
      <c r="AV3" s="264">
        <v>2</v>
      </c>
      <c r="AW3" s="264">
        <v>2.99</v>
      </c>
      <c r="AX3" s="261"/>
      <c r="AY3" s="265">
        <v>3.99</v>
      </c>
      <c r="AZ3" s="264">
        <v>5</v>
      </c>
      <c r="BA3" s="266">
        <v>5.99</v>
      </c>
      <c r="BB3" s="264">
        <v>0</v>
      </c>
      <c r="BC3" s="264">
        <v>0.99</v>
      </c>
      <c r="BD3" s="267">
        <v>41367</v>
      </c>
    </row>
    <row r="4" spans="1:57" x14ac:dyDescent="0.25">
      <c r="A4" s="152"/>
      <c r="B4" s="184" t="s">
        <v>433</v>
      </c>
      <c r="C4" s="184"/>
      <c r="D4" s="184"/>
      <c r="E4" s="185"/>
      <c r="F4" s="184"/>
      <c r="G4" s="185"/>
      <c r="H4" s="186"/>
      <c r="I4" s="185"/>
      <c r="J4" s="185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5"/>
      <c r="Z4" s="185"/>
      <c r="AA4" s="185"/>
      <c r="AB4" s="185"/>
      <c r="AC4" s="185"/>
      <c r="AD4" s="187"/>
      <c r="AE4" s="187"/>
      <c r="AF4" s="187"/>
      <c r="AG4" s="187"/>
      <c r="AH4" s="187"/>
      <c r="AI4" s="187"/>
      <c r="AJ4" s="186"/>
      <c r="AL4" s="274" t="s">
        <v>470</v>
      </c>
      <c r="AM4" s="268">
        <v>17</v>
      </c>
      <c r="AN4" s="275">
        <v>0</v>
      </c>
      <c r="AO4" s="300"/>
      <c r="AP4" s="269"/>
      <c r="AQ4" s="269"/>
      <c r="AR4" s="270">
        <v>2</v>
      </c>
      <c r="AS4" s="271">
        <v>3.99</v>
      </c>
      <c r="AT4" s="263">
        <v>7</v>
      </c>
      <c r="AU4" s="263">
        <v>7</v>
      </c>
      <c r="AV4" s="262">
        <v>3</v>
      </c>
      <c r="AW4" s="262">
        <v>3.99</v>
      </c>
      <c r="AX4" s="272">
        <v>3</v>
      </c>
      <c r="AY4" s="273">
        <v>3.99</v>
      </c>
      <c r="AZ4" s="262">
        <v>4</v>
      </c>
      <c r="BA4" s="262">
        <v>4.99</v>
      </c>
      <c r="BB4" s="269"/>
      <c r="BC4" s="269"/>
      <c r="BD4" s="267">
        <v>41371</v>
      </c>
      <c r="BE4" s="164"/>
    </row>
    <row r="5" spans="1:57" x14ac:dyDescent="0.25">
      <c r="A5" s="188"/>
      <c r="B5" s="189" t="s">
        <v>434</v>
      </c>
      <c r="C5" s="189"/>
      <c r="D5" s="189"/>
      <c r="E5" s="190"/>
      <c r="F5" s="189"/>
      <c r="G5" s="191"/>
      <c r="H5" s="192"/>
      <c r="I5" s="191"/>
      <c r="J5" s="191"/>
      <c r="K5" s="193" t="s">
        <v>435</v>
      </c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1"/>
      <c r="Z5" s="191"/>
      <c r="AA5" s="191"/>
      <c r="AB5" s="191"/>
      <c r="AC5" s="191"/>
      <c r="AD5" s="194" t="s">
        <v>436</v>
      </c>
      <c r="AE5" s="194"/>
      <c r="AF5" s="194"/>
      <c r="AG5" s="194"/>
      <c r="AH5" s="194"/>
      <c r="AI5" s="194"/>
      <c r="AJ5" s="195"/>
      <c r="AL5" s="274" t="s">
        <v>471</v>
      </c>
      <c r="AM5" s="268">
        <v>19</v>
      </c>
      <c r="AN5" s="275">
        <v>1709</v>
      </c>
      <c r="AO5" s="300"/>
      <c r="AP5" s="269"/>
      <c r="AQ5" s="269"/>
      <c r="AR5" s="269"/>
      <c r="AS5" s="271">
        <v>2.99</v>
      </c>
      <c r="AT5" s="262">
        <v>6</v>
      </c>
      <c r="AU5" s="263">
        <v>6.1</v>
      </c>
      <c r="AV5" s="269"/>
      <c r="AW5" s="271">
        <v>2.99</v>
      </c>
      <c r="AX5" s="270">
        <v>2</v>
      </c>
      <c r="AY5" s="271">
        <v>3.99</v>
      </c>
      <c r="AZ5" s="264">
        <v>3</v>
      </c>
      <c r="BA5" s="264">
        <v>3.99</v>
      </c>
      <c r="BB5" s="264">
        <v>1</v>
      </c>
      <c r="BC5" s="264">
        <v>1.99</v>
      </c>
      <c r="BD5" s="267">
        <v>41391</v>
      </c>
      <c r="BE5" s="164"/>
    </row>
    <row r="6" spans="1:57" x14ac:dyDescent="0.25">
      <c r="A6" s="157"/>
      <c r="B6" s="196" t="s">
        <v>3</v>
      </c>
      <c r="C6" s="196" t="s">
        <v>411</v>
      </c>
      <c r="D6" s="196" t="s">
        <v>5</v>
      </c>
      <c r="E6" s="197" t="s">
        <v>412</v>
      </c>
      <c r="F6" s="196" t="s">
        <v>413</v>
      </c>
      <c r="G6" s="197" t="str">
        <f>G2</f>
        <v>Promoción</v>
      </c>
      <c r="H6" s="198" t="str">
        <f>H2</f>
        <v>Gen</v>
      </c>
      <c r="I6" s="197" t="str">
        <f>I2</f>
        <v>u20</v>
      </c>
      <c r="J6" s="197" t="str">
        <f>J2</f>
        <v>Lid</v>
      </c>
      <c r="K6" s="196" t="s">
        <v>27</v>
      </c>
      <c r="L6" s="196" t="str">
        <f t="shared" ref="L6:AA6" si="0">L2</f>
        <v>Pot</v>
      </c>
      <c r="M6" s="199" t="str">
        <f t="shared" si="0"/>
        <v>DEF</v>
      </c>
      <c r="N6" s="199" t="str">
        <f t="shared" si="0"/>
        <v>Pot</v>
      </c>
      <c r="O6" s="196" t="str">
        <f t="shared" si="0"/>
        <v>JUG</v>
      </c>
      <c r="P6" s="196" t="str">
        <f t="shared" si="0"/>
        <v>Pot</v>
      </c>
      <c r="Q6" s="199" t="str">
        <f t="shared" si="0"/>
        <v>LAT</v>
      </c>
      <c r="R6" s="199" t="str">
        <f t="shared" si="0"/>
        <v>Pot</v>
      </c>
      <c r="S6" s="196" t="str">
        <f t="shared" si="0"/>
        <v>PAS</v>
      </c>
      <c r="T6" s="196" t="str">
        <f t="shared" si="0"/>
        <v>Pot</v>
      </c>
      <c r="U6" s="199" t="str">
        <f t="shared" si="0"/>
        <v>ANO</v>
      </c>
      <c r="V6" s="199" t="str">
        <f t="shared" si="0"/>
        <v>Pot</v>
      </c>
      <c r="W6" s="196" t="str">
        <f t="shared" si="0"/>
        <v>BP</v>
      </c>
      <c r="X6" s="196" t="str">
        <f t="shared" si="0"/>
        <v>Pot</v>
      </c>
      <c r="Y6" s="200" t="str">
        <f t="shared" si="0"/>
        <v>HAB</v>
      </c>
      <c r="Z6" s="200" t="str">
        <f t="shared" si="0"/>
        <v>POT</v>
      </c>
      <c r="AA6" s="197" t="str">
        <f t="shared" si="0"/>
        <v>Cap</v>
      </c>
      <c r="AB6" s="197" t="s">
        <v>46</v>
      </c>
      <c r="AC6" s="197" t="str">
        <f t="shared" ref="AC6:AJ6" si="1">AC2</f>
        <v>HTMS</v>
      </c>
      <c r="AD6" s="201" t="str">
        <f t="shared" si="1"/>
        <v>PR</v>
      </c>
      <c r="AE6" s="201" t="str">
        <f t="shared" si="1"/>
        <v>DL</v>
      </c>
      <c r="AF6" s="201" t="str">
        <f t="shared" si="1"/>
        <v>DC</v>
      </c>
      <c r="AG6" s="201" t="str">
        <f t="shared" si="1"/>
        <v>In</v>
      </c>
      <c r="AH6" s="201" t="str">
        <f t="shared" si="1"/>
        <v>ExO</v>
      </c>
      <c r="AI6" s="201" t="str">
        <f t="shared" si="1"/>
        <v>DV</v>
      </c>
      <c r="AJ6" s="198" t="str">
        <f t="shared" si="1"/>
        <v>Atributs</v>
      </c>
      <c r="AL6" s="274" t="s">
        <v>472</v>
      </c>
      <c r="AM6" s="268">
        <v>17</v>
      </c>
      <c r="AN6" s="275">
        <v>0</v>
      </c>
      <c r="AO6" s="300" t="s">
        <v>473</v>
      </c>
      <c r="AP6" s="269"/>
      <c r="AQ6" s="271">
        <v>1.99</v>
      </c>
      <c r="AR6" s="269"/>
      <c r="AS6" s="271">
        <v>2.99</v>
      </c>
      <c r="AT6" s="262">
        <v>4</v>
      </c>
      <c r="AU6" s="262">
        <v>4.99</v>
      </c>
      <c r="AV6" s="276">
        <v>5</v>
      </c>
      <c r="AW6" s="302">
        <v>5.99</v>
      </c>
      <c r="AX6" s="269"/>
      <c r="AY6" s="271">
        <v>1.99</v>
      </c>
      <c r="AZ6" s="276">
        <v>5</v>
      </c>
      <c r="BA6" s="302">
        <v>5.99</v>
      </c>
      <c r="BB6" s="269"/>
      <c r="BC6" s="269"/>
      <c r="BD6" s="267">
        <v>41412</v>
      </c>
      <c r="BE6" s="164"/>
    </row>
    <row r="7" spans="1:57" x14ac:dyDescent="0.25">
      <c r="A7" s="164" t="s">
        <v>28</v>
      </c>
      <c r="B7" s="181" t="s">
        <v>437</v>
      </c>
      <c r="C7" s="182">
        <v>16</v>
      </c>
      <c r="D7" s="202">
        <f ca="1">B33-2100-6-93+31-112-29-112-112-87</f>
        <v>57</v>
      </c>
      <c r="E7" s="168"/>
      <c r="F7" s="169">
        <f t="shared" ref="F7:F11" ca="1" si="2">G7-TODAY()</f>
        <v>55</v>
      </c>
      <c r="G7" s="170">
        <v>43730</v>
      </c>
      <c r="H7" s="203"/>
      <c r="I7" s="171" t="s">
        <v>438</v>
      </c>
      <c r="J7" s="171" t="s">
        <v>428</v>
      </c>
      <c r="K7" s="182"/>
      <c r="L7" s="182"/>
      <c r="M7" s="176">
        <v>3</v>
      </c>
      <c r="N7" s="177">
        <v>3.99</v>
      </c>
      <c r="O7" s="204">
        <v>4</v>
      </c>
      <c r="P7" s="205">
        <v>5.99</v>
      </c>
      <c r="Q7" s="176">
        <v>1</v>
      </c>
      <c r="R7" s="177">
        <v>1.99</v>
      </c>
      <c r="S7" s="182"/>
      <c r="T7" s="205">
        <v>5.99</v>
      </c>
      <c r="U7" s="204">
        <v>4</v>
      </c>
      <c r="V7" s="206">
        <v>7</v>
      </c>
      <c r="W7" s="182"/>
      <c r="X7" s="182"/>
      <c r="Y7" s="179">
        <f>7-(COUNTBLANK(K7)+COUNTBLANK(M7)+COUNTBLANK(O7)+COUNTBLANK(Q7)+COUNTBLANK(S7)+COUNTBLANK(U7)+COUNTBLANK(W7))</f>
        <v>4</v>
      </c>
      <c r="Z7" s="171">
        <f>COUNT(X7,T7,V7,R7,P7,N7,L7)</f>
        <v>5</v>
      </c>
      <c r="AA7" s="183"/>
      <c r="AB7" s="183"/>
      <c r="AC7" s="183"/>
      <c r="AD7" s="180"/>
      <c r="AE7" s="180"/>
      <c r="AF7" s="180"/>
      <c r="AG7" s="180"/>
      <c r="AH7" s="180"/>
      <c r="AI7" s="180">
        <v>7</v>
      </c>
      <c r="AJ7" s="180" t="s">
        <v>432</v>
      </c>
      <c r="AL7" s="274" t="s">
        <v>474</v>
      </c>
      <c r="AM7" s="268">
        <v>17</v>
      </c>
      <c r="AN7" s="275">
        <v>1799</v>
      </c>
      <c r="AO7" s="300"/>
      <c r="AP7" s="277"/>
      <c r="AQ7" s="278">
        <v>1.99</v>
      </c>
      <c r="AR7" s="277"/>
      <c r="AS7" s="278">
        <v>2.99</v>
      </c>
      <c r="AT7" s="279">
        <v>4</v>
      </c>
      <c r="AU7" s="279">
        <v>4.99</v>
      </c>
      <c r="AV7" s="279">
        <v>5</v>
      </c>
      <c r="AW7" s="280">
        <v>5.99</v>
      </c>
      <c r="AX7" s="281">
        <v>3</v>
      </c>
      <c r="AY7" s="282">
        <v>3.99</v>
      </c>
      <c r="AZ7" s="279">
        <v>3</v>
      </c>
      <c r="BA7" s="279">
        <v>3.99</v>
      </c>
      <c r="BB7" s="277"/>
      <c r="BC7" s="277"/>
      <c r="BD7" s="303"/>
      <c r="BE7" s="164"/>
    </row>
    <row r="8" spans="1:57" x14ac:dyDescent="0.25">
      <c r="A8" s="164" t="s">
        <v>31</v>
      </c>
      <c r="B8" s="165" t="s">
        <v>673</v>
      </c>
      <c r="C8" s="166">
        <v>15</v>
      </c>
      <c r="D8" s="167">
        <f ca="1">B33-2100-6-93-112+6-36-112-112-12</f>
        <v>100</v>
      </c>
      <c r="E8" s="168" t="s">
        <v>192</v>
      </c>
      <c r="F8" s="169">
        <f t="shared" ca="1" si="2"/>
        <v>124</v>
      </c>
      <c r="G8" s="170">
        <v>43799</v>
      </c>
      <c r="H8" s="227" t="s">
        <v>453</v>
      </c>
      <c r="I8" s="203" t="s">
        <v>438</v>
      </c>
      <c r="J8" s="171" t="s">
        <v>428</v>
      </c>
      <c r="K8" s="166"/>
      <c r="L8" s="178">
        <v>1.99</v>
      </c>
      <c r="M8" s="166"/>
      <c r="N8" s="166"/>
      <c r="O8" s="166"/>
      <c r="P8" s="178">
        <v>3.99</v>
      </c>
      <c r="Q8" s="166"/>
      <c r="R8" s="205">
        <v>5.99</v>
      </c>
      <c r="S8" s="166"/>
      <c r="T8" s="178">
        <v>4.99</v>
      </c>
      <c r="U8" s="204">
        <v>4</v>
      </c>
      <c r="V8" s="206">
        <v>6.99</v>
      </c>
      <c r="W8" s="166"/>
      <c r="X8" s="166"/>
      <c r="Y8" s="179">
        <f t="shared" ref="Y8" si="3">7-(COUNTBLANK(K8)+COUNTBLANK(M8)+COUNTBLANK(O8)+COUNTBLANK(Q8)+COUNTBLANK(S8)+COUNTBLANK(U8)+COUNTBLANK(W8))</f>
        <v>1</v>
      </c>
      <c r="Z8" s="171">
        <f t="shared" ref="Z8" si="4">COUNT(X8,T8,V8,R8,P8,N8,L8)</f>
        <v>5</v>
      </c>
      <c r="AA8" s="171"/>
      <c r="AB8" s="171"/>
      <c r="AC8" s="171"/>
      <c r="AD8" s="180"/>
      <c r="AE8" s="180"/>
      <c r="AF8" s="180"/>
      <c r="AG8" s="180"/>
      <c r="AH8" s="180"/>
      <c r="AI8" s="180">
        <v>7</v>
      </c>
      <c r="AJ8" s="180" t="s">
        <v>445</v>
      </c>
      <c r="AL8" s="274" t="s">
        <v>479</v>
      </c>
      <c r="AM8" s="268">
        <v>17</v>
      </c>
      <c r="AN8" s="275">
        <v>1723</v>
      </c>
      <c r="AO8" s="300" t="s">
        <v>480</v>
      </c>
      <c r="AP8" s="277"/>
      <c r="AQ8" s="277"/>
      <c r="AR8" s="279">
        <v>2</v>
      </c>
      <c r="AS8" s="279">
        <v>2.99</v>
      </c>
      <c r="AT8" s="279">
        <v>5</v>
      </c>
      <c r="AU8" s="280">
        <v>5.99</v>
      </c>
      <c r="AV8" s="279">
        <v>5</v>
      </c>
      <c r="AW8" s="280">
        <v>5.99</v>
      </c>
      <c r="AX8" s="277"/>
      <c r="AY8" s="278">
        <v>2.99</v>
      </c>
      <c r="AZ8" s="279">
        <v>5</v>
      </c>
      <c r="BA8" s="280">
        <v>5.99</v>
      </c>
      <c r="BB8" s="277"/>
      <c r="BC8" s="278">
        <v>3.99</v>
      </c>
      <c r="BD8" s="304"/>
      <c r="BE8" s="164"/>
    </row>
    <row r="9" spans="1:57" x14ac:dyDescent="0.25">
      <c r="A9" s="164" t="s">
        <v>32</v>
      </c>
      <c r="B9" s="207" t="s">
        <v>439</v>
      </c>
      <c r="C9" s="166">
        <v>16</v>
      </c>
      <c r="D9" s="167">
        <f ca="1">88+B33-2254-6-112-112-112-82</f>
        <v>87</v>
      </c>
      <c r="E9" s="168" t="s">
        <v>101</v>
      </c>
      <c r="F9" s="169">
        <f t="shared" ca="1" si="2"/>
        <v>47</v>
      </c>
      <c r="G9" s="170">
        <v>43722</v>
      </c>
      <c r="H9" s="208" t="s">
        <v>440</v>
      </c>
      <c r="I9" s="172" t="s">
        <v>429</v>
      </c>
      <c r="J9" s="171" t="s">
        <v>428</v>
      </c>
      <c r="K9" s="182"/>
      <c r="L9" s="182"/>
      <c r="M9" s="182"/>
      <c r="N9" s="182"/>
      <c r="O9" s="182"/>
      <c r="P9" s="178">
        <v>4.99</v>
      </c>
      <c r="Q9" s="182"/>
      <c r="R9" s="178">
        <v>3.99</v>
      </c>
      <c r="S9" s="176">
        <v>2</v>
      </c>
      <c r="T9" s="177">
        <v>2.99</v>
      </c>
      <c r="U9" s="204">
        <v>5</v>
      </c>
      <c r="V9" s="206">
        <v>7</v>
      </c>
      <c r="W9" s="182"/>
      <c r="X9" s="182"/>
      <c r="Y9" s="179">
        <f>7-(COUNTBLANK(K9)+COUNTBLANK(M9)+COUNTBLANK(O9)+COUNTBLANK(Q9)+COUNTBLANK(S9)+COUNTBLANK(U9)+COUNTBLANK(W9))</f>
        <v>2</v>
      </c>
      <c r="Z9" s="171">
        <f>COUNT(X9,T9,V9,R9,P9,N9,L9)</f>
        <v>4</v>
      </c>
      <c r="AA9" s="183"/>
      <c r="AB9" s="183"/>
      <c r="AC9" s="183"/>
      <c r="AD9" s="180"/>
      <c r="AE9" s="180"/>
      <c r="AF9" s="180"/>
      <c r="AG9" s="180"/>
      <c r="AH9" s="180"/>
      <c r="AI9" s="180">
        <v>6</v>
      </c>
      <c r="AJ9" s="180" t="s">
        <v>432</v>
      </c>
      <c r="AL9" s="274" t="s">
        <v>475</v>
      </c>
      <c r="AM9" s="268">
        <v>17</v>
      </c>
      <c r="AN9" s="275">
        <v>1795</v>
      </c>
      <c r="AO9" s="300"/>
      <c r="AP9" s="277"/>
      <c r="AQ9" s="277"/>
      <c r="AR9" s="279">
        <v>4</v>
      </c>
      <c r="AS9" s="279">
        <v>4.99</v>
      </c>
      <c r="AT9" s="282">
        <v>6</v>
      </c>
      <c r="AU9" s="283">
        <v>6.99</v>
      </c>
      <c r="AV9" s="281">
        <v>3</v>
      </c>
      <c r="AW9" s="282">
        <v>3.99</v>
      </c>
      <c r="AX9" s="277"/>
      <c r="AY9" s="277"/>
      <c r="AZ9" s="279">
        <v>2</v>
      </c>
      <c r="BA9" s="279">
        <v>2.99</v>
      </c>
      <c r="BB9" s="277"/>
      <c r="BC9" s="284"/>
      <c r="BD9" s="303"/>
      <c r="BE9" s="164"/>
    </row>
    <row r="10" spans="1:57" x14ac:dyDescent="0.25">
      <c r="A10" s="164" t="s">
        <v>38</v>
      </c>
      <c r="B10" s="181" t="s">
        <v>444</v>
      </c>
      <c r="C10" s="166">
        <v>16</v>
      </c>
      <c r="D10" s="167">
        <f ca="1">86+B33-2516-112-112</f>
        <v>23</v>
      </c>
      <c r="E10" s="168" t="s">
        <v>192</v>
      </c>
      <c r="F10" s="169">
        <f t="shared" ca="1" si="2"/>
        <v>89</v>
      </c>
      <c r="G10" s="170">
        <v>43764</v>
      </c>
      <c r="H10" s="208" t="s">
        <v>440</v>
      </c>
      <c r="I10" s="172" t="s">
        <v>443</v>
      </c>
      <c r="J10" s="171" t="s">
        <v>428</v>
      </c>
      <c r="K10" s="171"/>
      <c r="L10" s="171"/>
      <c r="M10" s="171"/>
      <c r="N10" s="171"/>
      <c r="O10" s="171"/>
      <c r="P10" s="206">
        <v>6.99</v>
      </c>
      <c r="Q10" s="204">
        <v>3</v>
      </c>
      <c r="R10" s="178">
        <v>4.99</v>
      </c>
      <c r="S10" s="171"/>
      <c r="T10" s="178">
        <v>2.99</v>
      </c>
      <c r="U10" s="171"/>
      <c r="V10" s="171"/>
      <c r="W10" s="171"/>
      <c r="X10" s="171"/>
      <c r="Y10" s="179">
        <f>7-(COUNTBLANK(K10)+COUNTBLANK(M10)+COUNTBLANK(O10)+COUNTBLANK(Q10)+COUNTBLANK(S10)+COUNTBLANK(U10)+COUNTBLANK(W10))</f>
        <v>1</v>
      </c>
      <c r="Z10" s="171">
        <f>COUNT(X10,T10,V10,R10,P10,N10,L10)</f>
        <v>3</v>
      </c>
      <c r="AA10" s="183"/>
      <c r="AB10" s="183"/>
      <c r="AC10" s="183"/>
      <c r="AD10" s="180"/>
      <c r="AE10" s="180"/>
      <c r="AF10" s="180"/>
      <c r="AG10" s="180">
        <v>4.5</v>
      </c>
      <c r="AH10" s="180">
        <v>4</v>
      </c>
      <c r="AI10" s="180"/>
      <c r="AJ10" s="180" t="s">
        <v>445</v>
      </c>
      <c r="AL10" s="274" t="s">
        <v>478</v>
      </c>
      <c r="AM10" s="268">
        <v>17</v>
      </c>
      <c r="AN10" s="275">
        <v>1729</v>
      </c>
      <c r="AO10" s="300" t="s">
        <v>417</v>
      </c>
      <c r="AP10" s="277"/>
      <c r="AQ10" s="277"/>
      <c r="AR10" s="279">
        <v>6</v>
      </c>
      <c r="AS10" s="280">
        <v>6.99</v>
      </c>
      <c r="AT10" s="279">
        <v>5</v>
      </c>
      <c r="AU10" s="280">
        <v>5.99</v>
      </c>
      <c r="AV10" s="279">
        <v>3</v>
      </c>
      <c r="AW10" s="279">
        <v>3.99</v>
      </c>
      <c r="AX10" s="277"/>
      <c r="AY10" s="278">
        <v>2.99</v>
      </c>
      <c r="AZ10" s="277"/>
      <c r="BA10" s="278">
        <v>2.99</v>
      </c>
      <c r="BB10" s="277"/>
      <c r="BC10" s="278">
        <v>3.99</v>
      </c>
      <c r="BD10" s="304"/>
      <c r="BE10" s="286"/>
    </row>
    <row r="11" spans="1:57" x14ac:dyDescent="0.25">
      <c r="A11" s="152"/>
      <c r="B11" s="165" t="s">
        <v>677</v>
      </c>
      <c r="C11" s="166">
        <v>15</v>
      </c>
      <c r="D11" s="167">
        <f ca="1">B32-43400+6-112-110</f>
        <v>59</v>
      </c>
      <c r="E11" s="168"/>
      <c r="F11" s="169">
        <f t="shared" ca="1" si="2"/>
        <v>165</v>
      </c>
      <c r="G11" s="170">
        <v>43840</v>
      </c>
      <c r="H11" s="208" t="s">
        <v>440</v>
      </c>
      <c r="I11" s="203" t="s">
        <v>438</v>
      </c>
      <c r="J11" s="171" t="s">
        <v>428</v>
      </c>
      <c r="K11" s="166"/>
      <c r="L11" s="178">
        <v>1.99</v>
      </c>
      <c r="M11" s="166"/>
      <c r="N11" s="166"/>
      <c r="O11" s="166"/>
      <c r="P11" s="178">
        <v>3.99</v>
      </c>
      <c r="Q11" s="204">
        <v>3</v>
      </c>
      <c r="R11" s="205">
        <v>5.99</v>
      </c>
      <c r="S11" s="166"/>
      <c r="T11" s="178">
        <v>3.99</v>
      </c>
      <c r="U11" s="166"/>
      <c r="V11" s="166"/>
      <c r="W11" s="166"/>
      <c r="X11" s="166"/>
      <c r="Y11" s="179">
        <f t="shared" ref="Y11" si="5">7-(COUNTBLANK(K11)+COUNTBLANK(M11)+COUNTBLANK(O11)+COUNTBLANK(Q11)+COUNTBLANK(S11)+COUNTBLANK(U11)+COUNTBLANK(W11))</f>
        <v>1</v>
      </c>
      <c r="Z11" s="171">
        <f t="shared" ref="Z11" si="6">COUNT(X11,T11,V11,R11,P11,N11,L11)</f>
        <v>4</v>
      </c>
      <c r="AA11" s="171"/>
      <c r="AB11" s="171"/>
      <c r="AC11" s="171"/>
      <c r="AD11" s="180"/>
      <c r="AE11" s="180"/>
      <c r="AF11" s="180"/>
      <c r="AG11" s="180"/>
      <c r="AH11" s="180">
        <v>5</v>
      </c>
      <c r="AI11" s="180"/>
      <c r="AJ11" s="180" t="s">
        <v>445</v>
      </c>
      <c r="AL11" s="274" t="s">
        <v>476</v>
      </c>
      <c r="AM11" s="268">
        <v>17</v>
      </c>
      <c r="AN11" s="275">
        <v>1764</v>
      </c>
      <c r="AO11" s="300" t="s">
        <v>477</v>
      </c>
      <c r="AP11" s="277"/>
      <c r="AQ11" s="277"/>
      <c r="AR11" s="279">
        <v>3</v>
      </c>
      <c r="AS11" s="279">
        <v>3.99</v>
      </c>
      <c r="AT11" s="282">
        <v>5</v>
      </c>
      <c r="AU11" s="285">
        <v>5.99</v>
      </c>
      <c r="AV11" s="279">
        <v>2</v>
      </c>
      <c r="AW11" s="279">
        <v>2.99</v>
      </c>
      <c r="AX11" s="277"/>
      <c r="AY11" s="278">
        <v>3.99</v>
      </c>
      <c r="AZ11" s="282">
        <v>4</v>
      </c>
      <c r="BA11" s="282">
        <v>4.99</v>
      </c>
      <c r="BB11" s="277"/>
      <c r="BC11" s="277"/>
      <c r="BD11" s="289"/>
      <c r="BE11" s="164"/>
    </row>
    <row r="12" spans="1:57" x14ac:dyDescent="0.25">
      <c r="A12" s="188"/>
      <c r="B12" s="210" t="s">
        <v>446</v>
      </c>
      <c r="C12" s="210"/>
      <c r="D12" s="210"/>
      <c r="E12" s="211"/>
      <c r="F12" s="210"/>
      <c r="G12" s="211"/>
      <c r="H12" s="212"/>
      <c r="I12" s="211"/>
      <c r="J12" s="211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1"/>
      <c r="Z12" s="211"/>
      <c r="AA12" s="211"/>
      <c r="AB12" s="211"/>
      <c r="AC12" s="211"/>
      <c r="AD12" s="213"/>
      <c r="AE12" s="213"/>
      <c r="AF12" s="213"/>
      <c r="AG12" s="213"/>
      <c r="AH12" s="213"/>
      <c r="AI12" s="213"/>
      <c r="AJ12" s="212"/>
      <c r="AL12" s="274" t="s">
        <v>481</v>
      </c>
      <c r="AM12" s="268">
        <v>17</v>
      </c>
      <c r="AN12" s="275">
        <v>1789</v>
      </c>
      <c r="AO12" s="300" t="s">
        <v>473</v>
      </c>
      <c r="AP12" s="277"/>
      <c r="AQ12" s="278">
        <v>1.99</v>
      </c>
      <c r="AR12" s="277"/>
      <c r="AS12" s="278">
        <v>3.99</v>
      </c>
      <c r="AT12" s="282">
        <v>5</v>
      </c>
      <c r="AU12" s="285">
        <v>5.99</v>
      </c>
      <c r="AV12" s="279">
        <v>4</v>
      </c>
      <c r="AW12" s="279">
        <v>4.99</v>
      </c>
      <c r="AX12" s="277"/>
      <c r="AY12" s="278">
        <v>3.99</v>
      </c>
      <c r="AZ12" s="277"/>
      <c r="BA12" s="278">
        <v>2.99</v>
      </c>
      <c r="BB12" s="277"/>
      <c r="BC12" s="278">
        <v>3.99</v>
      </c>
      <c r="BD12" s="304"/>
      <c r="BE12" s="164"/>
    </row>
    <row r="13" spans="1:57" x14ac:dyDescent="0.25">
      <c r="A13" s="157"/>
      <c r="B13" s="214" t="s">
        <v>434</v>
      </c>
      <c r="C13" s="214"/>
      <c r="D13" s="214"/>
      <c r="E13" s="215"/>
      <c r="F13" s="214"/>
      <c r="G13" s="216"/>
      <c r="H13" s="217"/>
      <c r="I13" s="216"/>
      <c r="J13" s="216"/>
      <c r="K13" s="218" t="s">
        <v>435</v>
      </c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6"/>
      <c r="Z13" s="216"/>
      <c r="AA13" s="216"/>
      <c r="AB13" s="216"/>
      <c r="AC13" s="216"/>
      <c r="AD13" s="219" t="s">
        <v>436</v>
      </c>
      <c r="AE13" s="219"/>
      <c r="AF13" s="219"/>
      <c r="AG13" s="219"/>
      <c r="AH13" s="219"/>
      <c r="AI13" s="219"/>
      <c r="AJ13" s="220"/>
      <c r="AL13" s="274" t="s">
        <v>482</v>
      </c>
      <c r="AM13" s="268">
        <v>18</v>
      </c>
      <c r="AN13" s="275">
        <v>1781</v>
      </c>
      <c r="AO13" s="300"/>
      <c r="AP13" s="277"/>
      <c r="AQ13" s="277"/>
      <c r="AR13" s="282">
        <v>6</v>
      </c>
      <c r="AS13" s="283">
        <v>6.99</v>
      </c>
      <c r="AT13" s="279">
        <v>3</v>
      </c>
      <c r="AU13" s="279">
        <v>3.99</v>
      </c>
      <c r="AV13" s="282">
        <v>5</v>
      </c>
      <c r="AW13" s="285">
        <v>5.99</v>
      </c>
      <c r="AX13" s="278">
        <v>4</v>
      </c>
      <c r="AY13" s="287">
        <v>5.99</v>
      </c>
      <c r="AZ13" s="277"/>
      <c r="BA13" s="278">
        <v>3.99</v>
      </c>
      <c r="BB13" s="277"/>
      <c r="BC13" s="277"/>
      <c r="BD13" s="304"/>
      <c r="BE13" s="286"/>
    </row>
    <row r="14" spans="1:57" x14ac:dyDescent="0.25">
      <c r="A14" s="164" t="s">
        <v>42</v>
      </c>
      <c r="B14" s="221" t="s">
        <v>3</v>
      </c>
      <c r="C14" s="221" t="s">
        <v>411</v>
      </c>
      <c r="D14" s="221" t="s">
        <v>5</v>
      </c>
      <c r="E14" s="222" t="s">
        <v>412</v>
      </c>
      <c r="F14" s="221" t="s">
        <v>413</v>
      </c>
      <c r="G14" s="222" t="str">
        <f>G6</f>
        <v>Promoción</v>
      </c>
      <c r="H14" s="223" t="str">
        <f>H6</f>
        <v>Gen</v>
      </c>
      <c r="I14" s="222" t="str">
        <f>I6</f>
        <v>u20</v>
      </c>
      <c r="J14" s="222" t="str">
        <f>J6</f>
        <v>Lid</v>
      </c>
      <c r="K14" s="221" t="s">
        <v>27</v>
      </c>
      <c r="L14" s="221" t="str">
        <f t="shared" ref="L14:AA14" si="7">L6</f>
        <v>Pot</v>
      </c>
      <c r="M14" s="224" t="str">
        <f t="shared" si="7"/>
        <v>DEF</v>
      </c>
      <c r="N14" s="224" t="str">
        <f t="shared" si="7"/>
        <v>Pot</v>
      </c>
      <c r="O14" s="221" t="str">
        <f t="shared" si="7"/>
        <v>JUG</v>
      </c>
      <c r="P14" s="221" t="str">
        <f t="shared" si="7"/>
        <v>Pot</v>
      </c>
      <c r="Q14" s="224" t="str">
        <f t="shared" si="7"/>
        <v>LAT</v>
      </c>
      <c r="R14" s="224" t="str">
        <f t="shared" si="7"/>
        <v>Pot</v>
      </c>
      <c r="S14" s="221" t="str">
        <f t="shared" si="7"/>
        <v>PAS</v>
      </c>
      <c r="T14" s="221" t="str">
        <f t="shared" si="7"/>
        <v>Pot</v>
      </c>
      <c r="U14" s="224" t="str">
        <f t="shared" si="7"/>
        <v>ANO</v>
      </c>
      <c r="V14" s="224" t="str">
        <f t="shared" si="7"/>
        <v>Pot</v>
      </c>
      <c r="W14" s="221" t="str">
        <f t="shared" si="7"/>
        <v>BP</v>
      </c>
      <c r="X14" s="221" t="str">
        <f t="shared" si="7"/>
        <v>Pot</v>
      </c>
      <c r="Y14" s="225" t="str">
        <f t="shared" si="7"/>
        <v>HAB</v>
      </c>
      <c r="Z14" s="225" t="str">
        <f t="shared" si="7"/>
        <v>POT</v>
      </c>
      <c r="AA14" s="222" t="str">
        <f t="shared" si="7"/>
        <v>Cap</v>
      </c>
      <c r="AB14" s="222" t="s">
        <v>46</v>
      </c>
      <c r="AC14" s="222" t="str">
        <f t="shared" ref="AC14:AJ14" si="8">AC6</f>
        <v>HTMS</v>
      </c>
      <c r="AD14" s="226" t="str">
        <f t="shared" si="8"/>
        <v>PR</v>
      </c>
      <c r="AE14" s="226" t="str">
        <f t="shared" si="8"/>
        <v>DL</v>
      </c>
      <c r="AF14" s="226" t="str">
        <f t="shared" si="8"/>
        <v>DC</v>
      </c>
      <c r="AG14" s="226" t="str">
        <f t="shared" si="8"/>
        <v>In</v>
      </c>
      <c r="AH14" s="226" t="str">
        <f t="shared" si="8"/>
        <v>ExO</v>
      </c>
      <c r="AI14" s="226" t="str">
        <f t="shared" si="8"/>
        <v>DV</v>
      </c>
      <c r="AJ14" s="223" t="str">
        <f t="shared" si="8"/>
        <v>Atributs</v>
      </c>
      <c r="AL14" s="274" t="s">
        <v>483</v>
      </c>
      <c r="AM14" s="268">
        <v>16</v>
      </c>
      <c r="AN14" s="275">
        <v>1807</v>
      </c>
      <c r="AO14" s="300" t="s">
        <v>473</v>
      </c>
      <c r="AP14" s="277"/>
      <c r="AQ14" s="277"/>
      <c r="AR14" s="288">
        <v>3</v>
      </c>
      <c r="AS14" s="279">
        <v>3.99</v>
      </c>
      <c r="AT14" s="282">
        <v>5</v>
      </c>
      <c r="AU14" s="285">
        <v>5.99</v>
      </c>
      <c r="AV14" s="279">
        <v>7</v>
      </c>
      <c r="AW14" s="280">
        <v>7</v>
      </c>
      <c r="AX14" s="277"/>
      <c r="AY14" s="278">
        <v>1.99</v>
      </c>
      <c r="AZ14" s="282">
        <v>3</v>
      </c>
      <c r="BA14" s="282">
        <v>3.99</v>
      </c>
      <c r="BB14" s="277"/>
      <c r="BC14" s="277"/>
      <c r="BD14" s="289"/>
      <c r="BE14" s="164"/>
    </row>
    <row r="15" spans="1:57" x14ac:dyDescent="0.25">
      <c r="A15" s="164" t="s">
        <v>40</v>
      </c>
      <c r="B15" s="165" t="s">
        <v>441</v>
      </c>
      <c r="C15" s="166">
        <v>16</v>
      </c>
      <c r="D15" s="167">
        <f ca="1">B33-2100-6-116+4-112-112-113-112</f>
        <v>10</v>
      </c>
      <c r="E15" s="168" t="s">
        <v>442</v>
      </c>
      <c r="F15" s="169">
        <f ca="1">G15-TODAY()</f>
        <v>102</v>
      </c>
      <c r="G15" s="170">
        <v>43777</v>
      </c>
      <c r="H15" s="203"/>
      <c r="I15" s="209" t="s">
        <v>443</v>
      </c>
      <c r="J15" s="171" t="s">
        <v>428</v>
      </c>
      <c r="K15" s="166"/>
      <c r="L15" s="166"/>
      <c r="M15" s="204">
        <v>3</v>
      </c>
      <c r="N15" s="166"/>
      <c r="O15" s="166"/>
      <c r="P15" s="166"/>
      <c r="Q15" s="166"/>
      <c r="R15" s="178">
        <v>4.99</v>
      </c>
      <c r="S15" s="166"/>
      <c r="T15" s="178">
        <v>4.99</v>
      </c>
      <c r="U15" s="176">
        <v>2</v>
      </c>
      <c r="V15" s="177">
        <v>2.99</v>
      </c>
      <c r="W15" s="166"/>
      <c r="X15" s="166"/>
      <c r="Y15" s="179">
        <f>7-(COUNTBLANK(K15)+COUNTBLANK(M15)+COUNTBLANK(O15)+COUNTBLANK(Q15)+COUNTBLANK(S15)+COUNTBLANK(U15)+COUNTBLANK(W15))</f>
        <v>2</v>
      </c>
      <c r="Z15" s="171">
        <f>COUNT(X15,T15,V15,R15,P15,N15,L15)</f>
        <v>3</v>
      </c>
      <c r="AA15" s="171"/>
      <c r="AB15" s="171"/>
      <c r="AC15" s="171"/>
      <c r="AD15" s="180"/>
      <c r="AE15" s="180"/>
      <c r="AF15" s="180"/>
      <c r="AG15" s="180"/>
      <c r="AH15" s="180">
        <v>4.5</v>
      </c>
      <c r="AI15" s="180"/>
      <c r="AJ15" s="180" t="s">
        <v>432</v>
      </c>
      <c r="AL15" s="274" t="s">
        <v>484</v>
      </c>
      <c r="AM15" s="268">
        <v>18</v>
      </c>
      <c r="AN15" s="275">
        <v>1778</v>
      </c>
      <c r="AO15" s="300" t="s">
        <v>417</v>
      </c>
      <c r="AP15" s="277"/>
      <c r="AQ15" s="278">
        <v>1.99</v>
      </c>
      <c r="AR15" s="279">
        <v>2</v>
      </c>
      <c r="AS15" s="279">
        <v>2.99</v>
      </c>
      <c r="AT15" s="279">
        <v>1</v>
      </c>
      <c r="AU15" s="279">
        <v>1.99</v>
      </c>
      <c r="AV15" s="277"/>
      <c r="AW15" s="278">
        <v>1.99</v>
      </c>
      <c r="AX15" s="277"/>
      <c r="AY15" s="287">
        <v>5.99</v>
      </c>
      <c r="AZ15" s="279">
        <v>4</v>
      </c>
      <c r="BA15" s="279">
        <v>4.99</v>
      </c>
      <c r="BB15" s="279">
        <v>5</v>
      </c>
      <c r="BC15" s="280">
        <v>5.99</v>
      </c>
      <c r="BD15" s="303"/>
      <c r="BE15" s="164"/>
    </row>
    <row r="16" spans="1:57" x14ac:dyDescent="0.25">
      <c r="A16" s="164"/>
      <c r="B16" s="165" t="s">
        <v>447</v>
      </c>
      <c r="C16" s="166">
        <v>17</v>
      </c>
      <c r="D16" s="167">
        <f ca="1">B33-2100-6-93-112+6-64-112-54-112</f>
        <v>30</v>
      </c>
      <c r="E16" s="168"/>
      <c r="F16" s="169">
        <f ca="1">G16-TODAY()</f>
        <v>0</v>
      </c>
      <c r="G16" s="170">
        <f ca="1">TODAY()</f>
        <v>43675</v>
      </c>
      <c r="H16" s="171"/>
      <c r="I16" s="171" t="s">
        <v>438</v>
      </c>
      <c r="J16" s="171" t="s">
        <v>428</v>
      </c>
      <c r="K16" s="166"/>
      <c r="L16" s="166"/>
      <c r="M16" s="176">
        <v>3</v>
      </c>
      <c r="N16" s="177">
        <v>3.99</v>
      </c>
      <c r="O16" s="176">
        <v>4</v>
      </c>
      <c r="P16" s="177">
        <v>4.99</v>
      </c>
      <c r="Q16" s="204">
        <v>4</v>
      </c>
      <c r="R16" s="205">
        <v>5.99</v>
      </c>
      <c r="S16" s="204">
        <v>4</v>
      </c>
      <c r="T16" s="206">
        <v>6.99</v>
      </c>
      <c r="U16" s="173">
        <v>5</v>
      </c>
      <c r="V16" s="174">
        <v>5.99</v>
      </c>
      <c r="W16" s="166"/>
      <c r="X16" s="166"/>
      <c r="Y16" s="179">
        <f>7-(COUNTBLANK(K16)+COUNTBLANK(M16)+COUNTBLANK(O16)+COUNTBLANK(Q16)+COUNTBLANK(S16)+COUNTBLANK(U16)+COUNTBLANK(W16))</f>
        <v>5</v>
      </c>
      <c r="Z16" s="171">
        <f>COUNT(X16,T16,V16,R16,P16,N16,L16)</f>
        <v>5</v>
      </c>
      <c r="AA16" s="171">
        <v>4</v>
      </c>
      <c r="AB16" s="171"/>
      <c r="AC16" s="171"/>
      <c r="AD16" s="180"/>
      <c r="AE16" s="180"/>
      <c r="AF16" s="180"/>
      <c r="AG16" s="180">
        <v>5</v>
      </c>
      <c r="AH16" s="180">
        <v>5.5</v>
      </c>
      <c r="AI16" s="180"/>
      <c r="AJ16" s="180" t="s">
        <v>432</v>
      </c>
      <c r="AL16" s="274" t="s">
        <v>485</v>
      </c>
      <c r="AM16" s="268">
        <v>17</v>
      </c>
      <c r="AN16" s="275">
        <v>1683</v>
      </c>
      <c r="AO16" s="300"/>
      <c r="AP16" s="277"/>
      <c r="AQ16" s="277"/>
      <c r="AR16" s="282">
        <v>6</v>
      </c>
      <c r="AS16" s="283">
        <v>6.99</v>
      </c>
      <c r="AT16" s="279">
        <v>1</v>
      </c>
      <c r="AU16" s="279">
        <v>1.99</v>
      </c>
      <c r="AV16" s="279">
        <v>2</v>
      </c>
      <c r="AW16" s="279">
        <v>2.99</v>
      </c>
      <c r="AX16" s="278">
        <v>3</v>
      </c>
      <c r="AY16" s="278">
        <v>4.99</v>
      </c>
      <c r="AZ16" s="277"/>
      <c r="BA16" s="278">
        <v>2.99</v>
      </c>
      <c r="BB16" s="279">
        <v>4</v>
      </c>
      <c r="BC16" s="279">
        <v>4.99</v>
      </c>
      <c r="BD16" s="304"/>
      <c r="BE16" s="286"/>
    </row>
    <row r="17" spans="1:57" x14ac:dyDescent="0.25">
      <c r="A17" s="164" t="s">
        <v>240</v>
      </c>
      <c r="B17" s="181" t="s">
        <v>448</v>
      </c>
      <c r="C17" s="166">
        <v>16</v>
      </c>
      <c r="D17" s="167">
        <f>88+B44-40</f>
        <v>48</v>
      </c>
      <c r="E17" s="168"/>
      <c r="F17" s="169">
        <f ca="1">G17-TODAY()</f>
        <v>30</v>
      </c>
      <c r="G17" s="170">
        <v>43705</v>
      </c>
      <c r="H17" s="227"/>
      <c r="I17" s="172" t="s">
        <v>431</v>
      </c>
      <c r="J17" s="171" t="s">
        <v>428</v>
      </c>
      <c r="K17" s="182"/>
      <c r="L17" s="182"/>
      <c r="M17" s="176">
        <v>3</v>
      </c>
      <c r="N17" s="177">
        <v>3.99</v>
      </c>
      <c r="O17" s="182"/>
      <c r="P17" s="178">
        <v>4.99</v>
      </c>
      <c r="Q17" s="182"/>
      <c r="R17" s="205">
        <v>5.99</v>
      </c>
      <c r="S17" s="173">
        <v>4</v>
      </c>
      <c r="T17" s="175">
        <v>4.99</v>
      </c>
      <c r="U17" s="182"/>
      <c r="V17" s="178">
        <v>3.99</v>
      </c>
      <c r="W17" s="182"/>
      <c r="X17" s="182"/>
      <c r="Y17" s="179">
        <f>7-(COUNTBLANK(K17)+COUNTBLANK(M17)+COUNTBLANK(O17)+COUNTBLANK(Q17)+COUNTBLANK(S17)+COUNTBLANK(U17)+COUNTBLANK(W17))</f>
        <v>2</v>
      </c>
      <c r="Z17" s="171">
        <f>COUNT(X17,T17,V17,R17,P17,N17,L17)</f>
        <v>5</v>
      </c>
      <c r="AA17" s="183"/>
      <c r="AB17" s="183"/>
      <c r="AC17" s="183"/>
      <c r="AD17" s="180"/>
      <c r="AE17" s="180"/>
      <c r="AF17" s="180"/>
      <c r="AG17" s="180"/>
      <c r="AH17" s="180"/>
      <c r="AI17" s="180"/>
      <c r="AJ17" s="180"/>
      <c r="AL17" s="274" t="s">
        <v>486</v>
      </c>
      <c r="AM17" s="268">
        <v>16</v>
      </c>
      <c r="AN17" s="275">
        <v>1772</v>
      </c>
      <c r="AO17" s="300"/>
      <c r="AP17" s="277"/>
      <c r="AQ17" s="278">
        <v>1.99</v>
      </c>
      <c r="AR17" s="288">
        <v>3</v>
      </c>
      <c r="AS17" s="279">
        <v>3.99</v>
      </c>
      <c r="AT17" s="282">
        <v>4</v>
      </c>
      <c r="AU17" s="282">
        <v>4.99</v>
      </c>
      <c r="AV17" s="279">
        <v>5</v>
      </c>
      <c r="AW17" s="280">
        <v>5.99</v>
      </c>
      <c r="AX17" s="277"/>
      <c r="AY17" s="278">
        <v>4.99</v>
      </c>
      <c r="AZ17" s="279">
        <v>2</v>
      </c>
      <c r="BA17" s="279">
        <v>2.99</v>
      </c>
      <c r="BB17" s="279">
        <v>4</v>
      </c>
      <c r="BC17" s="279">
        <v>4.99</v>
      </c>
      <c r="BD17" s="304"/>
      <c r="BE17" s="286"/>
    </row>
    <row r="18" spans="1:57" x14ac:dyDescent="0.25">
      <c r="A18" s="164"/>
      <c r="B18" s="181" t="s">
        <v>449</v>
      </c>
      <c r="C18" s="182">
        <v>16</v>
      </c>
      <c r="D18" s="167">
        <f ca="1">88-444+B33-112-112-102-6+17-112-5+4-112-112-112+88-112-8+34-80-7+47-36-112-112-112-27-77-112-112-112-43-6-112-112-109-112-112</f>
        <v>101</v>
      </c>
      <c r="E18" s="168"/>
      <c r="F18" s="169">
        <f ca="1">G18-TODAY()</f>
        <v>11</v>
      </c>
      <c r="G18" s="170">
        <v>43686</v>
      </c>
      <c r="H18" s="171"/>
      <c r="I18" s="172" t="s">
        <v>429</v>
      </c>
      <c r="J18" s="171" t="s">
        <v>428</v>
      </c>
      <c r="K18" s="182"/>
      <c r="L18" s="182"/>
      <c r="M18" s="176">
        <v>4</v>
      </c>
      <c r="N18" s="177">
        <v>4.99</v>
      </c>
      <c r="O18" s="173">
        <v>2</v>
      </c>
      <c r="P18" s="175">
        <v>2.99</v>
      </c>
      <c r="Q18" s="182"/>
      <c r="R18" s="178">
        <v>3.99</v>
      </c>
      <c r="S18" s="182"/>
      <c r="T18" s="178">
        <v>2.99</v>
      </c>
      <c r="U18" s="182"/>
      <c r="V18" s="205">
        <v>5.99</v>
      </c>
      <c r="W18" s="182"/>
      <c r="X18" s="182"/>
      <c r="Y18" s="179">
        <f>7-(COUNTBLANK(K18)+COUNTBLANK(M18)+COUNTBLANK(O18)+COUNTBLANK(Q18)+COUNTBLANK(S18)+COUNTBLANK(U18)+COUNTBLANK(W18))</f>
        <v>2</v>
      </c>
      <c r="Z18" s="171">
        <f>COUNT(X18,T18,V18,R18,P18,N18,L18)</f>
        <v>5</v>
      </c>
      <c r="AA18" s="183"/>
      <c r="AB18" s="183"/>
      <c r="AC18" s="183"/>
      <c r="AD18" s="180"/>
      <c r="AE18" s="180"/>
      <c r="AF18" s="180"/>
      <c r="AG18" s="180">
        <v>3.5</v>
      </c>
      <c r="AH18" s="180"/>
      <c r="AI18" s="180"/>
      <c r="AJ18" s="180" t="s">
        <v>432</v>
      </c>
      <c r="AL18" s="274" t="s">
        <v>487</v>
      </c>
      <c r="AM18" s="268">
        <v>17</v>
      </c>
      <c r="AN18" s="275">
        <v>1733</v>
      </c>
      <c r="AO18" s="300" t="s">
        <v>488</v>
      </c>
      <c r="AP18" s="277"/>
      <c r="AQ18" s="278">
        <v>1.99</v>
      </c>
      <c r="AR18" s="282">
        <v>4</v>
      </c>
      <c r="AS18" s="282">
        <v>4.99</v>
      </c>
      <c r="AT18" s="282">
        <v>3</v>
      </c>
      <c r="AU18" s="282">
        <v>3.99</v>
      </c>
      <c r="AV18" s="282">
        <v>6</v>
      </c>
      <c r="AW18" s="283">
        <v>6.99</v>
      </c>
      <c r="AX18" s="277"/>
      <c r="AY18" s="278">
        <v>4.99</v>
      </c>
      <c r="AZ18" s="277"/>
      <c r="BA18" s="278">
        <v>2.99</v>
      </c>
      <c r="BB18" s="277"/>
      <c r="BC18" s="278">
        <v>4.99</v>
      </c>
      <c r="BD18" s="304"/>
      <c r="BE18" s="164"/>
    </row>
    <row r="19" spans="1:57" x14ac:dyDescent="0.25">
      <c r="A19" s="157"/>
      <c r="B19" s="181" t="s">
        <v>450</v>
      </c>
      <c r="C19" s="166">
        <v>17</v>
      </c>
      <c r="D19" s="167">
        <f ca="1">B33-2100-6-116+4-112-112-6-112-112</f>
        <v>5</v>
      </c>
      <c r="E19" s="168"/>
      <c r="F19" s="169">
        <f ca="1">G19-TODAY()</f>
        <v>-5</v>
      </c>
      <c r="G19" s="170">
        <v>43670</v>
      </c>
      <c r="H19" s="208" t="s">
        <v>440</v>
      </c>
      <c r="I19" s="172" t="s">
        <v>429</v>
      </c>
      <c r="J19" s="171" t="s">
        <v>428</v>
      </c>
      <c r="K19" s="182"/>
      <c r="L19" s="178">
        <v>1.99</v>
      </c>
      <c r="M19" s="182"/>
      <c r="N19" s="178">
        <v>2.99</v>
      </c>
      <c r="O19" s="173">
        <v>4</v>
      </c>
      <c r="P19" s="175">
        <v>4.99</v>
      </c>
      <c r="Q19" s="182"/>
      <c r="R19" s="178">
        <v>4.99</v>
      </c>
      <c r="S19" s="204">
        <v>4</v>
      </c>
      <c r="T19" s="205">
        <v>5.99</v>
      </c>
      <c r="U19" s="176">
        <v>2</v>
      </c>
      <c r="V19" s="177">
        <v>2.99</v>
      </c>
      <c r="W19" s="182"/>
      <c r="X19" s="206">
        <v>6.99</v>
      </c>
      <c r="Y19" s="179">
        <f>7-(COUNTBLANK(K19)+COUNTBLANK(M19)+COUNTBLANK(O19)+COUNTBLANK(Q19)+COUNTBLANK(S19)+COUNTBLANK(U19)+COUNTBLANK(W19))</f>
        <v>3</v>
      </c>
      <c r="Z19" s="171">
        <f>COUNT(X19,T19,V19,R19,P19,N19,L19)</f>
        <v>7</v>
      </c>
      <c r="AA19" s="183"/>
      <c r="AB19" s="183">
        <v>8</v>
      </c>
      <c r="AC19" s="183"/>
      <c r="AD19" s="180"/>
      <c r="AE19" s="180"/>
      <c r="AF19" s="180"/>
      <c r="AG19" s="180">
        <v>4.5</v>
      </c>
      <c r="AH19" s="180">
        <v>4.5</v>
      </c>
      <c r="AI19" s="180"/>
      <c r="AJ19" s="180" t="s">
        <v>432</v>
      </c>
      <c r="AL19" s="274" t="s">
        <v>489</v>
      </c>
      <c r="AM19" s="268">
        <v>17</v>
      </c>
      <c r="AN19" s="275">
        <v>1665</v>
      </c>
      <c r="AO19" s="300"/>
      <c r="AP19" s="282">
        <v>1</v>
      </c>
      <c r="AQ19" s="282">
        <v>1.99</v>
      </c>
      <c r="AR19" s="282">
        <v>2</v>
      </c>
      <c r="AS19" s="282">
        <v>2.99</v>
      </c>
      <c r="AT19" s="279">
        <v>5</v>
      </c>
      <c r="AU19" s="280">
        <v>5.99</v>
      </c>
      <c r="AV19" s="279">
        <v>3</v>
      </c>
      <c r="AW19" s="279">
        <v>3.99</v>
      </c>
      <c r="AX19" s="277"/>
      <c r="AY19" s="278">
        <v>4.99</v>
      </c>
      <c r="AZ19" s="279">
        <v>2</v>
      </c>
      <c r="BA19" s="279">
        <v>2.99</v>
      </c>
      <c r="BB19" s="277"/>
      <c r="BC19" s="278">
        <v>2.99</v>
      </c>
      <c r="BD19" s="304"/>
      <c r="BE19" s="164"/>
    </row>
    <row r="20" spans="1:57" x14ac:dyDescent="0.25">
      <c r="A20" s="164"/>
      <c r="B20" s="228" t="s">
        <v>434</v>
      </c>
      <c r="C20" s="228"/>
      <c r="D20" s="228"/>
      <c r="E20" s="229"/>
      <c r="F20" s="228"/>
      <c r="G20" s="230"/>
      <c r="H20" s="231"/>
      <c r="I20" s="230"/>
      <c r="J20" s="230"/>
      <c r="K20" s="232" t="s">
        <v>435</v>
      </c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0"/>
      <c r="Z20" s="230"/>
      <c r="AA20" s="230"/>
      <c r="AB20" s="230"/>
      <c r="AC20" s="230"/>
      <c r="AD20" s="233" t="s">
        <v>436</v>
      </c>
      <c r="AE20" s="233"/>
      <c r="AF20" s="233"/>
      <c r="AG20" s="233"/>
      <c r="AH20" s="233"/>
      <c r="AI20" s="233"/>
      <c r="AJ20" s="234"/>
      <c r="AL20" s="274" t="s">
        <v>490</v>
      </c>
      <c r="AM20" s="268">
        <v>17</v>
      </c>
      <c r="AN20" s="275">
        <v>1585</v>
      </c>
      <c r="AO20" s="300" t="s">
        <v>477</v>
      </c>
      <c r="AP20" s="289"/>
      <c r="AQ20" s="289"/>
      <c r="AR20" s="279">
        <v>4</v>
      </c>
      <c r="AS20" s="279">
        <v>4.99</v>
      </c>
      <c r="AT20" s="289"/>
      <c r="AU20" s="278">
        <v>2.99</v>
      </c>
      <c r="AV20" s="282">
        <v>5</v>
      </c>
      <c r="AW20" s="285">
        <v>5.99</v>
      </c>
      <c r="AX20" s="289"/>
      <c r="AY20" s="278">
        <v>1.99</v>
      </c>
      <c r="AZ20" s="289"/>
      <c r="BA20" s="278">
        <v>3.99</v>
      </c>
      <c r="BB20" s="289"/>
      <c r="BC20" s="278">
        <v>2.99</v>
      </c>
      <c r="BD20" s="289"/>
      <c r="BE20" s="164"/>
    </row>
    <row r="21" spans="1:57" x14ac:dyDescent="0.25">
      <c r="A21" s="164"/>
      <c r="B21" s="235" t="s">
        <v>3</v>
      </c>
      <c r="C21" s="235" t="s">
        <v>411</v>
      </c>
      <c r="D21" s="235" t="s">
        <v>5</v>
      </c>
      <c r="E21" s="236" t="s">
        <v>412</v>
      </c>
      <c r="F21" s="235" t="s">
        <v>413</v>
      </c>
      <c r="G21" s="236" t="str">
        <f>G14</f>
        <v>Promoción</v>
      </c>
      <c r="H21" s="237" t="str">
        <f>H14</f>
        <v>Gen</v>
      </c>
      <c r="I21" s="236" t="str">
        <f>I14</f>
        <v>u20</v>
      </c>
      <c r="J21" s="236" t="str">
        <f>J14</f>
        <v>Lid</v>
      </c>
      <c r="K21" s="235" t="s">
        <v>27</v>
      </c>
      <c r="L21" s="235" t="str">
        <f t="shared" ref="L21:AA21" si="9">L14</f>
        <v>Pot</v>
      </c>
      <c r="M21" s="238" t="str">
        <f t="shared" si="9"/>
        <v>DEF</v>
      </c>
      <c r="N21" s="238" t="str">
        <f t="shared" si="9"/>
        <v>Pot</v>
      </c>
      <c r="O21" s="235" t="str">
        <f t="shared" si="9"/>
        <v>JUG</v>
      </c>
      <c r="P21" s="235" t="str">
        <f t="shared" si="9"/>
        <v>Pot</v>
      </c>
      <c r="Q21" s="238" t="str">
        <f t="shared" si="9"/>
        <v>LAT</v>
      </c>
      <c r="R21" s="238" t="str">
        <f t="shared" si="9"/>
        <v>Pot</v>
      </c>
      <c r="S21" s="235" t="str">
        <f t="shared" si="9"/>
        <v>PAS</v>
      </c>
      <c r="T21" s="235" t="str">
        <f t="shared" si="9"/>
        <v>Pot</v>
      </c>
      <c r="U21" s="238" t="str">
        <f t="shared" si="9"/>
        <v>ANO</v>
      </c>
      <c r="V21" s="238" t="str">
        <f t="shared" si="9"/>
        <v>Pot</v>
      </c>
      <c r="W21" s="235" t="str">
        <f t="shared" si="9"/>
        <v>BP</v>
      </c>
      <c r="X21" s="235" t="str">
        <f t="shared" si="9"/>
        <v>Pot</v>
      </c>
      <c r="Y21" s="239" t="str">
        <f t="shared" si="9"/>
        <v>HAB</v>
      </c>
      <c r="Z21" s="239" t="str">
        <f t="shared" si="9"/>
        <v>POT</v>
      </c>
      <c r="AA21" s="236" t="str">
        <f t="shared" si="9"/>
        <v>Cap</v>
      </c>
      <c r="AB21" s="236" t="s">
        <v>46</v>
      </c>
      <c r="AC21" s="236" t="str">
        <f t="shared" ref="AC21:AJ21" si="10">AC14</f>
        <v>HTMS</v>
      </c>
      <c r="AD21" s="240" t="str">
        <f t="shared" si="10"/>
        <v>PR</v>
      </c>
      <c r="AE21" s="240" t="str">
        <f t="shared" si="10"/>
        <v>DL</v>
      </c>
      <c r="AF21" s="240" t="str">
        <f t="shared" si="10"/>
        <v>DC</v>
      </c>
      <c r="AG21" s="240" t="str">
        <f t="shared" si="10"/>
        <v>In</v>
      </c>
      <c r="AH21" s="240" t="str">
        <f t="shared" si="10"/>
        <v>ExO</v>
      </c>
      <c r="AI21" s="240" t="str">
        <f t="shared" si="10"/>
        <v>DV</v>
      </c>
      <c r="AJ21" s="237" t="str">
        <f t="shared" si="10"/>
        <v>Atributs</v>
      </c>
      <c r="AL21" s="274" t="s">
        <v>491</v>
      </c>
      <c r="AM21" s="268">
        <v>16</v>
      </c>
      <c r="AN21" s="275">
        <v>1687</v>
      </c>
      <c r="AO21" s="300" t="s">
        <v>480</v>
      </c>
      <c r="AP21" s="289"/>
      <c r="AQ21" s="278">
        <v>1.99</v>
      </c>
      <c r="AR21" s="282">
        <v>5</v>
      </c>
      <c r="AS21" s="285">
        <v>5.99</v>
      </c>
      <c r="AT21" s="279">
        <v>5</v>
      </c>
      <c r="AU21" s="280">
        <v>5.99</v>
      </c>
      <c r="AV21" s="289"/>
      <c r="AW21" s="278">
        <v>3.99</v>
      </c>
      <c r="AX21" s="289"/>
      <c r="AY21" s="278">
        <v>4.99</v>
      </c>
      <c r="AZ21" s="279">
        <v>2</v>
      </c>
      <c r="BA21" s="279">
        <v>2.99</v>
      </c>
      <c r="BB21" s="289"/>
      <c r="BC21" s="278">
        <v>4.99</v>
      </c>
      <c r="BD21" s="289"/>
      <c r="BE21" s="164"/>
    </row>
    <row r="22" spans="1:57" x14ac:dyDescent="0.25">
      <c r="A22" s="164" t="s">
        <v>37</v>
      </c>
      <c r="B22" s="207" t="s">
        <v>693</v>
      </c>
      <c r="C22" s="182">
        <v>16</v>
      </c>
      <c r="D22" s="167">
        <f ca="1">B32-43375-112-112+8</f>
        <v>84</v>
      </c>
      <c r="E22" s="168"/>
      <c r="F22" s="169">
        <f ca="1">G22-TODAY()</f>
        <v>110</v>
      </c>
      <c r="G22" s="170">
        <v>43785</v>
      </c>
      <c r="H22" s="171"/>
      <c r="I22" s="171"/>
      <c r="J22" s="171"/>
      <c r="K22" s="182"/>
      <c r="R22" s="206">
        <v>6.99</v>
      </c>
      <c r="S22" s="204">
        <v>3</v>
      </c>
      <c r="U22" s="182"/>
      <c r="V22" s="182"/>
      <c r="W22" s="182"/>
      <c r="X22" s="182"/>
      <c r="Y22" s="179">
        <f>7-(COUNTBLANK(K22)+COUNTBLANK(N22)+COUNTBLANK(P22)+COUNTBLANK(R22)+COUNTBLANK(T22)+COUNTBLANK(V22)+COUNTBLANK(X22))</f>
        <v>1</v>
      </c>
      <c r="Z22" s="171">
        <f>COUNT(#REF!,U22,W22,S22,Q22,O22,M22)</f>
        <v>1</v>
      </c>
      <c r="AA22" s="183"/>
      <c r="AB22" s="183"/>
      <c r="AC22" s="183"/>
      <c r="AD22" s="180"/>
      <c r="AE22" s="180"/>
      <c r="AF22" s="180"/>
      <c r="AG22" s="180"/>
      <c r="AH22" s="180"/>
      <c r="AI22" s="180"/>
      <c r="AJ22" s="180"/>
      <c r="AL22" s="274" t="s">
        <v>495</v>
      </c>
      <c r="AM22" s="268">
        <v>16</v>
      </c>
      <c r="AN22" s="275">
        <v>1596</v>
      </c>
      <c r="AO22" s="300"/>
      <c r="AP22" s="289"/>
      <c r="AQ22" s="289"/>
      <c r="AR22" s="282">
        <v>1</v>
      </c>
      <c r="AS22" s="282">
        <v>1.99</v>
      </c>
      <c r="AT22" s="279">
        <v>6</v>
      </c>
      <c r="AU22" s="280">
        <v>6.99</v>
      </c>
      <c r="AV22" s="279">
        <v>3</v>
      </c>
      <c r="AW22" s="279">
        <v>3.99</v>
      </c>
      <c r="AX22" s="279">
        <v>3</v>
      </c>
      <c r="AY22" s="279">
        <v>3.99</v>
      </c>
      <c r="AZ22" s="279">
        <v>4</v>
      </c>
      <c r="BA22" s="279">
        <v>4.99</v>
      </c>
      <c r="BB22" s="289"/>
      <c r="BC22" s="278">
        <v>4.99</v>
      </c>
      <c r="BD22" s="289"/>
      <c r="BE22" s="164"/>
    </row>
    <row r="23" spans="1:57" x14ac:dyDescent="0.25">
      <c r="A23" s="164" t="s">
        <v>37</v>
      </c>
      <c r="B23" s="242" t="s">
        <v>451</v>
      </c>
      <c r="C23" s="166">
        <v>18</v>
      </c>
      <c r="D23" s="167">
        <f ca="1">B33-2150+2-112+7-112-78-112-112</f>
        <v>10</v>
      </c>
      <c r="E23" s="168" t="s">
        <v>101</v>
      </c>
      <c r="F23" s="169">
        <f t="shared" ref="F23:F28" ca="1" si="11">G23-TODAY()</f>
        <v>0</v>
      </c>
      <c r="G23" s="170">
        <f ca="1">TODAY()</f>
        <v>43675</v>
      </c>
      <c r="H23" s="208" t="s">
        <v>440</v>
      </c>
      <c r="I23" s="203" t="s">
        <v>438</v>
      </c>
      <c r="J23" s="171" t="s">
        <v>428</v>
      </c>
      <c r="K23" s="166"/>
      <c r="L23" s="178">
        <v>1.99</v>
      </c>
      <c r="M23" s="166"/>
      <c r="N23" s="178">
        <v>3.99</v>
      </c>
      <c r="O23" s="176">
        <v>2</v>
      </c>
      <c r="P23" s="177">
        <v>2.99</v>
      </c>
      <c r="Q23" s="204">
        <v>4</v>
      </c>
      <c r="R23" s="206">
        <v>6.99</v>
      </c>
      <c r="S23" s="173">
        <v>4</v>
      </c>
      <c r="T23" s="175">
        <v>4.99</v>
      </c>
      <c r="U23" s="166"/>
      <c r="V23" s="178">
        <v>3.99</v>
      </c>
      <c r="W23" s="166"/>
      <c r="X23" s="166"/>
      <c r="Y23" s="179">
        <f t="shared" ref="Y23:Y28" si="12">7-(COUNTBLANK(K23)+COUNTBLANK(M23)+COUNTBLANK(O23)+COUNTBLANK(Q23)+COUNTBLANK(S23)+COUNTBLANK(U23)+COUNTBLANK(W23))</f>
        <v>3</v>
      </c>
      <c r="Z23" s="171">
        <f t="shared" ref="Z23:Z28" si="13">COUNT(X23,T23,V23,R23,P23,N23,L23)</f>
        <v>6</v>
      </c>
      <c r="AA23" s="171"/>
      <c r="AB23" s="171"/>
      <c r="AC23" s="171"/>
      <c r="AD23" s="180"/>
      <c r="AE23" s="180">
        <v>3.5</v>
      </c>
      <c r="AF23" s="180"/>
      <c r="AG23" s="180"/>
      <c r="AH23" s="180"/>
      <c r="AI23" s="180"/>
      <c r="AJ23" s="180" t="s">
        <v>432</v>
      </c>
      <c r="AL23" s="274" t="s">
        <v>492</v>
      </c>
      <c r="AM23" s="268">
        <v>18</v>
      </c>
      <c r="AN23" s="275">
        <v>1648</v>
      </c>
      <c r="AO23" s="300" t="s">
        <v>473</v>
      </c>
      <c r="AP23" s="289"/>
      <c r="AQ23" s="278">
        <v>2.99</v>
      </c>
      <c r="AR23" s="282">
        <v>4</v>
      </c>
      <c r="AS23" s="282">
        <v>4.99</v>
      </c>
      <c r="AT23" s="278">
        <v>3</v>
      </c>
      <c r="AU23" s="278">
        <v>4.99</v>
      </c>
      <c r="AV23" s="279">
        <v>1</v>
      </c>
      <c r="AW23" s="279">
        <v>1.99</v>
      </c>
      <c r="AX23" s="289"/>
      <c r="AY23" s="278">
        <v>1.99</v>
      </c>
      <c r="AZ23" s="289"/>
      <c r="BA23" s="278">
        <v>4.99</v>
      </c>
      <c r="BB23" s="279">
        <v>4</v>
      </c>
      <c r="BC23" s="279">
        <v>4.99</v>
      </c>
      <c r="BD23" s="289"/>
      <c r="BE23" s="164"/>
    </row>
    <row r="24" spans="1:57" x14ac:dyDescent="0.25">
      <c r="A24" s="164" t="s">
        <v>38</v>
      </c>
      <c r="B24" s="207" t="s">
        <v>452</v>
      </c>
      <c r="C24" s="166">
        <v>18</v>
      </c>
      <c r="D24" s="167">
        <f ca="1">B33-2150+2-112+7-112-72-112-112</f>
        <v>16</v>
      </c>
      <c r="E24" s="168"/>
      <c r="F24" s="169">
        <f t="shared" ca="1" si="11"/>
        <v>0</v>
      </c>
      <c r="G24" s="170">
        <f ca="1">TODAY()</f>
        <v>43675</v>
      </c>
      <c r="H24" s="227" t="s">
        <v>453</v>
      </c>
      <c r="I24" s="203" t="s">
        <v>438</v>
      </c>
      <c r="J24" s="171" t="s">
        <v>428</v>
      </c>
      <c r="K24" s="166"/>
      <c r="L24" s="178">
        <v>1.99</v>
      </c>
      <c r="M24" s="176">
        <v>2</v>
      </c>
      <c r="N24" s="177">
        <v>2.99</v>
      </c>
      <c r="O24" s="173">
        <v>3</v>
      </c>
      <c r="P24" s="175">
        <v>3.99</v>
      </c>
      <c r="Q24" s="176">
        <v>4</v>
      </c>
      <c r="R24" s="177">
        <v>4.99</v>
      </c>
      <c r="S24" s="182"/>
      <c r="T24" s="206">
        <v>6.99</v>
      </c>
      <c r="U24" s="176">
        <v>2</v>
      </c>
      <c r="V24" s="177">
        <v>2.99</v>
      </c>
      <c r="W24" s="166"/>
      <c r="X24" s="166"/>
      <c r="Y24" s="179">
        <f t="shared" si="12"/>
        <v>4</v>
      </c>
      <c r="Z24" s="171">
        <f t="shared" si="13"/>
        <v>6</v>
      </c>
      <c r="AA24" s="171"/>
      <c r="AB24" s="171"/>
      <c r="AC24" s="171"/>
      <c r="AD24" s="180"/>
      <c r="AE24" s="180">
        <v>2</v>
      </c>
      <c r="AF24" s="180">
        <v>3</v>
      </c>
      <c r="AG24" s="180">
        <v>5</v>
      </c>
      <c r="AH24" s="180">
        <v>5.5</v>
      </c>
      <c r="AI24" s="180">
        <v>4.5</v>
      </c>
      <c r="AJ24" s="180" t="s">
        <v>445</v>
      </c>
      <c r="AL24" s="274" t="s">
        <v>493</v>
      </c>
      <c r="AM24" s="268">
        <v>19</v>
      </c>
      <c r="AN24" s="275">
        <v>1525</v>
      </c>
      <c r="AO24" s="300"/>
      <c r="AP24" s="277"/>
      <c r="AQ24" s="278">
        <v>0.99</v>
      </c>
      <c r="AR24" s="279">
        <v>4</v>
      </c>
      <c r="AS24" s="279">
        <v>4.99</v>
      </c>
      <c r="AT24" s="277"/>
      <c r="AU24" s="278">
        <v>2.99</v>
      </c>
      <c r="AV24" s="282">
        <v>4</v>
      </c>
      <c r="AW24" s="282">
        <v>4.99</v>
      </c>
      <c r="AX24" s="277"/>
      <c r="AY24" s="278">
        <v>2.99</v>
      </c>
      <c r="AZ24" s="277"/>
      <c r="BA24" s="278">
        <v>4.99</v>
      </c>
      <c r="BB24" s="279">
        <v>4</v>
      </c>
      <c r="BC24" s="279">
        <v>4.99</v>
      </c>
      <c r="BD24" s="289"/>
      <c r="BE24" s="164"/>
    </row>
    <row r="25" spans="1:57" x14ac:dyDescent="0.25">
      <c r="A25" s="164" t="s">
        <v>454</v>
      </c>
      <c r="B25" s="181" t="s">
        <v>455</v>
      </c>
      <c r="C25" s="166">
        <v>17</v>
      </c>
      <c r="D25" s="167">
        <f ca="1">88+B33-2516-112-112</f>
        <v>25</v>
      </c>
      <c r="E25" s="168"/>
      <c r="F25" s="169">
        <f t="shared" ca="1" si="11"/>
        <v>-25</v>
      </c>
      <c r="G25" s="170">
        <v>43650</v>
      </c>
      <c r="H25" s="208" t="s">
        <v>440</v>
      </c>
      <c r="I25" s="172" t="s">
        <v>429</v>
      </c>
      <c r="J25" s="171" t="s">
        <v>428</v>
      </c>
      <c r="K25" s="204">
        <v>3</v>
      </c>
      <c r="L25" s="178">
        <v>4.99</v>
      </c>
      <c r="M25" s="204">
        <v>3</v>
      </c>
      <c r="N25" s="178">
        <v>4.99</v>
      </c>
      <c r="O25" s="182"/>
      <c r="P25" s="178">
        <v>0.99</v>
      </c>
      <c r="Q25" s="182"/>
      <c r="R25" s="178">
        <v>1.99</v>
      </c>
      <c r="S25" s="182"/>
      <c r="T25" s="178">
        <v>1.99</v>
      </c>
      <c r="U25" s="176">
        <v>0</v>
      </c>
      <c r="V25" s="177">
        <v>0.99</v>
      </c>
      <c r="W25" s="182"/>
      <c r="X25" s="178">
        <v>1.99</v>
      </c>
      <c r="Y25" s="179">
        <f t="shared" si="12"/>
        <v>3</v>
      </c>
      <c r="Z25" s="171">
        <f t="shared" si="13"/>
        <v>7</v>
      </c>
      <c r="AA25" s="183"/>
      <c r="AB25" s="183"/>
      <c r="AC25" s="183"/>
      <c r="AD25" s="180">
        <v>4</v>
      </c>
      <c r="AE25" s="180"/>
      <c r="AF25" s="180"/>
      <c r="AG25" s="180"/>
      <c r="AH25" s="180"/>
      <c r="AI25" s="180">
        <v>6.5</v>
      </c>
      <c r="AJ25" s="180" t="s">
        <v>432</v>
      </c>
      <c r="AL25" s="274" t="s">
        <v>494</v>
      </c>
      <c r="AM25" s="268">
        <v>16</v>
      </c>
      <c r="AN25" s="275">
        <v>-624</v>
      </c>
      <c r="AO25" s="300"/>
      <c r="AP25" s="289"/>
      <c r="AQ25" s="289"/>
      <c r="AR25" s="279">
        <v>2</v>
      </c>
      <c r="AS25" s="279">
        <v>2.99</v>
      </c>
      <c r="AT25" s="279">
        <v>5</v>
      </c>
      <c r="AU25" s="280">
        <v>5.99</v>
      </c>
      <c r="AV25" s="282">
        <v>6</v>
      </c>
      <c r="AW25" s="283">
        <v>6.99</v>
      </c>
      <c r="AX25" s="282">
        <v>4</v>
      </c>
      <c r="AY25" s="282">
        <v>4.99</v>
      </c>
      <c r="AZ25" s="279">
        <v>4</v>
      </c>
      <c r="BA25" s="279">
        <v>4.99</v>
      </c>
      <c r="BB25" s="279">
        <v>3</v>
      </c>
      <c r="BC25" s="279">
        <v>3.99</v>
      </c>
      <c r="BD25" s="289"/>
      <c r="BE25" s="164"/>
    </row>
    <row r="26" spans="1:57" x14ac:dyDescent="0.25">
      <c r="A26" s="164" t="s">
        <v>35</v>
      </c>
      <c r="B26" s="207" t="s">
        <v>456</v>
      </c>
      <c r="C26" s="182">
        <v>17</v>
      </c>
      <c r="D26" s="167">
        <f ca="1">B32-43400+6-112-112</f>
        <v>57</v>
      </c>
      <c r="E26" s="168"/>
      <c r="F26" s="169">
        <f t="shared" ca="1" si="11"/>
        <v>0</v>
      </c>
      <c r="G26" s="170">
        <f ca="1">TODAY()</f>
        <v>43675</v>
      </c>
      <c r="H26" s="203" t="s">
        <v>440</v>
      </c>
      <c r="I26" s="171" t="s">
        <v>438</v>
      </c>
      <c r="J26" s="171" t="s">
        <v>428</v>
      </c>
      <c r="K26" s="182"/>
      <c r="L26" s="178">
        <v>1.99</v>
      </c>
      <c r="M26" s="176">
        <v>2</v>
      </c>
      <c r="N26" s="177">
        <v>2.99</v>
      </c>
      <c r="O26" s="182"/>
      <c r="P26" s="178">
        <v>4.99</v>
      </c>
      <c r="Q26" s="176">
        <v>4</v>
      </c>
      <c r="R26" s="177">
        <v>4.99</v>
      </c>
      <c r="S26" s="182"/>
      <c r="T26" s="178">
        <v>4.99</v>
      </c>
      <c r="U26" s="182"/>
      <c r="V26" s="178">
        <v>3.99</v>
      </c>
      <c r="W26" s="182"/>
      <c r="X26" s="182"/>
      <c r="Y26" s="179">
        <f t="shared" si="12"/>
        <v>2</v>
      </c>
      <c r="Z26" s="171">
        <f t="shared" si="13"/>
        <v>6</v>
      </c>
      <c r="AA26" s="183"/>
      <c r="AB26" s="183"/>
      <c r="AC26" s="183"/>
      <c r="AD26" s="180"/>
      <c r="AE26" s="180"/>
      <c r="AF26" s="180">
        <v>3</v>
      </c>
      <c r="AG26" s="180">
        <v>4.5</v>
      </c>
      <c r="AH26" s="180">
        <v>4.5</v>
      </c>
      <c r="AI26" s="180">
        <v>5</v>
      </c>
      <c r="AJ26" s="180" t="s">
        <v>445</v>
      </c>
      <c r="AL26" s="274" t="s">
        <v>496</v>
      </c>
      <c r="AM26" s="268">
        <v>16</v>
      </c>
      <c r="AN26" s="275">
        <v>1566</v>
      </c>
      <c r="AO26" s="300" t="s">
        <v>473</v>
      </c>
      <c r="AP26" s="289"/>
      <c r="AQ26" s="289"/>
      <c r="AR26" s="278">
        <v>2</v>
      </c>
      <c r="AS26" s="289"/>
      <c r="AT26" s="282">
        <v>4</v>
      </c>
      <c r="AU26" s="282">
        <v>4.99</v>
      </c>
      <c r="AV26" s="279">
        <v>4</v>
      </c>
      <c r="AW26" s="279">
        <v>4.99</v>
      </c>
      <c r="AX26" s="282">
        <v>6</v>
      </c>
      <c r="AY26" s="283">
        <v>6.99</v>
      </c>
      <c r="AZ26" s="279">
        <v>4</v>
      </c>
      <c r="BA26" s="279">
        <v>4.99</v>
      </c>
      <c r="BB26" s="289"/>
      <c r="BC26" s="278">
        <v>3.99</v>
      </c>
      <c r="BD26" s="289"/>
      <c r="BE26" s="164"/>
    </row>
    <row r="27" spans="1:57" x14ac:dyDescent="0.25">
      <c r="A27" s="164" t="s">
        <v>45</v>
      </c>
      <c r="B27" s="207" t="s">
        <v>457</v>
      </c>
      <c r="C27" s="182">
        <v>18</v>
      </c>
      <c r="D27" s="167">
        <f ca="1">B33-2100-6-93-112+6-36-112-112-112</f>
        <v>0</v>
      </c>
      <c r="E27" s="168"/>
      <c r="F27" s="169">
        <f t="shared" ca="1" si="11"/>
        <v>0</v>
      </c>
      <c r="G27" s="170">
        <f ca="1">TODAY()</f>
        <v>43675</v>
      </c>
      <c r="H27" s="203" t="s">
        <v>458</v>
      </c>
      <c r="I27" s="171" t="s">
        <v>438</v>
      </c>
      <c r="J27" s="171" t="s">
        <v>428</v>
      </c>
      <c r="K27" s="182"/>
      <c r="L27" s="182"/>
      <c r="M27" s="182"/>
      <c r="N27" s="178">
        <v>2.99</v>
      </c>
      <c r="O27" s="182"/>
      <c r="P27" s="178">
        <v>3.99</v>
      </c>
      <c r="Q27" s="173">
        <v>4</v>
      </c>
      <c r="R27" s="175">
        <v>4.99</v>
      </c>
      <c r="S27" s="176">
        <v>2</v>
      </c>
      <c r="T27" s="177">
        <v>2.99</v>
      </c>
      <c r="U27" s="182"/>
      <c r="V27" s="178">
        <v>2.99</v>
      </c>
      <c r="W27" s="182"/>
      <c r="X27" s="182"/>
      <c r="Y27" s="179">
        <f t="shared" si="12"/>
        <v>2</v>
      </c>
      <c r="Z27" s="171">
        <f t="shared" si="13"/>
        <v>5</v>
      </c>
      <c r="AA27" s="183"/>
      <c r="AB27" s="183"/>
      <c r="AC27" s="183"/>
      <c r="AD27" s="180">
        <v>1</v>
      </c>
      <c r="AE27" s="180"/>
      <c r="AF27" s="180">
        <v>3.5</v>
      </c>
      <c r="AG27" s="180">
        <v>4</v>
      </c>
      <c r="AH27" s="180">
        <v>4</v>
      </c>
      <c r="AI27" s="180"/>
      <c r="AJ27" s="180" t="s">
        <v>432</v>
      </c>
      <c r="AL27" s="274" t="s">
        <v>497</v>
      </c>
      <c r="AM27" s="268">
        <v>19</v>
      </c>
      <c r="AN27" s="275">
        <v>1449</v>
      </c>
      <c r="AO27" s="300" t="s">
        <v>480</v>
      </c>
      <c r="AP27" s="277"/>
      <c r="AQ27" s="278">
        <v>1.99</v>
      </c>
      <c r="AR27" s="279">
        <v>4</v>
      </c>
      <c r="AS27" s="279">
        <v>4.99</v>
      </c>
      <c r="AT27" s="279">
        <v>2</v>
      </c>
      <c r="AU27" s="279">
        <v>2.99</v>
      </c>
      <c r="AV27" s="279">
        <v>4</v>
      </c>
      <c r="AW27" s="279">
        <v>4.99</v>
      </c>
      <c r="AX27" s="282">
        <v>3</v>
      </c>
      <c r="AY27" s="282">
        <v>3.99</v>
      </c>
      <c r="AZ27" s="278">
        <v>5</v>
      </c>
      <c r="BA27" s="290">
        <v>6.99</v>
      </c>
      <c r="BB27" s="288">
        <v>0</v>
      </c>
      <c r="BC27" s="279">
        <v>0.99</v>
      </c>
      <c r="BD27" s="303"/>
      <c r="BE27" s="164"/>
    </row>
    <row r="28" spans="1:57" x14ac:dyDescent="0.25">
      <c r="A28" s="164" t="s">
        <v>39</v>
      </c>
      <c r="B28" s="242" t="s">
        <v>459</v>
      </c>
      <c r="C28" s="166">
        <v>18</v>
      </c>
      <c r="D28" s="243">
        <f ca="1">B33-2158+4-112-23-112-112-112</f>
        <v>52</v>
      </c>
      <c r="E28" s="168" t="s">
        <v>101</v>
      </c>
      <c r="F28" s="169">
        <f t="shared" ca="1" si="11"/>
        <v>0</v>
      </c>
      <c r="G28" s="170">
        <f ca="1">TODAY()</f>
        <v>43675</v>
      </c>
      <c r="H28" s="203" t="s">
        <v>440</v>
      </c>
      <c r="I28" s="171" t="s">
        <v>438</v>
      </c>
      <c r="J28" s="171" t="s">
        <v>428</v>
      </c>
      <c r="K28" s="166"/>
      <c r="L28" s="178">
        <v>1.99</v>
      </c>
      <c r="M28" s="176">
        <v>4</v>
      </c>
      <c r="N28" s="177">
        <v>4.99</v>
      </c>
      <c r="O28" s="166"/>
      <c r="P28" s="178">
        <v>1.99</v>
      </c>
      <c r="Q28" s="176">
        <v>3</v>
      </c>
      <c r="R28" s="177">
        <v>3.99</v>
      </c>
      <c r="S28" s="166"/>
      <c r="T28" s="205">
        <v>5.99</v>
      </c>
      <c r="U28" s="176">
        <v>3</v>
      </c>
      <c r="V28" s="177">
        <v>3.99</v>
      </c>
      <c r="W28" s="166"/>
      <c r="X28" s="166"/>
      <c r="Y28" s="179">
        <f t="shared" si="12"/>
        <v>3</v>
      </c>
      <c r="Z28" s="171">
        <f t="shared" si="13"/>
        <v>6</v>
      </c>
      <c r="AA28" s="171"/>
      <c r="AB28" s="171"/>
      <c r="AC28" s="171"/>
      <c r="AD28" s="180">
        <v>2</v>
      </c>
      <c r="AE28" s="180">
        <v>3.5</v>
      </c>
      <c r="AF28" s="180">
        <v>4</v>
      </c>
      <c r="AG28" s="180">
        <v>3.5</v>
      </c>
      <c r="AH28" s="180">
        <v>4.5</v>
      </c>
      <c r="AI28" s="180"/>
      <c r="AJ28" s="180" t="s">
        <v>445</v>
      </c>
      <c r="AL28" s="274" t="s">
        <v>498</v>
      </c>
      <c r="AM28" s="268">
        <v>16</v>
      </c>
      <c r="AN28" s="275">
        <v>1524</v>
      </c>
      <c r="AO28" s="300"/>
      <c r="AP28" s="277"/>
      <c r="AQ28" s="278">
        <v>1.99</v>
      </c>
      <c r="AR28" s="277"/>
      <c r="AS28" s="278">
        <v>2.99</v>
      </c>
      <c r="AT28" s="279">
        <v>4</v>
      </c>
      <c r="AU28" s="279">
        <v>4.99</v>
      </c>
      <c r="AV28" s="279">
        <v>1</v>
      </c>
      <c r="AW28" s="279">
        <v>1.99</v>
      </c>
      <c r="AX28" s="282">
        <v>6</v>
      </c>
      <c r="AY28" s="283">
        <v>6.99</v>
      </c>
      <c r="AZ28" s="279">
        <v>3</v>
      </c>
      <c r="BA28" s="279">
        <v>3.99</v>
      </c>
      <c r="BB28" s="277"/>
      <c r="BC28" s="277"/>
      <c r="BD28" s="303"/>
      <c r="BE28" s="164"/>
    </row>
    <row r="29" spans="1:57" x14ac:dyDescent="0.25">
      <c r="A29" s="164"/>
      <c r="B29" s="166"/>
      <c r="C29" s="166"/>
      <c r="D29" s="166"/>
      <c r="E29" s="244"/>
      <c r="F29" s="166"/>
      <c r="G29" s="244"/>
      <c r="H29" s="245"/>
      <c r="I29" s="244"/>
      <c r="J29" s="244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244"/>
      <c r="Z29" s="244"/>
      <c r="AA29" s="244"/>
      <c r="AB29" s="244"/>
      <c r="AC29" s="244"/>
      <c r="AD29" s="246"/>
      <c r="AE29" s="246"/>
      <c r="AF29" s="246"/>
      <c r="AG29" s="246"/>
      <c r="AH29" s="246"/>
      <c r="AI29" s="246"/>
      <c r="AJ29" s="245"/>
      <c r="AL29" s="274" t="s">
        <v>499</v>
      </c>
      <c r="AM29" s="268">
        <v>18</v>
      </c>
      <c r="AN29" s="275">
        <v>1507</v>
      </c>
      <c r="AO29" s="300" t="s">
        <v>417</v>
      </c>
      <c r="AP29" s="291"/>
      <c r="AQ29" s="278">
        <v>1.99</v>
      </c>
      <c r="AR29" s="291"/>
      <c r="AS29" s="278">
        <v>1.99</v>
      </c>
      <c r="AT29" s="278">
        <v>5</v>
      </c>
      <c r="AU29" s="290">
        <v>6.99</v>
      </c>
      <c r="AV29" s="279">
        <v>2</v>
      </c>
      <c r="AW29" s="279">
        <v>2.99</v>
      </c>
      <c r="AX29" s="279">
        <v>2</v>
      </c>
      <c r="AY29" s="279">
        <v>2.99</v>
      </c>
      <c r="AZ29" s="279">
        <v>4</v>
      </c>
      <c r="BA29" s="279">
        <v>4.99</v>
      </c>
      <c r="BB29" s="279">
        <v>4</v>
      </c>
      <c r="BC29" s="279">
        <v>4.99</v>
      </c>
      <c r="BD29" s="305"/>
      <c r="BE29" s="292"/>
    </row>
    <row r="30" spans="1:57" x14ac:dyDescent="0.25">
      <c r="A30" s="164"/>
      <c r="B30" s="182"/>
      <c r="C30" s="182"/>
      <c r="D30" s="202"/>
      <c r="E30" s="183"/>
      <c r="F30" s="182"/>
      <c r="G30" s="183"/>
      <c r="H30" s="208"/>
      <c r="I30" s="183"/>
      <c r="J30" s="183"/>
      <c r="K30" s="164"/>
      <c r="L30" s="164"/>
      <c r="M30" s="164"/>
      <c r="N30" s="164"/>
      <c r="O30" s="164"/>
      <c r="P30" s="164"/>
      <c r="Q30" s="182"/>
      <c r="R30" s="182"/>
      <c r="S30" s="182"/>
      <c r="T30" s="182"/>
      <c r="U30" s="182"/>
      <c r="V30" s="182"/>
      <c r="W30" s="182"/>
      <c r="X30" s="182"/>
      <c r="Y30" s="183"/>
      <c r="Z30" s="183"/>
      <c r="AA30" s="183"/>
      <c r="AB30" s="183"/>
      <c r="AC30" s="183"/>
      <c r="AD30" s="241"/>
      <c r="AE30" s="241"/>
      <c r="AF30" s="241"/>
      <c r="AG30" s="241"/>
      <c r="AH30" s="247"/>
      <c r="AI30" s="247"/>
      <c r="AJ30" s="248"/>
      <c r="AL30" s="274" t="s">
        <v>500</v>
      </c>
      <c r="AM30" s="268">
        <v>19</v>
      </c>
      <c r="AN30" s="275">
        <v>1392</v>
      </c>
      <c r="AO30" s="300" t="s">
        <v>501</v>
      </c>
      <c r="AP30" s="289"/>
      <c r="AQ30" s="278">
        <v>1.99</v>
      </c>
      <c r="AR30" s="278">
        <v>4</v>
      </c>
      <c r="AS30" s="287">
        <v>5.99</v>
      </c>
      <c r="AT30" s="282">
        <v>4</v>
      </c>
      <c r="AU30" s="282">
        <v>4.99</v>
      </c>
      <c r="AV30" s="279">
        <v>1</v>
      </c>
      <c r="AW30" s="279">
        <v>1.99</v>
      </c>
      <c r="AX30" s="279">
        <v>5</v>
      </c>
      <c r="AY30" s="279">
        <v>5.99</v>
      </c>
      <c r="AZ30" s="279">
        <v>2</v>
      </c>
      <c r="BA30" s="279">
        <v>2.99</v>
      </c>
      <c r="BB30" s="289"/>
      <c r="BC30" s="289"/>
      <c r="BD30" s="289"/>
      <c r="BE30" s="164"/>
    </row>
    <row r="31" spans="1:57" x14ac:dyDescent="0.25">
      <c r="A31" s="164"/>
      <c r="B31" s="249" t="s">
        <v>460</v>
      </c>
      <c r="C31" s="182"/>
      <c r="D31" s="182"/>
      <c r="E31" s="183"/>
      <c r="F31" s="182"/>
      <c r="G31" s="183"/>
      <c r="H31" s="445"/>
      <c r="I31" s="445"/>
      <c r="J31" s="445"/>
      <c r="K31" s="445"/>
      <c r="L31" s="445"/>
      <c r="M31" s="445"/>
      <c r="N31" s="445"/>
      <c r="O31" s="445"/>
      <c r="P31" s="164"/>
      <c r="Q31" s="166"/>
      <c r="R31" s="166"/>
      <c r="S31" s="182"/>
      <c r="T31" s="182"/>
      <c r="U31" s="182"/>
      <c r="V31" s="182"/>
      <c r="W31" s="182"/>
      <c r="X31" s="182"/>
      <c r="Y31" s="183"/>
      <c r="Z31" s="183"/>
      <c r="AA31" s="183"/>
      <c r="AB31" s="183"/>
      <c r="AC31" s="183"/>
      <c r="AD31" s="241"/>
      <c r="AE31" s="241"/>
      <c r="AF31" s="250"/>
      <c r="AG31" s="250"/>
      <c r="AH31" s="241"/>
      <c r="AI31" s="241"/>
      <c r="AJ31" s="208"/>
      <c r="AL31" s="274" t="s">
        <v>502</v>
      </c>
      <c r="AM31" s="268">
        <v>18</v>
      </c>
      <c r="AN31" s="275">
        <v>1470</v>
      </c>
      <c r="AO31" s="300"/>
      <c r="AP31" s="289"/>
      <c r="AQ31" s="278">
        <v>1.99</v>
      </c>
      <c r="AR31" s="279">
        <v>3</v>
      </c>
      <c r="AS31" s="279">
        <v>3.99</v>
      </c>
      <c r="AT31" s="279">
        <v>3</v>
      </c>
      <c r="AU31" s="279">
        <v>3.99</v>
      </c>
      <c r="AV31" s="282">
        <v>6</v>
      </c>
      <c r="AW31" s="283">
        <v>6.99</v>
      </c>
      <c r="AX31" s="279">
        <v>2</v>
      </c>
      <c r="AY31" s="279">
        <v>2.99</v>
      </c>
      <c r="AZ31" s="279">
        <v>4</v>
      </c>
      <c r="BA31" s="279">
        <v>4.99</v>
      </c>
      <c r="BB31" s="289"/>
      <c r="BC31" s="278">
        <v>3.99</v>
      </c>
      <c r="BD31" s="293" t="s">
        <v>503</v>
      </c>
    </row>
    <row r="32" spans="1:57" x14ac:dyDescent="0.25">
      <c r="A32" s="251"/>
      <c r="B32" s="252">
        <f ca="1">TODAY()</f>
        <v>43675</v>
      </c>
      <c r="C32" s="182"/>
      <c r="D32" s="182"/>
      <c r="E32" s="253"/>
      <c r="F32" s="182"/>
      <c r="G32" s="254"/>
      <c r="H32" s="255"/>
      <c r="I32" s="254"/>
      <c r="J32" s="254"/>
      <c r="K32" s="182"/>
      <c r="L32" s="182"/>
      <c r="M32" s="182"/>
      <c r="N32" s="182"/>
      <c r="O32" s="182"/>
      <c r="P32" s="182"/>
      <c r="Q32" s="166"/>
      <c r="R32" s="166"/>
      <c r="S32" s="182"/>
      <c r="T32" s="182"/>
      <c r="U32" s="182"/>
      <c r="V32" s="182"/>
      <c r="W32" s="254"/>
      <c r="X32" s="254"/>
      <c r="Y32" s="254"/>
      <c r="Z32" s="254"/>
      <c r="AA32" s="254"/>
      <c r="AB32" s="254"/>
      <c r="AC32" s="254"/>
      <c r="AD32" s="241"/>
      <c r="AE32" s="241"/>
      <c r="AF32" s="241"/>
      <c r="AG32" s="241"/>
      <c r="AH32" s="241"/>
      <c r="AI32" s="241"/>
      <c r="AJ32" s="208"/>
      <c r="AL32" s="274" t="s">
        <v>504</v>
      </c>
      <c r="AM32" s="268">
        <v>17</v>
      </c>
      <c r="AN32" s="275">
        <v>1357</v>
      </c>
      <c r="AO32" s="300" t="s">
        <v>477</v>
      </c>
      <c r="AP32" s="289"/>
      <c r="AQ32" s="289"/>
      <c r="AR32" s="289"/>
      <c r="AS32" s="278">
        <v>2.99</v>
      </c>
      <c r="AT32" s="282">
        <v>5</v>
      </c>
      <c r="AU32" s="285">
        <v>5.99</v>
      </c>
      <c r="AV32" s="282">
        <v>6</v>
      </c>
      <c r="AW32" s="283">
        <v>6.99</v>
      </c>
      <c r="AX32" s="279">
        <v>3</v>
      </c>
      <c r="AY32" s="279">
        <v>3.99</v>
      </c>
      <c r="AZ32" s="279">
        <v>3</v>
      </c>
      <c r="BA32" s="279">
        <v>3.99</v>
      </c>
      <c r="BB32" s="289"/>
      <c r="BC32" s="278">
        <v>2.99</v>
      </c>
      <c r="BD32" s="293">
        <v>42287</v>
      </c>
    </row>
    <row r="33" spans="1:56" x14ac:dyDescent="0.25">
      <c r="A33" s="164"/>
      <c r="B33" s="202">
        <f ca="1">411+B36</f>
        <v>2677</v>
      </c>
      <c r="C33" s="182"/>
      <c r="D33" s="182"/>
      <c r="E33" s="183"/>
      <c r="F33" s="182"/>
      <c r="G33" s="254"/>
      <c r="H33" s="255"/>
      <c r="I33" s="254"/>
      <c r="J33" s="254"/>
      <c r="K33" s="182"/>
      <c r="L33" s="182"/>
      <c r="M33" s="182"/>
      <c r="N33" s="182"/>
      <c r="O33" s="182"/>
      <c r="P33" s="182"/>
      <c r="Q33" s="166"/>
      <c r="R33" s="166"/>
      <c r="S33" s="182"/>
      <c r="T33" s="182"/>
      <c r="U33" s="182"/>
      <c r="V33" s="182"/>
      <c r="W33" s="182"/>
      <c r="X33" s="254"/>
      <c r="Y33" s="254"/>
      <c r="Z33" s="254"/>
      <c r="AA33" s="254"/>
      <c r="AB33" s="254"/>
      <c r="AC33" s="254"/>
      <c r="AD33" s="256"/>
      <c r="AE33" s="256"/>
      <c r="AF33" s="241"/>
      <c r="AG33" s="241"/>
      <c r="AH33" s="241"/>
      <c r="AI33" s="241"/>
      <c r="AJ33" s="208"/>
      <c r="AL33" s="274" t="s">
        <v>505</v>
      </c>
      <c r="AM33" s="268">
        <v>17</v>
      </c>
      <c r="AN33" s="275">
        <v>1358</v>
      </c>
      <c r="AO33" s="300" t="s">
        <v>480</v>
      </c>
      <c r="AP33" s="289"/>
      <c r="AQ33" s="289"/>
      <c r="AR33" s="282">
        <v>4</v>
      </c>
      <c r="AS33" s="282">
        <v>4.99</v>
      </c>
      <c r="AT33" s="282">
        <v>5</v>
      </c>
      <c r="AU33" s="285">
        <v>5.99</v>
      </c>
      <c r="AV33" s="279">
        <v>2</v>
      </c>
      <c r="AW33" s="279">
        <v>2.99</v>
      </c>
      <c r="AX33" s="279">
        <v>3</v>
      </c>
      <c r="AY33" s="279">
        <v>3.99</v>
      </c>
      <c r="AZ33" s="279">
        <v>3</v>
      </c>
      <c r="BA33" s="279">
        <v>3.99</v>
      </c>
      <c r="BB33" s="279">
        <v>3</v>
      </c>
      <c r="BC33" s="279">
        <v>3.99</v>
      </c>
      <c r="BD33" s="293" t="s">
        <v>503</v>
      </c>
    </row>
    <row r="34" spans="1:56" x14ac:dyDescent="0.25">
      <c r="A34" s="164"/>
      <c r="B34" s="182"/>
      <c r="C34" s="182"/>
      <c r="D34" s="182"/>
      <c r="E34" s="183"/>
      <c r="F34" s="182"/>
      <c r="G34" s="183"/>
      <c r="H34" s="208"/>
      <c r="I34" s="183"/>
      <c r="J34" s="183"/>
      <c r="K34" s="182"/>
      <c r="L34" s="182"/>
      <c r="M34" s="182"/>
      <c r="N34" s="182"/>
      <c r="O34" s="182"/>
      <c r="P34" s="182"/>
      <c r="Q34" s="166"/>
      <c r="R34" s="166"/>
      <c r="S34" s="182"/>
      <c r="T34" s="182"/>
      <c r="U34" s="166"/>
      <c r="V34" s="182"/>
      <c r="W34" s="182"/>
      <c r="X34" s="182"/>
      <c r="Y34" s="183"/>
      <c r="Z34" s="183"/>
      <c r="AA34" s="183"/>
      <c r="AB34" s="183"/>
      <c r="AC34" s="183"/>
      <c r="AD34" s="241"/>
      <c r="AE34" s="241"/>
      <c r="AF34" s="246"/>
      <c r="AG34" s="246"/>
      <c r="AH34" s="241"/>
      <c r="AI34" s="241"/>
      <c r="AJ34" s="208"/>
      <c r="AL34" s="274" t="s">
        <v>506</v>
      </c>
      <c r="AM34" s="268">
        <v>17</v>
      </c>
      <c r="AN34" s="275">
        <v>1417</v>
      </c>
      <c r="AO34" s="300" t="s">
        <v>488</v>
      </c>
      <c r="AP34" s="277"/>
      <c r="AQ34" s="277"/>
      <c r="AR34" s="277"/>
      <c r="AS34" s="278">
        <v>2.99</v>
      </c>
      <c r="AT34" s="282">
        <v>5</v>
      </c>
      <c r="AU34" s="285">
        <v>5.99</v>
      </c>
      <c r="AV34" s="279">
        <v>3</v>
      </c>
      <c r="AW34" s="279">
        <v>3.99</v>
      </c>
      <c r="AX34" s="279">
        <v>3</v>
      </c>
      <c r="AY34" s="279">
        <v>3.99</v>
      </c>
      <c r="AZ34" s="277"/>
      <c r="BA34" s="278">
        <v>4.99</v>
      </c>
      <c r="BB34" s="277"/>
      <c r="BC34" s="278">
        <v>3.99</v>
      </c>
      <c r="BD34" s="293" t="s">
        <v>503</v>
      </c>
    </row>
    <row r="35" spans="1:56" x14ac:dyDescent="0.25">
      <c r="A35" s="164"/>
      <c r="B35" s="257">
        <v>41409</v>
      </c>
      <c r="C35" s="182"/>
      <c r="D35" s="182"/>
      <c r="E35" s="183"/>
      <c r="F35" s="182"/>
      <c r="G35" s="183"/>
      <c r="H35" s="208"/>
      <c r="I35" s="183"/>
      <c r="J35" s="183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3"/>
      <c r="Z35" s="183"/>
      <c r="AA35" s="183"/>
      <c r="AB35" s="183"/>
      <c r="AC35" s="183"/>
      <c r="AD35" s="241"/>
      <c r="AE35" s="241"/>
      <c r="AF35" s="241"/>
      <c r="AG35" s="241"/>
      <c r="AH35" s="241"/>
      <c r="AI35" s="241"/>
      <c r="AJ35" s="208"/>
      <c r="AL35" s="274" t="s">
        <v>507</v>
      </c>
      <c r="AM35" s="268">
        <v>17</v>
      </c>
      <c r="AN35" s="275">
        <v>1296</v>
      </c>
      <c r="AO35" s="300"/>
      <c r="AP35" s="289"/>
      <c r="AQ35" s="278">
        <v>1.99</v>
      </c>
      <c r="AR35" s="289"/>
      <c r="AS35" s="278">
        <v>2.99</v>
      </c>
      <c r="AT35" s="279">
        <v>6</v>
      </c>
      <c r="AU35" s="280">
        <v>6.99</v>
      </c>
      <c r="AV35" s="279">
        <v>3</v>
      </c>
      <c r="AW35" s="279">
        <v>3.99</v>
      </c>
      <c r="AX35" s="282">
        <v>5</v>
      </c>
      <c r="AY35" s="285">
        <v>5.99</v>
      </c>
      <c r="AZ35" s="279">
        <v>4</v>
      </c>
      <c r="BA35" s="279">
        <v>4.99</v>
      </c>
      <c r="BB35" s="279">
        <v>1</v>
      </c>
      <c r="BC35" s="279">
        <v>1.99</v>
      </c>
      <c r="BD35" s="293">
        <v>42348</v>
      </c>
    </row>
    <row r="36" spans="1:56" x14ac:dyDescent="0.25">
      <c r="A36" s="164"/>
      <c r="B36" s="258">
        <f ca="1">B32-B35</f>
        <v>2266</v>
      </c>
      <c r="C36" s="182"/>
      <c r="D36" s="202"/>
      <c r="E36" s="183"/>
      <c r="F36" s="182"/>
      <c r="G36" s="259"/>
      <c r="H36" s="208"/>
      <c r="I36" s="183"/>
      <c r="J36" s="183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3"/>
      <c r="Z36" s="183"/>
      <c r="AA36" s="183"/>
      <c r="AB36" s="183"/>
      <c r="AC36" s="183"/>
      <c r="AD36" s="241"/>
      <c r="AE36" s="241"/>
      <c r="AF36" s="241"/>
      <c r="AG36" s="241"/>
      <c r="AH36" s="241"/>
      <c r="AI36" s="241"/>
      <c r="AJ36" s="208"/>
      <c r="AL36" s="274" t="s">
        <v>508</v>
      </c>
      <c r="AM36" s="268">
        <v>17</v>
      </c>
      <c r="AN36" s="275">
        <v>1312</v>
      </c>
      <c r="AO36" s="300" t="s">
        <v>501</v>
      </c>
      <c r="AP36" s="289"/>
      <c r="AQ36" s="278">
        <v>1.99</v>
      </c>
      <c r="AR36" s="282">
        <v>2</v>
      </c>
      <c r="AS36" s="282">
        <v>2.99</v>
      </c>
      <c r="AT36" s="282">
        <v>6</v>
      </c>
      <c r="AU36" s="283">
        <v>6.99</v>
      </c>
      <c r="AV36" s="289"/>
      <c r="AW36" s="289">
        <v>2.99</v>
      </c>
      <c r="AX36" s="278">
        <v>3</v>
      </c>
      <c r="AY36" s="289">
        <v>3.99</v>
      </c>
      <c r="AZ36" s="279">
        <v>4</v>
      </c>
      <c r="BA36" s="279">
        <v>4.99</v>
      </c>
      <c r="BB36" s="289"/>
      <c r="BC36" s="289"/>
      <c r="BD36" s="293">
        <v>42358</v>
      </c>
    </row>
    <row r="37" spans="1:56" x14ac:dyDescent="0.25">
      <c r="A37" s="164"/>
      <c r="B37" s="182"/>
      <c r="C37" s="182"/>
      <c r="D37" s="182"/>
      <c r="E37" s="183"/>
      <c r="F37" s="182"/>
      <c r="G37" s="183"/>
      <c r="H37" s="208"/>
      <c r="I37" s="183"/>
      <c r="J37" s="183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3"/>
      <c r="Z37" s="183"/>
      <c r="AA37" s="183"/>
      <c r="AB37" s="183"/>
      <c r="AC37" s="183"/>
      <c r="AD37" s="241"/>
      <c r="AE37" s="241"/>
      <c r="AF37" s="241"/>
      <c r="AG37" s="241"/>
      <c r="AH37" s="241"/>
      <c r="AI37" s="241"/>
      <c r="AJ37" s="208"/>
      <c r="AL37" s="274" t="s">
        <v>509</v>
      </c>
      <c r="AM37" s="268">
        <v>17</v>
      </c>
      <c r="AN37" s="275">
        <v>1277</v>
      </c>
      <c r="AO37" s="300"/>
      <c r="AP37" s="289"/>
      <c r="AQ37" s="289"/>
      <c r="AR37" s="289"/>
      <c r="AS37" s="278">
        <v>2.99</v>
      </c>
      <c r="AT37" s="282">
        <v>5</v>
      </c>
      <c r="AU37" s="285">
        <v>5.99</v>
      </c>
      <c r="AV37" s="289"/>
      <c r="AW37" s="278">
        <v>3.99</v>
      </c>
      <c r="AX37" s="282">
        <v>5</v>
      </c>
      <c r="AY37" s="285">
        <v>5.99</v>
      </c>
      <c r="AZ37" s="282">
        <v>5</v>
      </c>
      <c r="BA37" s="285">
        <v>5.99</v>
      </c>
      <c r="BB37" s="289"/>
      <c r="BC37" s="289"/>
      <c r="BD37" s="293">
        <v>42369</v>
      </c>
    </row>
    <row r="38" spans="1:56" x14ac:dyDescent="0.25">
      <c r="A38" s="164"/>
      <c r="B38" s="182"/>
      <c r="C38" s="182"/>
      <c r="D38" s="182"/>
      <c r="E38" s="183"/>
      <c r="F38" s="182"/>
      <c r="G38" s="183"/>
      <c r="H38" s="208"/>
      <c r="I38" s="183"/>
      <c r="J38" s="183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3"/>
      <c r="Z38" s="183"/>
      <c r="AA38" s="183"/>
      <c r="AB38" s="183"/>
      <c r="AC38" s="183"/>
      <c r="AD38" s="241"/>
      <c r="AE38" s="241"/>
      <c r="AF38" s="241"/>
      <c r="AG38" s="241"/>
      <c r="AH38" s="241"/>
      <c r="AI38" s="241"/>
      <c r="AJ38" s="208"/>
      <c r="AL38" s="274" t="s">
        <v>510</v>
      </c>
      <c r="AM38" s="268">
        <v>18</v>
      </c>
      <c r="AN38" s="275">
        <v>1366</v>
      </c>
      <c r="AO38" s="300"/>
      <c r="AP38" s="277"/>
      <c r="AQ38" s="278">
        <v>0.99</v>
      </c>
      <c r="AR38" s="278">
        <v>4</v>
      </c>
      <c r="AS38" s="290">
        <v>6.99</v>
      </c>
      <c r="AT38" s="282">
        <v>5</v>
      </c>
      <c r="AU38" s="285">
        <v>5.99</v>
      </c>
      <c r="AV38" s="277"/>
      <c r="AW38" s="278">
        <v>3.99</v>
      </c>
      <c r="AX38" s="279">
        <v>3</v>
      </c>
      <c r="AY38" s="279">
        <v>3.99</v>
      </c>
      <c r="AZ38" s="279">
        <v>6</v>
      </c>
      <c r="BA38" s="280">
        <v>6.99</v>
      </c>
      <c r="BB38" s="277"/>
      <c r="BC38" s="278">
        <v>4.99</v>
      </c>
      <c r="BD38" s="293" t="s">
        <v>503</v>
      </c>
    </row>
    <row r="39" spans="1:56" x14ac:dyDescent="0.25">
      <c r="A39" s="164"/>
      <c r="B39" s="182"/>
      <c r="C39" s="182"/>
      <c r="D39" s="182"/>
      <c r="E39" s="183"/>
      <c r="F39" s="182"/>
      <c r="G39" s="183"/>
      <c r="H39" s="208"/>
      <c r="I39" s="183"/>
      <c r="J39" s="183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3"/>
      <c r="Z39" s="183"/>
      <c r="AA39" s="183"/>
      <c r="AB39" s="183"/>
      <c r="AC39" s="183"/>
      <c r="AD39" s="241"/>
      <c r="AE39" s="241"/>
      <c r="AF39" s="241"/>
      <c r="AG39" s="241"/>
      <c r="AH39" s="241"/>
      <c r="AI39" s="241"/>
      <c r="AJ39" s="208"/>
      <c r="AL39" s="274" t="s">
        <v>511</v>
      </c>
      <c r="AM39" s="268">
        <v>17</v>
      </c>
      <c r="AN39" s="275">
        <v>1283</v>
      </c>
      <c r="AO39" s="300"/>
      <c r="AP39" s="289"/>
      <c r="AQ39" s="278">
        <v>1.99</v>
      </c>
      <c r="AR39" s="282">
        <v>4</v>
      </c>
      <c r="AS39" s="282">
        <v>4.99</v>
      </c>
      <c r="AT39" s="279">
        <v>2</v>
      </c>
      <c r="AU39" s="279">
        <v>2.99</v>
      </c>
      <c r="AV39" s="279">
        <v>3</v>
      </c>
      <c r="AW39" s="279">
        <v>3.99</v>
      </c>
      <c r="AX39" s="282">
        <v>6</v>
      </c>
      <c r="AY39" s="283">
        <v>6.99</v>
      </c>
      <c r="AZ39" s="279">
        <v>3</v>
      </c>
      <c r="BA39" s="279">
        <v>3.99</v>
      </c>
      <c r="BB39" s="289"/>
      <c r="BC39" s="278">
        <v>2.99</v>
      </c>
      <c r="BD39" s="293">
        <v>42361</v>
      </c>
    </row>
    <row r="40" spans="1:56" x14ac:dyDescent="0.25">
      <c r="AL40" s="274" t="s">
        <v>512</v>
      </c>
      <c r="AM40" s="268">
        <v>16</v>
      </c>
      <c r="AN40" s="275">
        <v>1347</v>
      </c>
      <c r="AO40" s="300"/>
      <c r="AP40" s="289"/>
      <c r="AQ40" s="289"/>
      <c r="AR40" s="278">
        <v>4</v>
      </c>
      <c r="AS40" s="287">
        <v>5.99</v>
      </c>
      <c r="AT40" s="282">
        <v>2</v>
      </c>
      <c r="AU40" s="282">
        <v>2.99</v>
      </c>
      <c r="AV40" s="279">
        <v>4</v>
      </c>
      <c r="AW40" s="279">
        <v>4.99</v>
      </c>
      <c r="AX40" s="282">
        <v>6</v>
      </c>
      <c r="AY40" s="283">
        <v>6.99</v>
      </c>
      <c r="AZ40" s="279">
        <v>4</v>
      </c>
      <c r="BA40" s="279">
        <v>4.99</v>
      </c>
      <c r="BB40" s="289"/>
      <c r="BC40" s="289"/>
      <c r="BD40" s="293">
        <v>42409</v>
      </c>
    </row>
    <row r="41" spans="1:56" x14ac:dyDescent="0.25">
      <c r="AL41" s="274" t="s">
        <v>513</v>
      </c>
      <c r="AM41" s="268">
        <v>17</v>
      </c>
      <c r="AN41" s="275">
        <v>1269</v>
      </c>
      <c r="AO41" s="300" t="s">
        <v>480</v>
      </c>
      <c r="AP41" s="277"/>
      <c r="AQ41" s="278">
        <v>1.99</v>
      </c>
      <c r="AR41" s="282">
        <v>5</v>
      </c>
      <c r="AS41" s="285">
        <v>5.99</v>
      </c>
      <c r="AT41" s="279">
        <v>5</v>
      </c>
      <c r="AU41" s="280">
        <v>5.99</v>
      </c>
      <c r="AV41" s="282">
        <v>3</v>
      </c>
      <c r="AW41" s="282">
        <v>3.99</v>
      </c>
      <c r="AX41" s="279">
        <v>2</v>
      </c>
      <c r="AY41" s="279">
        <v>2.99</v>
      </c>
      <c r="AZ41" s="279">
        <v>2</v>
      </c>
      <c r="BA41" s="279">
        <v>2.99</v>
      </c>
      <c r="BB41" s="277"/>
      <c r="BC41" s="277"/>
      <c r="BD41" s="293">
        <v>42375</v>
      </c>
    </row>
    <row r="42" spans="1:56" x14ac:dyDescent="0.25">
      <c r="AL42" s="274" t="s">
        <v>514</v>
      </c>
      <c r="AM42" s="268">
        <v>17</v>
      </c>
      <c r="AN42" s="275">
        <v>1213</v>
      </c>
      <c r="AO42" s="300" t="s">
        <v>480</v>
      </c>
      <c r="AP42" s="289"/>
      <c r="AQ42" s="289"/>
      <c r="AR42" s="289"/>
      <c r="AS42" s="278">
        <v>2.99</v>
      </c>
      <c r="AT42" s="282">
        <v>5</v>
      </c>
      <c r="AU42" s="285">
        <v>5.99</v>
      </c>
      <c r="AV42" s="289"/>
      <c r="AW42" s="278">
        <v>2.99</v>
      </c>
      <c r="AX42" s="282">
        <v>3</v>
      </c>
      <c r="AY42" s="289">
        <v>3.99</v>
      </c>
      <c r="AZ42" s="282">
        <v>6</v>
      </c>
      <c r="BA42" s="283">
        <v>6.99</v>
      </c>
      <c r="BB42" s="279">
        <v>2</v>
      </c>
      <c r="BC42" s="279">
        <v>2.99</v>
      </c>
      <c r="BD42" s="293">
        <v>42431</v>
      </c>
    </row>
    <row r="43" spans="1:56" x14ac:dyDescent="0.25">
      <c r="AL43" s="274" t="s">
        <v>515</v>
      </c>
      <c r="AM43" s="268">
        <v>17</v>
      </c>
      <c r="AN43" s="275">
        <v>1214</v>
      </c>
      <c r="AO43" s="300"/>
      <c r="AP43" s="289"/>
      <c r="AQ43" s="278">
        <v>1.99</v>
      </c>
      <c r="AR43" s="282">
        <v>4</v>
      </c>
      <c r="AS43" s="282">
        <v>4.99</v>
      </c>
      <c r="AT43" s="279">
        <v>5</v>
      </c>
      <c r="AU43" s="280">
        <v>5.99</v>
      </c>
      <c r="AV43" s="289"/>
      <c r="AW43" s="278">
        <v>4.99</v>
      </c>
      <c r="AX43" s="282">
        <v>5</v>
      </c>
      <c r="AY43" s="285">
        <v>5.99</v>
      </c>
      <c r="AZ43" s="279">
        <v>3</v>
      </c>
      <c r="BA43" s="279">
        <v>3.99</v>
      </c>
      <c r="BB43" s="279">
        <v>2</v>
      </c>
      <c r="BC43" s="279">
        <v>2.99</v>
      </c>
      <c r="BD43" s="293">
        <v>42430</v>
      </c>
    </row>
    <row r="44" spans="1:56" x14ac:dyDescent="0.25">
      <c r="AL44" s="274" t="s">
        <v>516</v>
      </c>
      <c r="AM44" s="268">
        <v>17</v>
      </c>
      <c r="AN44" s="275">
        <v>1221</v>
      </c>
      <c r="AO44" s="300"/>
      <c r="AP44" s="289"/>
      <c r="AQ44" s="289"/>
      <c r="AR44" s="279">
        <v>3</v>
      </c>
      <c r="AS44" s="279">
        <v>3.99</v>
      </c>
      <c r="AT44" s="282">
        <v>4</v>
      </c>
      <c r="AU44" s="282">
        <v>4.99</v>
      </c>
      <c r="AV44" s="282">
        <v>4</v>
      </c>
      <c r="AW44" s="282">
        <v>4.99</v>
      </c>
      <c r="AX44" s="289"/>
      <c r="AY44" s="278">
        <v>4.99</v>
      </c>
      <c r="AZ44" s="282">
        <v>5</v>
      </c>
      <c r="BA44" s="285">
        <v>5.99</v>
      </c>
      <c r="BB44" s="279">
        <v>1</v>
      </c>
      <c r="BC44" s="279">
        <v>1.99</v>
      </c>
      <c r="BD44" s="293">
        <v>42516</v>
      </c>
    </row>
    <row r="45" spans="1:56" x14ac:dyDescent="0.25">
      <c r="AL45" s="274" t="s">
        <v>517</v>
      </c>
      <c r="AM45" s="268">
        <v>16</v>
      </c>
      <c r="AN45" s="275">
        <v>1228</v>
      </c>
      <c r="AO45" s="300" t="s">
        <v>477</v>
      </c>
      <c r="AP45" s="289"/>
      <c r="AQ45" s="278">
        <v>1.99</v>
      </c>
      <c r="AR45" s="282">
        <v>5</v>
      </c>
      <c r="AS45" s="285">
        <v>5.99</v>
      </c>
      <c r="AT45" s="282">
        <v>5</v>
      </c>
      <c r="AU45" s="285">
        <v>5.99</v>
      </c>
      <c r="AV45" s="282">
        <v>3</v>
      </c>
      <c r="AW45" s="282">
        <v>3.99</v>
      </c>
      <c r="AX45" s="282">
        <v>3</v>
      </c>
      <c r="AY45" s="282">
        <v>3.99</v>
      </c>
      <c r="AZ45" s="279">
        <v>1</v>
      </c>
      <c r="BA45" s="279">
        <v>1.99</v>
      </c>
      <c r="BB45" s="289"/>
      <c r="BC45" s="289"/>
      <c r="BD45" s="293">
        <v>42528</v>
      </c>
    </row>
    <row r="46" spans="1:56" x14ac:dyDescent="0.25">
      <c r="AL46" s="274" t="s">
        <v>518</v>
      </c>
      <c r="AM46" s="268">
        <v>18</v>
      </c>
      <c r="AN46" s="275">
        <v>1205</v>
      </c>
      <c r="AO46" s="300"/>
      <c r="AP46" s="289"/>
      <c r="AQ46" s="289"/>
      <c r="AR46" s="282">
        <v>6</v>
      </c>
      <c r="AS46" s="283">
        <v>6.99</v>
      </c>
      <c r="AT46" s="279">
        <v>4</v>
      </c>
      <c r="AU46" s="279">
        <v>4.99</v>
      </c>
      <c r="AV46" s="289"/>
      <c r="AW46" s="278">
        <v>2.99</v>
      </c>
      <c r="AX46" s="282">
        <v>3</v>
      </c>
      <c r="AY46" s="282">
        <v>3.99</v>
      </c>
      <c r="AZ46" s="279">
        <v>2</v>
      </c>
      <c r="BA46" s="279">
        <v>2.99</v>
      </c>
      <c r="BB46" s="279">
        <v>2</v>
      </c>
      <c r="BC46" s="279">
        <v>2.99</v>
      </c>
      <c r="BD46" s="293">
        <v>42327</v>
      </c>
    </row>
    <row r="47" spans="1:56" x14ac:dyDescent="0.25">
      <c r="AL47" s="274" t="s">
        <v>519</v>
      </c>
      <c r="AM47" s="268">
        <v>17</v>
      </c>
      <c r="AN47" s="275">
        <v>1042</v>
      </c>
      <c r="AO47" s="300"/>
      <c r="AP47" s="289"/>
      <c r="AQ47" s="289"/>
      <c r="AR47" s="279">
        <v>4</v>
      </c>
      <c r="AS47" s="279">
        <v>4.99</v>
      </c>
      <c r="AT47" s="279">
        <v>5</v>
      </c>
      <c r="AU47" s="280">
        <v>5.99</v>
      </c>
      <c r="AV47" s="289"/>
      <c r="AW47" s="278">
        <v>2.99</v>
      </c>
      <c r="AX47" s="289"/>
      <c r="AY47" s="278">
        <v>3.99</v>
      </c>
      <c r="AZ47" s="279">
        <v>3</v>
      </c>
      <c r="BA47" s="279">
        <v>3.99</v>
      </c>
      <c r="BB47" s="289"/>
      <c r="BC47" s="289"/>
      <c r="BD47" s="293">
        <v>42602</v>
      </c>
    </row>
    <row r="48" spans="1:56" x14ac:dyDescent="0.25">
      <c r="AL48" s="274" t="s">
        <v>520</v>
      </c>
      <c r="AM48" s="268">
        <v>19</v>
      </c>
      <c r="AN48" s="275">
        <v>1021</v>
      </c>
      <c r="AO48" s="300"/>
      <c r="AP48" s="289"/>
      <c r="AQ48" s="289"/>
      <c r="AR48" s="279">
        <v>4</v>
      </c>
      <c r="AS48" s="279">
        <v>4.99</v>
      </c>
      <c r="AT48" s="282">
        <v>4</v>
      </c>
      <c r="AU48" s="282">
        <v>4.99</v>
      </c>
      <c r="AV48" s="289"/>
      <c r="AW48" s="278">
        <v>4.99</v>
      </c>
      <c r="AX48" s="278">
        <v>3</v>
      </c>
      <c r="AY48" s="278">
        <v>4.99</v>
      </c>
      <c r="AZ48" s="279">
        <v>2</v>
      </c>
      <c r="BA48" s="279">
        <v>2.99</v>
      </c>
      <c r="BB48" s="289"/>
      <c r="BC48" s="278">
        <v>2.99</v>
      </c>
      <c r="BD48" s="293">
        <v>42429</v>
      </c>
    </row>
    <row r="49" spans="38:56" x14ac:dyDescent="0.25">
      <c r="AL49" s="274" t="s">
        <v>521</v>
      </c>
      <c r="AM49" s="268">
        <v>18</v>
      </c>
      <c r="AN49" s="275">
        <v>1127</v>
      </c>
      <c r="AO49" s="300"/>
      <c r="AP49" s="289"/>
      <c r="AQ49" s="289"/>
      <c r="AR49" s="279">
        <v>4</v>
      </c>
      <c r="AS49" s="279">
        <v>4.99</v>
      </c>
      <c r="AT49" s="279">
        <v>4</v>
      </c>
      <c r="AU49" s="279">
        <v>4.99</v>
      </c>
      <c r="AV49" s="289"/>
      <c r="AW49" s="278">
        <v>3.99</v>
      </c>
      <c r="AX49" s="278">
        <v>4</v>
      </c>
      <c r="AY49" s="287">
        <v>5.99</v>
      </c>
      <c r="AZ49" s="279">
        <v>4</v>
      </c>
      <c r="BA49" s="279">
        <v>4.99</v>
      </c>
      <c r="BB49" s="289"/>
      <c r="BC49" s="290">
        <v>6.99</v>
      </c>
      <c r="BD49" s="293">
        <v>42405</v>
      </c>
    </row>
    <row r="50" spans="38:56" x14ac:dyDescent="0.25">
      <c r="AL50" s="274" t="s">
        <v>522</v>
      </c>
      <c r="AM50" s="268">
        <v>17</v>
      </c>
      <c r="AN50" s="275">
        <v>1013</v>
      </c>
      <c r="AO50" s="300"/>
      <c r="AP50" s="289"/>
      <c r="AQ50" s="278">
        <v>1.99</v>
      </c>
      <c r="AR50" s="279">
        <v>6</v>
      </c>
      <c r="AS50" s="280">
        <v>6.99</v>
      </c>
      <c r="AT50" s="282">
        <v>4</v>
      </c>
      <c r="AU50" s="282">
        <v>4.99</v>
      </c>
      <c r="AV50" s="279">
        <v>3</v>
      </c>
      <c r="AW50" s="279">
        <v>3.99</v>
      </c>
      <c r="AX50" s="289"/>
      <c r="AY50" s="289"/>
      <c r="AZ50" s="279">
        <v>4</v>
      </c>
      <c r="BA50" s="279">
        <v>4.99</v>
      </c>
      <c r="BB50" s="289"/>
      <c r="BC50" s="278">
        <v>3.99</v>
      </c>
      <c r="BD50" s="293">
        <v>42631</v>
      </c>
    </row>
    <row r="51" spans="38:56" x14ac:dyDescent="0.25">
      <c r="AL51" s="274" t="s">
        <v>523</v>
      </c>
      <c r="AM51" s="268">
        <v>18</v>
      </c>
      <c r="AN51" s="275">
        <v>1024</v>
      </c>
      <c r="AO51" s="300" t="s">
        <v>417</v>
      </c>
      <c r="AP51" s="289"/>
      <c r="AQ51" s="289">
        <v>1.99</v>
      </c>
      <c r="AR51" s="279">
        <v>4</v>
      </c>
      <c r="AS51" s="279">
        <v>4.99</v>
      </c>
      <c r="AT51" s="282">
        <v>3</v>
      </c>
      <c r="AU51" s="282">
        <v>3.99</v>
      </c>
      <c r="AV51" s="289"/>
      <c r="AW51" s="290">
        <v>6.99</v>
      </c>
      <c r="AX51" s="289"/>
      <c r="AY51" s="289">
        <v>5.99</v>
      </c>
      <c r="AZ51" s="289"/>
      <c r="BA51" s="278">
        <v>2.99</v>
      </c>
      <c r="BB51" s="289"/>
      <c r="BC51" s="289"/>
      <c r="BD51" s="293">
        <v>42610</v>
      </c>
    </row>
    <row r="52" spans="38:56" x14ac:dyDescent="0.25">
      <c r="AL52" s="274" t="s">
        <v>524</v>
      </c>
      <c r="AM52" s="268">
        <v>18</v>
      </c>
      <c r="AN52" s="275">
        <v>1049</v>
      </c>
      <c r="AO52" s="300"/>
      <c r="AP52" s="289"/>
      <c r="AQ52" s="278">
        <v>0.99</v>
      </c>
      <c r="AR52" s="279">
        <v>1</v>
      </c>
      <c r="AS52" s="279">
        <v>1.99</v>
      </c>
      <c r="AT52" s="282">
        <v>6</v>
      </c>
      <c r="AU52" s="283">
        <v>6.99</v>
      </c>
      <c r="AV52" s="282">
        <v>4</v>
      </c>
      <c r="AW52" s="282">
        <v>4.99</v>
      </c>
      <c r="AX52" s="289"/>
      <c r="AY52" s="278">
        <v>4.99</v>
      </c>
      <c r="AZ52" s="279">
        <v>4</v>
      </c>
      <c r="BA52" s="279">
        <v>4.99</v>
      </c>
      <c r="BB52" s="289"/>
      <c r="BC52" s="278">
        <v>1.99</v>
      </c>
      <c r="BD52" s="293">
        <v>42597</v>
      </c>
    </row>
    <row r="53" spans="38:56" x14ac:dyDescent="0.25">
      <c r="AL53" s="274" t="s">
        <v>525</v>
      </c>
      <c r="AM53" s="268">
        <v>17</v>
      </c>
      <c r="AN53" s="275">
        <v>1042</v>
      </c>
      <c r="AO53" s="300"/>
      <c r="AP53" s="289"/>
      <c r="AQ53" s="278">
        <v>1.99</v>
      </c>
      <c r="AR53" s="278">
        <v>2</v>
      </c>
      <c r="AS53" s="278">
        <v>3.99</v>
      </c>
      <c r="AT53" s="279">
        <v>5</v>
      </c>
      <c r="AU53" s="280">
        <v>5.99</v>
      </c>
      <c r="AV53" s="289"/>
      <c r="AW53" s="278">
        <v>2.99</v>
      </c>
      <c r="AX53" s="289"/>
      <c r="AY53" s="278">
        <v>3.99</v>
      </c>
      <c r="AZ53" s="282">
        <v>5</v>
      </c>
      <c r="BA53" s="285">
        <v>5.99</v>
      </c>
      <c r="BB53" s="289"/>
      <c r="BC53" s="289"/>
      <c r="BD53" s="293">
        <v>42667</v>
      </c>
    </row>
    <row r="54" spans="38:56" x14ac:dyDescent="0.25">
      <c r="AL54" s="274" t="s">
        <v>526</v>
      </c>
      <c r="AM54" s="268">
        <v>18</v>
      </c>
      <c r="AN54" s="275">
        <v>1049</v>
      </c>
      <c r="AO54" s="300"/>
      <c r="AP54" s="278">
        <v>4</v>
      </c>
      <c r="AQ54" s="290">
        <v>6.99</v>
      </c>
      <c r="AR54" s="279">
        <v>4</v>
      </c>
      <c r="AS54" s="279">
        <v>4.99</v>
      </c>
      <c r="AT54" s="289"/>
      <c r="AU54" s="278">
        <v>0.99</v>
      </c>
      <c r="AV54" s="289"/>
      <c r="AW54" s="278">
        <v>1.99</v>
      </c>
      <c r="AX54" s="282">
        <v>1</v>
      </c>
      <c r="AY54" s="282">
        <v>1.99</v>
      </c>
      <c r="AZ54" s="279">
        <v>1</v>
      </c>
      <c r="BA54" s="279">
        <v>1.99</v>
      </c>
      <c r="BB54" s="279">
        <v>2</v>
      </c>
      <c r="BC54" s="279">
        <v>2.99</v>
      </c>
      <c r="BD54" s="293">
        <v>42483</v>
      </c>
    </row>
    <row r="55" spans="38:56" x14ac:dyDescent="0.25">
      <c r="AL55" s="274" t="s">
        <v>527</v>
      </c>
      <c r="AM55" s="268">
        <v>17</v>
      </c>
      <c r="AN55" s="275">
        <v>911</v>
      </c>
      <c r="AO55" s="300"/>
      <c r="AP55" s="289"/>
      <c r="AQ55" s="278">
        <v>1.99</v>
      </c>
      <c r="AR55" s="282">
        <v>4</v>
      </c>
      <c r="AS55" s="282">
        <v>4.99</v>
      </c>
      <c r="AT55" s="282">
        <v>6</v>
      </c>
      <c r="AU55" s="283">
        <v>6.99</v>
      </c>
      <c r="AV55" s="279">
        <v>5</v>
      </c>
      <c r="AW55" s="280">
        <v>5.99</v>
      </c>
      <c r="AX55" s="282">
        <v>4</v>
      </c>
      <c r="AY55" s="282">
        <v>4.99</v>
      </c>
      <c r="AZ55" s="279">
        <v>3</v>
      </c>
      <c r="BA55" s="279">
        <v>3.99</v>
      </c>
      <c r="BB55" s="289"/>
      <c r="BC55" s="289"/>
      <c r="BD55" s="293">
        <v>42733</v>
      </c>
    </row>
    <row r="56" spans="38:56" x14ac:dyDescent="0.25">
      <c r="AL56" s="274" t="s">
        <v>528</v>
      </c>
      <c r="AM56" s="268">
        <v>17</v>
      </c>
      <c r="AN56" s="275">
        <v>914</v>
      </c>
      <c r="AO56" s="300" t="s">
        <v>473</v>
      </c>
      <c r="AP56" s="289"/>
      <c r="AQ56" s="278">
        <v>1.99</v>
      </c>
      <c r="AR56" s="289"/>
      <c r="AS56" s="289">
        <v>4.99</v>
      </c>
      <c r="AT56" s="282">
        <v>5</v>
      </c>
      <c r="AU56" s="285">
        <v>5.99</v>
      </c>
      <c r="AV56" s="282">
        <v>2</v>
      </c>
      <c r="AW56" s="282">
        <v>2.99</v>
      </c>
      <c r="AX56" s="289"/>
      <c r="AY56" s="289"/>
      <c r="AZ56" s="279">
        <v>2</v>
      </c>
      <c r="BA56" s="279">
        <v>2.99</v>
      </c>
      <c r="BB56" s="289"/>
      <c r="BC56" s="289"/>
      <c r="BD56" s="293">
        <v>42737</v>
      </c>
    </row>
    <row r="57" spans="38:56" x14ac:dyDescent="0.25">
      <c r="AL57" s="274" t="s">
        <v>529</v>
      </c>
      <c r="AM57" s="268">
        <v>17</v>
      </c>
      <c r="AN57" s="275">
        <v>954</v>
      </c>
      <c r="AO57" s="300"/>
      <c r="AP57" s="289"/>
      <c r="AQ57" s="289"/>
      <c r="AR57" s="282">
        <v>5</v>
      </c>
      <c r="AS57" s="285">
        <v>5.99</v>
      </c>
      <c r="AT57" s="279">
        <v>2</v>
      </c>
      <c r="AU57" s="279">
        <v>2.99</v>
      </c>
      <c r="AV57" s="279">
        <v>3</v>
      </c>
      <c r="AW57" s="279">
        <v>3.99</v>
      </c>
      <c r="AX57" s="278">
        <v>2</v>
      </c>
      <c r="AY57" s="278">
        <v>3.99</v>
      </c>
      <c r="AZ57" s="279">
        <v>2</v>
      </c>
      <c r="BA57" s="279">
        <v>2.99</v>
      </c>
      <c r="BB57" s="289"/>
      <c r="BC57" s="289"/>
      <c r="BD57" s="293">
        <v>42690</v>
      </c>
    </row>
    <row r="58" spans="38:56" x14ac:dyDescent="0.25">
      <c r="AL58" s="274" t="s">
        <v>530</v>
      </c>
      <c r="AM58" s="268">
        <v>19</v>
      </c>
      <c r="AN58" s="275">
        <v>909</v>
      </c>
      <c r="AO58" s="300" t="s">
        <v>488</v>
      </c>
      <c r="AP58" s="289"/>
      <c r="AQ58" s="278">
        <v>1.99</v>
      </c>
      <c r="AR58" s="279">
        <v>2</v>
      </c>
      <c r="AS58" s="279">
        <v>2.99</v>
      </c>
      <c r="AT58" s="279">
        <v>5</v>
      </c>
      <c r="AU58" s="280">
        <v>5.99</v>
      </c>
      <c r="AV58" s="289"/>
      <c r="AW58" s="278">
        <v>2.99</v>
      </c>
      <c r="AX58" s="278">
        <v>4</v>
      </c>
      <c r="AY58" s="290">
        <v>7</v>
      </c>
      <c r="AZ58" s="279">
        <v>1</v>
      </c>
      <c r="BA58" s="279">
        <v>1.99</v>
      </c>
      <c r="BB58" s="289"/>
      <c r="BC58" s="289"/>
      <c r="BD58" s="293">
        <v>42654</v>
      </c>
    </row>
    <row r="59" spans="38:56" x14ac:dyDescent="0.25">
      <c r="AL59" s="274" t="s">
        <v>531</v>
      </c>
      <c r="AM59" s="268">
        <v>16</v>
      </c>
      <c r="AN59" s="275">
        <v>992</v>
      </c>
      <c r="AO59" s="300"/>
      <c r="AP59" s="289"/>
      <c r="AQ59" s="278">
        <v>1.99</v>
      </c>
      <c r="AR59" s="282">
        <v>2</v>
      </c>
      <c r="AS59" s="282">
        <v>2.99</v>
      </c>
      <c r="AT59" s="282">
        <v>4</v>
      </c>
      <c r="AU59" s="282">
        <v>4.99</v>
      </c>
      <c r="AV59" s="279">
        <v>4</v>
      </c>
      <c r="AW59" s="279">
        <v>4.99</v>
      </c>
      <c r="AX59" s="282">
        <v>5</v>
      </c>
      <c r="AY59" s="285">
        <v>5.99</v>
      </c>
      <c r="AZ59" s="279">
        <v>3</v>
      </c>
      <c r="BA59" s="279">
        <v>3.99</v>
      </c>
      <c r="BB59" s="289"/>
      <c r="BC59" s="289"/>
      <c r="BD59" s="293">
        <v>42764</v>
      </c>
    </row>
    <row r="60" spans="38:56" x14ac:dyDescent="0.25">
      <c r="AL60" s="274" t="s">
        <v>532</v>
      </c>
      <c r="AM60" s="268">
        <v>16</v>
      </c>
      <c r="AN60" s="275">
        <v>980</v>
      </c>
      <c r="AO60" s="300"/>
      <c r="AP60" s="289"/>
      <c r="AQ60" s="278">
        <v>1.99</v>
      </c>
      <c r="AR60" s="279">
        <v>3</v>
      </c>
      <c r="AS60" s="279">
        <v>3.99</v>
      </c>
      <c r="AT60" s="282">
        <v>6</v>
      </c>
      <c r="AU60" s="283">
        <v>6.99</v>
      </c>
      <c r="AV60" s="279">
        <v>2</v>
      </c>
      <c r="AW60" s="279">
        <v>2.99</v>
      </c>
      <c r="AX60" s="289"/>
      <c r="AY60" s="278">
        <v>2.99</v>
      </c>
      <c r="AZ60" s="279">
        <v>4</v>
      </c>
      <c r="BA60" s="279">
        <v>4.99</v>
      </c>
      <c r="BB60" s="289"/>
      <c r="BC60" s="278">
        <v>3.99</v>
      </c>
      <c r="BD60" s="293">
        <v>42776</v>
      </c>
    </row>
    <row r="61" spans="38:56" x14ac:dyDescent="0.25">
      <c r="AL61" s="274" t="s">
        <v>533</v>
      </c>
      <c r="AM61" s="268">
        <v>17</v>
      </c>
      <c r="AN61" s="275">
        <v>936</v>
      </c>
      <c r="AO61" s="300"/>
      <c r="AP61" s="289"/>
      <c r="AQ61" s="278">
        <v>1.99</v>
      </c>
      <c r="AR61" s="282">
        <v>5</v>
      </c>
      <c r="AS61" s="285">
        <v>5.99</v>
      </c>
      <c r="AT61" s="282">
        <v>3</v>
      </c>
      <c r="AU61" s="282">
        <v>3.99</v>
      </c>
      <c r="AV61" s="289"/>
      <c r="AW61" s="278">
        <v>2.99</v>
      </c>
      <c r="AX61" s="282">
        <v>4</v>
      </c>
      <c r="AY61" s="282">
        <v>4.99</v>
      </c>
      <c r="AZ61" s="289"/>
      <c r="BA61" s="287">
        <v>5.99</v>
      </c>
      <c r="BB61" s="289"/>
      <c r="BC61" s="278">
        <v>2.99</v>
      </c>
      <c r="BD61" s="293">
        <v>42754</v>
      </c>
    </row>
    <row r="62" spans="38:56" x14ac:dyDescent="0.25">
      <c r="AL62" s="274" t="s">
        <v>534</v>
      </c>
      <c r="AM62" s="268">
        <v>17</v>
      </c>
      <c r="AN62" s="275">
        <v>840</v>
      </c>
      <c r="AO62" s="300"/>
      <c r="AP62" s="289"/>
      <c r="AQ62" s="278">
        <v>1.99</v>
      </c>
      <c r="AR62" s="278">
        <v>6</v>
      </c>
      <c r="AS62" s="290">
        <v>7</v>
      </c>
      <c r="AT62" s="289"/>
      <c r="AU62" s="278">
        <v>2.99</v>
      </c>
      <c r="AV62" s="282">
        <v>5</v>
      </c>
      <c r="AW62" s="285">
        <v>5.99</v>
      </c>
      <c r="AX62" s="282">
        <v>3</v>
      </c>
      <c r="AY62" s="282">
        <v>3.99</v>
      </c>
      <c r="AZ62" s="279">
        <v>3</v>
      </c>
      <c r="BA62" s="279">
        <v>3.99</v>
      </c>
      <c r="BB62" s="289"/>
      <c r="BC62" s="278">
        <v>3.99</v>
      </c>
      <c r="BD62" s="293">
        <v>42804</v>
      </c>
    </row>
    <row r="63" spans="38:56" x14ac:dyDescent="0.25">
      <c r="AL63" s="274" t="s">
        <v>535</v>
      </c>
      <c r="AM63" s="268">
        <v>16</v>
      </c>
      <c r="AN63" s="275">
        <v>944</v>
      </c>
      <c r="AO63" s="300"/>
      <c r="AP63" s="289"/>
      <c r="AQ63" s="289">
        <v>1.99</v>
      </c>
      <c r="AR63" s="279">
        <v>2</v>
      </c>
      <c r="AS63" s="279">
        <v>2.99</v>
      </c>
      <c r="AT63" s="282">
        <v>5</v>
      </c>
      <c r="AU63" s="285">
        <v>5.99</v>
      </c>
      <c r="AV63" s="279">
        <v>4</v>
      </c>
      <c r="AW63" s="279">
        <v>4.99</v>
      </c>
      <c r="AX63" s="279">
        <v>3</v>
      </c>
      <c r="AY63" s="279">
        <v>3.99</v>
      </c>
      <c r="AZ63" s="279">
        <v>3</v>
      </c>
      <c r="BA63" s="279">
        <v>3.99</v>
      </c>
      <c r="BB63" s="289"/>
      <c r="BC63" s="289">
        <v>4.99</v>
      </c>
      <c r="BD63" s="293">
        <v>42812</v>
      </c>
    </row>
    <row r="64" spans="38:56" x14ac:dyDescent="0.25">
      <c r="AL64" s="274" t="s">
        <v>536</v>
      </c>
      <c r="AM64" s="268">
        <v>17</v>
      </c>
      <c r="AN64" s="275">
        <v>887</v>
      </c>
      <c r="AO64" s="300"/>
      <c r="AP64" s="289"/>
      <c r="AQ64" s="289"/>
      <c r="AR64" s="279">
        <v>4</v>
      </c>
      <c r="AS64" s="279">
        <v>4.99</v>
      </c>
      <c r="AT64" s="282">
        <v>4</v>
      </c>
      <c r="AU64" s="282">
        <v>4.99</v>
      </c>
      <c r="AV64" s="289"/>
      <c r="AW64" s="278">
        <v>4.99</v>
      </c>
      <c r="AX64" s="278">
        <v>5</v>
      </c>
      <c r="AY64" s="290">
        <v>6.99</v>
      </c>
      <c r="AZ64" s="279">
        <v>3</v>
      </c>
      <c r="BA64" s="279">
        <v>3.99</v>
      </c>
      <c r="BB64" s="289"/>
      <c r="BC64" s="289"/>
      <c r="BD64" s="293">
        <v>42779</v>
      </c>
    </row>
    <row r="65" spans="38:59" x14ac:dyDescent="0.25">
      <c r="AL65" s="274" t="s">
        <v>537</v>
      </c>
      <c r="AM65" s="268">
        <v>17</v>
      </c>
      <c r="AN65" s="275">
        <v>804</v>
      </c>
      <c r="AO65" s="300" t="s">
        <v>473</v>
      </c>
      <c r="AP65" s="289"/>
      <c r="AQ65" s="289"/>
      <c r="AR65" s="279">
        <v>2</v>
      </c>
      <c r="AS65" s="279">
        <v>2.99</v>
      </c>
      <c r="AT65" s="282">
        <v>4</v>
      </c>
      <c r="AU65" s="282">
        <v>4.99</v>
      </c>
      <c r="AV65" s="279">
        <v>3</v>
      </c>
      <c r="AW65" s="279">
        <v>3.99</v>
      </c>
      <c r="AX65" s="282">
        <v>6</v>
      </c>
      <c r="AY65" s="283">
        <v>6.99</v>
      </c>
      <c r="AZ65" s="279">
        <v>3</v>
      </c>
      <c r="BA65" s="279">
        <v>3.99</v>
      </c>
      <c r="BB65" s="289"/>
      <c r="BC65" s="278">
        <v>2.99</v>
      </c>
      <c r="BD65" s="293">
        <v>42840</v>
      </c>
    </row>
    <row r="66" spans="38:59" x14ac:dyDescent="0.25">
      <c r="AL66" s="274" t="s">
        <v>538</v>
      </c>
      <c r="AM66" s="268">
        <v>17</v>
      </c>
      <c r="AN66" s="275">
        <v>886</v>
      </c>
      <c r="AO66" s="300"/>
      <c r="AP66" s="289"/>
      <c r="AQ66" s="289"/>
      <c r="AR66" s="282">
        <v>4</v>
      </c>
      <c r="AS66" s="282">
        <v>4.99</v>
      </c>
      <c r="AT66" s="282">
        <v>4</v>
      </c>
      <c r="AU66" s="282">
        <v>4.99</v>
      </c>
      <c r="AV66" s="278">
        <v>5</v>
      </c>
      <c r="AW66" s="290">
        <v>6.99</v>
      </c>
      <c r="AX66" s="289"/>
      <c r="AY66" s="278">
        <v>3.99</v>
      </c>
      <c r="AZ66" s="279">
        <v>3</v>
      </c>
      <c r="BA66" s="279">
        <v>3.99</v>
      </c>
      <c r="BB66" s="289"/>
      <c r="BC66" s="289"/>
      <c r="BD66" s="293">
        <v>42828</v>
      </c>
    </row>
    <row r="67" spans="38:59" x14ac:dyDescent="0.25">
      <c r="AL67" s="274" t="s">
        <v>539</v>
      </c>
      <c r="AM67" s="268">
        <v>17</v>
      </c>
      <c r="AN67" s="275">
        <v>785</v>
      </c>
      <c r="AO67" s="300"/>
      <c r="AP67" s="289"/>
      <c r="AQ67" s="289"/>
      <c r="AR67" s="282">
        <v>4</v>
      </c>
      <c r="AS67" s="282">
        <v>4.99</v>
      </c>
      <c r="AT67" s="282">
        <v>5</v>
      </c>
      <c r="AU67" s="285">
        <v>5.99</v>
      </c>
      <c r="AV67" s="289"/>
      <c r="AW67" s="289"/>
      <c r="AX67" s="289"/>
      <c r="AY67" s="289"/>
      <c r="AZ67" s="289"/>
      <c r="BA67" s="278">
        <v>4.99</v>
      </c>
      <c r="BB67" s="289"/>
      <c r="BC67" s="289"/>
      <c r="BD67" s="293">
        <v>42863</v>
      </c>
    </row>
    <row r="68" spans="38:59" x14ac:dyDescent="0.25">
      <c r="AL68" s="274" t="s">
        <v>540</v>
      </c>
      <c r="AM68" s="268">
        <v>16</v>
      </c>
      <c r="AN68" s="275">
        <v>883</v>
      </c>
      <c r="AO68" s="300" t="s">
        <v>473</v>
      </c>
      <c r="AP68" s="289"/>
      <c r="AQ68" s="289"/>
      <c r="AR68" s="282">
        <v>4</v>
      </c>
      <c r="AS68" s="282">
        <v>4.99</v>
      </c>
      <c r="AT68" s="282">
        <v>3</v>
      </c>
      <c r="AU68" s="282">
        <v>3.99</v>
      </c>
      <c r="AV68" s="289"/>
      <c r="AW68" s="278">
        <v>2.99</v>
      </c>
      <c r="AX68" s="282">
        <v>5</v>
      </c>
      <c r="AY68" s="285">
        <v>5.99</v>
      </c>
      <c r="AZ68" s="282">
        <v>5</v>
      </c>
      <c r="BA68" s="285">
        <v>5.99</v>
      </c>
      <c r="BB68" s="289"/>
      <c r="BC68" s="289"/>
      <c r="BD68" s="293">
        <v>42873</v>
      </c>
    </row>
    <row r="69" spans="38:59" x14ac:dyDescent="0.25">
      <c r="AL69" s="274" t="s">
        <v>541</v>
      </c>
      <c r="AM69" s="268">
        <v>17</v>
      </c>
      <c r="AN69" s="275">
        <v>787</v>
      </c>
      <c r="AO69" s="300" t="s">
        <v>542</v>
      </c>
      <c r="AP69" s="289"/>
      <c r="AQ69" s="278">
        <v>1.99</v>
      </c>
      <c r="AR69" s="282">
        <v>4</v>
      </c>
      <c r="AS69" s="282">
        <v>4.99</v>
      </c>
      <c r="AT69" s="278">
        <v>6</v>
      </c>
      <c r="AU69" s="290">
        <v>7</v>
      </c>
      <c r="AV69" s="289"/>
      <c r="AW69" s="278">
        <v>3.99</v>
      </c>
      <c r="AX69" s="282">
        <v>3</v>
      </c>
      <c r="AY69" s="282">
        <v>3.99</v>
      </c>
      <c r="AZ69" s="279">
        <v>2</v>
      </c>
      <c r="BA69" s="279">
        <v>2.99</v>
      </c>
      <c r="BB69" s="289"/>
      <c r="BC69" s="289"/>
      <c r="BD69" s="293">
        <v>42886</v>
      </c>
    </row>
    <row r="70" spans="38:59" x14ac:dyDescent="0.25">
      <c r="AL70" s="274" t="s">
        <v>543</v>
      </c>
      <c r="AM70" s="268">
        <v>17</v>
      </c>
      <c r="AN70" s="275">
        <v>812</v>
      </c>
      <c r="AO70" s="300" t="s">
        <v>417</v>
      </c>
      <c r="AP70" s="289"/>
      <c r="AQ70" s="289"/>
      <c r="AR70" s="289"/>
      <c r="AS70" s="278">
        <v>4.99</v>
      </c>
      <c r="AT70" s="282">
        <v>5</v>
      </c>
      <c r="AU70" s="285">
        <v>5.99</v>
      </c>
      <c r="AV70" s="289"/>
      <c r="AW70" s="278">
        <v>2.99</v>
      </c>
      <c r="AX70" s="289"/>
      <c r="AY70" s="289">
        <v>2.99</v>
      </c>
      <c r="AZ70" s="278">
        <v>4</v>
      </c>
      <c r="BA70" s="287">
        <v>5.99</v>
      </c>
      <c r="BB70" s="289"/>
      <c r="BC70" s="289"/>
      <c r="BD70" s="293">
        <v>42912</v>
      </c>
    </row>
    <row r="71" spans="38:59" x14ac:dyDescent="0.25">
      <c r="AL71" s="274" t="s">
        <v>544</v>
      </c>
      <c r="AM71" s="268">
        <v>17</v>
      </c>
      <c r="AN71" s="275">
        <v>-1523</v>
      </c>
      <c r="AO71" s="300" t="s">
        <v>480</v>
      </c>
      <c r="AP71" s="289"/>
      <c r="AQ71" s="278">
        <v>1.99</v>
      </c>
      <c r="AR71" s="279">
        <v>4</v>
      </c>
      <c r="AS71" s="279">
        <v>4.99</v>
      </c>
      <c r="AT71" s="289"/>
      <c r="AU71" s="289"/>
      <c r="AV71" s="289"/>
      <c r="AW71" s="278">
        <v>1.99</v>
      </c>
      <c r="AX71" s="282">
        <v>6</v>
      </c>
      <c r="AY71" s="283">
        <v>6.99</v>
      </c>
      <c r="AZ71" s="279">
        <v>3</v>
      </c>
      <c r="BA71" s="279">
        <v>3.99</v>
      </c>
      <c r="BB71" s="289"/>
      <c r="BC71" s="278">
        <v>2.99</v>
      </c>
      <c r="BD71" s="293">
        <v>45167</v>
      </c>
    </row>
    <row r="72" spans="38:59" x14ac:dyDescent="0.25">
      <c r="AL72" s="274" t="s">
        <v>545</v>
      </c>
      <c r="AM72" s="268">
        <v>18</v>
      </c>
      <c r="AN72" s="275">
        <v>793</v>
      </c>
      <c r="AO72" s="300"/>
      <c r="AP72" s="289"/>
      <c r="AQ72" s="287">
        <v>5.99</v>
      </c>
      <c r="AR72" s="282">
        <v>4</v>
      </c>
      <c r="AS72" s="282">
        <v>4.99</v>
      </c>
      <c r="AT72" s="279">
        <v>1</v>
      </c>
      <c r="AU72" s="279">
        <v>1.99</v>
      </c>
      <c r="AV72" s="279">
        <v>0</v>
      </c>
      <c r="AW72" s="279">
        <v>0.99</v>
      </c>
      <c r="AX72" s="279">
        <v>0</v>
      </c>
      <c r="AY72" s="279">
        <v>0.99</v>
      </c>
      <c r="AZ72" s="279">
        <v>0</v>
      </c>
      <c r="BA72" s="279">
        <v>0.99</v>
      </c>
      <c r="BB72" s="289"/>
      <c r="BC72" s="289"/>
      <c r="BD72" s="293">
        <v>42739</v>
      </c>
    </row>
    <row r="73" spans="38:59" x14ac:dyDescent="0.25">
      <c r="AL73" s="274" t="s">
        <v>546</v>
      </c>
      <c r="AM73" s="268">
        <v>18</v>
      </c>
      <c r="AN73" s="275">
        <v>770</v>
      </c>
      <c r="AO73" s="300" t="s">
        <v>480</v>
      </c>
      <c r="AP73" s="289"/>
      <c r="AQ73" s="289"/>
      <c r="AR73" s="279">
        <v>3</v>
      </c>
      <c r="AS73" s="279">
        <v>3.99</v>
      </c>
      <c r="AT73" s="282">
        <v>5</v>
      </c>
      <c r="AU73" s="285">
        <v>5.99</v>
      </c>
      <c r="AV73" s="289"/>
      <c r="AW73" s="290">
        <v>6.99</v>
      </c>
      <c r="AX73" s="278">
        <v>2</v>
      </c>
      <c r="AY73" s="289"/>
      <c r="AZ73" s="279">
        <v>3</v>
      </c>
      <c r="BA73" s="279">
        <v>3.99</v>
      </c>
      <c r="BB73" s="289"/>
      <c r="BC73" s="289"/>
      <c r="BD73" s="293">
        <v>42835</v>
      </c>
    </row>
    <row r="74" spans="38:59" x14ac:dyDescent="0.25">
      <c r="AL74" s="274" t="s">
        <v>547</v>
      </c>
      <c r="AM74" s="268">
        <v>16</v>
      </c>
      <c r="AN74" s="275">
        <v>778</v>
      </c>
      <c r="AO74" s="300"/>
      <c r="AP74" s="289"/>
      <c r="AQ74" s="289"/>
      <c r="AR74" s="289"/>
      <c r="AS74" s="278">
        <v>2.99</v>
      </c>
      <c r="AT74" s="282">
        <v>3</v>
      </c>
      <c r="AU74" s="289">
        <v>3.99</v>
      </c>
      <c r="AV74" s="289"/>
      <c r="AW74" s="278">
        <v>3.99</v>
      </c>
      <c r="AX74" s="282">
        <v>6</v>
      </c>
      <c r="AY74" s="283">
        <v>6.99</v>
      </c>
      <c r="AZ74" s="279">
        <v>4</v>
      </c>
      <c r="BA74" s="279">
        <v>4.99</v>
      </c>
      <c r="BB74" s="289"/>
      <c r="BC74" s="289"/>
      <c r="BD74" s="293">
        <v>42978</v>
      </c>
    </row>
    <row r="75" spans="38:59" x14ac:dyDescent="0.25">
      <c r="AL75" s="274" t="s">
        <v>548</v>
      </c>
      <c r="AM75" s="268">
        <v>16</v>
      </c>
      <c r="AN75" s="275">
        <v>745</v>
      </c>
      <c r="AO75" s="300" t="s">
        <v>480</v>
      </c>
      <c r="AP75" s="289"/>
      <c r="AQ75" s="278">
        <v>1.99</v>
      </c>
      <c r="AR75" s="289"/>
      <c r="AS75" s="278">
        <v>2.99</v>
      </c>
      <c r="AT75" s="279">
        <v>3</v>
      </c>
      <c r="AU75" s="279">
        <v>3.99</v>
      </c>
      <c r="AV75" s="282">
        <v>3</v>
      </c>
      <c r="AW75" s="295">
        <v>3.99</v>
      </c>
      <c r="AX75" s="282">
        <v>5</v>
      </c>
      <c r="AY75" s="285">
        <v>5.99</v>
      </c>
      <c r="AZ75" s="282">
        <v>6</v>
      </c>
      <c r="BA75" s="283">
        <v>6.99</v>
      </c>
      <c r="BB75" s="289"/>
      <c r="BC75" s="289"/>
      <c r="BD75" s="293">
        <v>43011</v>
      </c>
    </row>
    <row r="76" spans="38:59" x14ac:dyDescent="0.25">
      <c r="AL76" s="274" t="s">
        <v>549</v>
      </c>
      <c r="AM76" s="268">
        <v>16</v>
      </c>
      <c r="AN76" s="275">
        <v>725</v>
      </c>
      <c r="AO76" s="300"/>
      <c r="AP76" s="289"/>
      <c r="AQ76" s="289"/>
      <c r="AR76" s="289"/>
      <c r="AS76" s="278">
        <v>3.99</v>
      </c>
      <c r="AT76" s="282">
        <v>3</v>
      </c>
      <c r="AU76" s="282">
        <v>3.99</v>
      </c>
      <c r="AV76" s="282">
        <v>6</v>
      </c>
      <c r="AW76" s="283">
        <v>6.99</v>
      </c>
      <c r="AX76" s="279">
        <v>1</v>
      </c>
      <c r="AY76" s="279">
        <v>1.99</v>
      </c>
      <c r="AZ76" s="278">
        <v>4</v>
      </c>
      <c r="BA76" s="287">
        <v>5.99</v>
      </c>
      <c r="BB76" s="289"/>
      <c r="BC76" s="278">
        <v>2.99</v>
      </c>
      <c r="BD76" s="293">
        <v>43031</v>
      </c>
    </row>
    <row r="77" spans="38:59" x14ac:dyDescent="0.25">
      <c r="AL77" s="274" t="s">
        <v>550</v>
      </c>
      <c r="AM77" s="268">
        <v>18</v>
      </c>
      <c r="AN77" s="275">
        <v>706</v>
      </c>
      <c r="AO77" s="300"/>
      <c r="AP77" s="289"/>
      <c r="AQ77" s="278">
        <v>1.99</v>
      </c>
      <c r="AR77" s="278">
        <v>3</v>
      </c>
      <c r="AS77" s="278">
        <v>4.99</v>
      </c>
      <c r="AT77" s="279">
        <v>3</v>
      </c>
      <c r="AU77" s="279">
        <v>3.99</v>
      </c>
      <c r="AV77" s="278">
        <v>5</v>
      </c>
      <c r="AW77" s="290">
        <v>6.99</v>
      </c>
      <c r="AX77" s="279">
        <v>2</v>
      </c>
      <c r="AY77" s="279">
        <v>2.99</v>
      </c>
      <c r="AZ77" s="289"/>
      <c r="BA77" s="278">
        <v>2.99</v>
      </c>
      <c r="BB77" s="289"/>
      <c r="BC77" s="289">
        <v>3.99</v>
      </c>
      <c r="BD77" s="293">
        <v>42928</v>
      </c>
    </row>
    <row r="78" spans="38:59" x14ac:dyDescent="0.25">
      <c r="AL78" s="274" t="s">
        <v>551</v>
      </c>
      <c r="AM78" s="268">
        <v>17</v>
      </c>
      <c r="AN78" s="275">
        <v>585</v>
      </c>
      <c r="AO78" s="300"/>
      <c r="AP78" s="289"/>
      <c r="AQ78" s="278">
        <v>1.99</v>
      </c>
      <c r="AR78" s="289"/>
      <c r="AS78" s="278">
        <v>3.99</v>
      </c>
      <c r="AT78" s="278">
        <v>6</v>
      </c>
      <c r="AU78" s="290">
        <v>7</v>
      </c>
      <c r="AV78" s="282">
        <v>6</v>
      </c>
      <c r="AW78" s="283">
        <v>6.99</v>
      </c>
      <c r="AX78" s="282">
        <v>2</v>
      </c>
      <c r="AY78" s="282">
        <v>2.99</v>
      </c>
      <c r="AZ78" s="279">
        <v>4</v>
      </c>
      <c r="BA78" s="279">
        <v>4.99</v>
      </c>
      <c r="BB78" s="289"/>
      <c r="BC78" s="278">
        <v>4.99</v>
      </c>
      <c r="BD78" s="293">
        <v>43059</v>
      </c>
    </row>
    <row r="79" spans="38:59" x14ac:dyDescent="0.25">
      <c r="AL79" s="274" t="s">
        <v>552</v>
      </c>
      <c r="AM79" s="268">
        <v>16</v>
      </c>
      <c r="AN79" s="275">
        <v>656</v>
      </c>
      <c r="AO79" s="300"/>
      <c r="AP79" s="289"/>
      <c r="AQ79" s="278">
        <v>1.99</v>
      </c>
      <c r="AR79" s="279">
        <v>2</v>
      </c>
      <c r="AS79" s="279">
        <v>2.99</v>
      </c>
      <c r="AT79" s="279">
        <v>4</v>
      </c>
      <c r="AU79" s="279">
        <v>4.99</v>
      </c>
      <c r="AV79" s="282">
        <v>3</v>
      </c>
      <c r="AW79" s="282">
        <v>3.99</v>
      </c>
      <c r="AX79" s="282">
        <v>5</v>
      </c>
      <c r="AY79" s="285">
        <v>5.99</v>
      </c>
      <c r="AZ79" s="279">
        <v>1</v>
      </c>
      <c r="BA79" s="279">
        <v>1.99</v>
      </c>
      <c r="BB79" s="289"/>
      <c r="BC79" s="289"/>
      <c r="BD79" s="293">
        <v>43100</v>
      </c>
      <c r="BE79" s="164"/>
      <c r="BF79" s="164"/>
      <c r="BG79" s="164"/>
    </row>
    <row r="80" spans="38:59" x14ac:dyDescent="0.25">
      <c r="AL80" s="274" t="s">
        <v>553</v>
      </c>
      <c r="AM80" s="268">
        <v>17</v>
      </c>
      <c r="AN80" s="275">
        <v>535</v>
      </c>
      <c r="AO80" s="300"/>
      <c r="AP80" s="289"/>
      <c r="AQ80" s="289"/>
      <c r="AR80" s="289"/>
      <c r="AS80" s="278">
        <v>2.99</v>
      </c>
      <c r="AT80" s="282">
        <v>6</v>
      </c>
      <c r="AU80" s="283">
        <v>6.6</v>
      </c>
      <c r="AV80" s="282">
        <v>5</v>
      </c>
      <c r="AW80" s="285">
        <v>5.99</v>
      </c>
      <c r="AX80" s="282">
        <v>4</v>
      </c>
      <c r="AY80" s="282">
        <v>4.99</v>
      </c>
      <c r="AZ80" s="289"/>
      <c r="BA80" s="278">
        <v>2.99</v>
      </c>
      <c r="BB80" s="289"/>
      <c r="BC80" s="289"/>
      <c r="BD80" s="293">
        <v>43109</v>
      </c>
      <c r="BE80" s="164"/>
      <c r="BF80" s="164"/>
      <c r="BG80" s="164"/>
    </row>
    <row r="81" spans="38:59" x14ac:dyDescent="0.25">
      <c r="AL81" s="274" t="s">
        <v>554</v>
      </c>
      <c r="AM81" s="268">
        <v>16</v>
      </c>
      <c r="AN81" s="275">
        <v>581</v>
      </c>
      <c r="AO81" s="300" t="s">
        <v>555</v>
      </c>
      <c r="AP81" s="289"/>
      <c r="AQ81" s="289"/>
      <c r="AR81" s="289"/>
      <c r="AS81" s="278">
        <v>3.99</v>
      </c>
      <c r="AT81" s="279">
        <v>4</v>
      </c>
      <c r="AU81" s="279">
        <v>4.99</v>
      </c>
      <c r="AV81" s="289"/>
      <c r="AW81" s="287">
        <v>5.99</v>
      </c>
      <c r="AX81" s="282">
        <v>1</v>
      </c>
      <c r="AY81" s="282">
        <v>1.99</v>
      </c>
      <c r="AZ81" s="289"/>
      <c r="BA81" s="278">
        <v>3.99</v>
      </c>
      <c r="BB81" s="289"/>
      <c r="BC81" s="289"/>
      <c r="BD81" s="293">
        <v>43175</v>
      </c>
      <c r="BE81" s="164"/>
      <c r="BF81" s="164"/>
      <c r="BG81" s="164"/>
    </row>
    <row r="82" spans="38:59" x14ac:dyDescent="0.25">
      <c r="AL82" s="274" t="s">
        <v>556</v>
      </c>
      <c r="AM82" s="268">
        <v>17</v>
      </c>
      <c r="AN82" s="275">
        <v>473</v>
      </c>
      <c r="AO82" s="300" t="s">
        <v>555</v>
      </c>
      <c r="AP82" s="289"/>
      <c r="AQ82" s="278">
        <v>0.99</v>
      </c>
      <c r="AR82" s="279">
        <v>3</v>
      </c>
      <c r="AS82" s="279">
        <v>3.99</v>
      </c>
      <c r="AT82" s="279">
        <v>5</v>
      </c>
      <c r="AU82" s="279">
        <v>5.99</v>
      </c>
      <c r="AV82" s="289"/>
      <c r="AW82" s="278">
        <v>2.99</v>
      </c>
      <c r="AX82" s="289"/>
      <c r="AY82" s="289"/>
      <c r="AZ82" s="279">
        <v>2</v>
      </c>
      <c r="BA82" s="279">
        <v>2.99</v>
      </c>
      <c r="BB82" s="289"/>
      <c r="BC82" s="289"/>
      <c r="BD82" s="293">
        <v>43192</v>
      </c>
      <c r="BE82" s="164"/>
      <c r="BF82" s="164"/>
      <c r="BG82" s="164"/>
    </row>
    <row r="83" spans="38:59" x14ac:dyDescent="0.25">
      <c r="AL83" s="274" t="s">
        <v>557</v>
      </c>
      <c r="AM83" s="268">
        <v>18</v>
      </c>
      <c r="AN83" s="275">
        <v>539</v>
      </c>
      <c r="AO83" s="300"/>
      <c r="AP83" s="289"/>
      <c r="AQ83" s="278">
        <v>1.99</v>
      </c>
      <c r="AR83" s="279">
        <v>3</v>
      </c>
      <c r="AS83" s="279">
        <v>3.99</v>
      </c>
      <c r="AT83" s="279">
        <v>4</v>
      </c>
      <c r="AU83" s="279">
        <v>4.99</v>
      </c>
      <c r="AV83" s="279">
        <v>2</v>
      </c>
      <c r="AW83" s="279">
        <v>2.99</v>
      </c>
      <c r="AX83" s="279">
        <v>4</v>
      </c>
      <c r="AY83" s="279">
        <v>4.99</v>
      </c>
      <c r="AZ83" s="282">
        <v>4</v>
      </c>
      <c r="BA83" s="282">
        <v>4.99</v>
      </c>
      <c r="BB83" s="289"/>
      <c r="BC83" s="278">
        <v>2.99</v>
      </c>
      <c r="BD83" s="293">
        <v>42919</v>
      </c>
      <c r="BE83" s="164"/>
      <c r="BF83" s="164"/>
      <c r="BG83" s="164"/>
    </row>
    <row r="84" spans="38:59" x14ac:dyDescent="0.25">
      <c r="AL84" s="274" t="s">
        <v>558</v>
      </c>
      <c r="AM84" s="268">
        <v>18</v>
      </c>
      <c r="AN84" s="275">
        <v>539</v>
      </c>
      <c r="AO84" s="300" t="s">
        <v>101</v>
      </c>
      <c r="AP84" s="289"/>
      <c r="AQ84" s="278">
        <v>0.99</v>
      </c>
      <c r="AR84" s="282">
        <v>3</v>
      </c>
      <c r="AS84" s="282">
        <v>3.99</v>
      </c>
      <c r="AT84" s="282">
        <v>3</v>
      </c>
      <c r="AU84" s="282">
        <v>3.99</v>
      </c>
      <c r="AV84" s="282">
        <v>3</v>
      </c>
      <c r="AW84" s="282">
        <v>3.99</v>
      </c>
      <c r="AX84" s="278">
        <v>4</v>
      </c>
      <c r="AY84" s="290">
        <v>7</v>
      </c>
      <c r="AZ84" s="289"/>
      <c r="BA84" s="287">
        <v>5.99</v>
      </c>
      <c r="BB84" s="289"/>
      <c r="BC84" s="278">
        <v>1.99</v>
      </c>
      <c r="BD84" s="293">
        <v>43067</v>
      </c>
      <c r="BE84" s="164"/>
      <c r="BF84" s="164"/>
      <c r="BG84" s="164"/>
    </row>
    <row r="85" spans="38:59" x14ac:dyDescent="0.25">
      <c r="AL85" s="274" t="s">
        <v>559</v>
      </c>
      <c r="AM85" s="268">
        <v>18</v>
      </c>
      <c r="AN85" s="275">
        <v>-1718</v>
      </c>
      <c r="AO85" s="300" t="s">
        <v>473</v>
      </c>
      <c r="AP85" s="289"/>
      <c r="AQ85" s="278">
        <v>1.99</v>
      </c>
      <c r="AR85" s="279">
        <v>2</v>
      </c>
      <c r="AS85" s="279">
        <v>2.99</v>
      </c>
      <c r="AT85" s="279">
        <v>4</v>
      </c>
      <c r="AU85" s="279">
        <v>4.99</v>
      </c>
      <c r="AV85" s="289"/>
      <c r="AW85" s="278">
        <v>3.99</v>
      </c>
      <c r="AX85" s="278">
        <v>2</v>
      </c>
      <c r="AY85" s="278">
        <v>3.99</v>
      </c>
      <c r="AZ85" s="289"/>
      <c r="BA85" s="278">
        <v>2.99</v>
      </c>
      <c r="BB85" s="289"/>
      <c r="BC85" s="289"/>
      <c r="BD85" s="293">
        <v>45250</v>
      </c>
      <c r="BE85" s="164"/>
      <c r="BF85" s="164"/>
      <c r="BG85" s="164"/>
    </row>
    <row r="86" spans="38:59" x14ac:dyDescent="0.25">
      <c r="AL86" s="274" t="s">
        <v>560</v>
      </c>
      <c r="AM86" s="268">
        <v>17</v>
      </c>
      <c r="AN86" s="275">
        <v>423</v>
      </c>
      <c r="AO86" s="300"/>
      <c r="AP86" s="289"/>
      <c r="AQ86" s="278">
        <v>1.99</v>
      </c>
      <c r="AR86" s="282">
        <v>4</v>
      </c>
      <c r="AS86" s="282">
        <v>4.99</v>
      </c>
      <c r="AT86" s="279">
        <v>3</v>
      </c>
      <c r="AU86" s="279">
        <v>3.99</v>
      </c>
      <c r="AV86" s="278">
        <v>5</v>
      </c>
      <c r="AW86" s="290">
        <v>6.99</v>
      </c>
      <c r="AX86" s="279">
        <v>1</v>
      </c>
      <c r="AY86" s="279">
        <v>1.99</v>
      </c>
      <c r="AZ86" s="279">
        <v>1</v>
      </c>
      <c r="BA86" s="279">
        <v>1.99</v>
      </c>
      <c r="BB86" s="289"/>
      <c r="BC86" s="289"/>
      <c r="BD86" s="293">
        <v>43221</v>
      </c>
      <c r="BE86" s="164"/>
      <c r="BF86" s="164"/>
      <c r="BG86" s="164"/>
    </row>
    <row r="87" spans="38:59" x14ac:dyDescent="0.25">
      <c r="AL87" s="274" t="s">
        <v>561</v>
      </c>
      <c r="AM87" s="268">
        <v>18</v>
      </c>
      <c r="AN87" s="275">
        <v>413</v>
      </c>
      <c r="AO87" s="300"/>
      <c r="AP87" s="289"/>
      <c r="AQ87" s="278">
        <v>0.99</v>
      </c>
      <c r="AR87" s="282">
        <v>6</v>
      </c>
      <c r="AS87" s="283">
        <v>6.99</v>
      </c>
      <c r="AT87" s="282">
        <v>4</v>
      </c>
      <c r="AU87" s="282">
        <v>4.99</v>
      </c>
      <c r="AV87" s="278">
        <v>4</v>
      </c>
      <c r="AW87" s="287">
        <v>5.99</v>
      </c>
      <c r="AX87" s="289"/>
      <c r="AY87" s="278">
        <v>3.99</v>
      </c>
      <c r="AZ87" s="289"/>
      <c r="BA87" s="278">
        <v>4.99</v>
      </c>
      <c r="BB87" s="289"/>
      <c r="BC87" s="278">
        <v>2.99</v>
      </c>
      <c r="BD87" s="293">
        <v>43143</v>
      </c>
      <c r="BE87" s="164"/>
      <c r="BF87" s="164"/>
      <c r="BG87" s="164"/>
    </row>
    <row r="88" spans="38:59" x14ac:dyDescent="0.25">
      <c r="AL88" s="274" t="s">
        <v>562</v>
      </c>
      <c r="AM88" s="268">
        <v>16</v>
      </c>
      <c r="AN88" s="275">
        <v>467</v>
      </c>
      <c r="AO88" s="300" t="s">
        <v>0</v>
      </c>
      <c r="AP88" s="289"/>
      <c r="AQ88" s="278">
        <v>0.99</v>
      </c>
      <c r="AR88" s="282">
        <v>7</v>
      </c>
      <c r="AS88" s="283">
        <v>7</v>
      </c>
      <c r="AT88" s="282">
        <v>4</v>
      </c>
      <c r="AU88" s="282">
        <v>4.99</v>
      </c>
      <c r="AV88" s="282">
        <v>4</v>
      </c>
      <c r="AW88" s="282">
        <v>4.99</v>
      </c>
      <c r="AX88" s="279">
        <v>3</v>
      </c>
      <c r="AY88" s="279">
        <v>3.99</v>
      </c>
      <c r="AZ88" s="289"/>
      <c r="BA88" s="278">
        <v>2.99</v>
      </c>
      <c r="BB88" s="289"/>
      <c r="BC88" s="278">
        <v>3.99</v>
      </c>
      <c r="BD88" s="293">
        <v>43289</v>
      </c>
      <c r="BE88" s="164"/>
      <c r="BF88" s="164"/>
      <c r="BG88" s="164"/>
    </row>
    <row r="89" spans="38:59" x14ac:dyDescent="0.25">
      <c r="AL89" s="274" t="s">
        <v>563</v>
      </c>
      <c r="AM89" s="268">
        <v>16</v>
      </c>
      <c r="AN89" s="275">
        <v>386</v>
      </c>
      <c r="AO89" s="300"/>
      <c r="AP89" s="289"/>
      <c r="AQ89" s="289"/>
      <c r="AR89" s="278">
        <v>3</v>
      </c>
      <c r="AS89" s="289"/>
      <c r="AT89" s="289"/>
      <c r="AU89" s="289"/>
      <c r="AV89" s="289"/>
      <c r="AW89" s="278">
        <v>3.99</v>
      </c>
      <c r="AX89" s="278">
        <v>4</v>
      </c>
      <c r="AY89" s="290">
        <v>6.99</v>
      </c>
      <c r="AZ89" s="289"/>
      <c r="BA89" s="278">
        <v>4.99</v>
      </c>
      <c r="BB89" s="289"/>
      <c r="BC89" s="289"/>
      <c r="BD89" s="293">
        <v>43370</v>
      </c>
      <c r="BE89" s="164"/>
      <c r="BF89" s="164"/>
      <c r="BG89" s="164"/>
    </row>
    <row r="90" spans="38:59" x14ac:dyDescent="0.25">
      <c r="AL90" s="274" t="s">
        <v>564</v>
      </c>
      <c r="AM90" s="268">
        <v>16</v>
      </c>
      <c r="AN90" s="275">
        <v>429</v>
      </c>
      <c r="AO90" s="300"/>
      <c r="AP90" s="289"/>
      <c r="AQ90" s="278">
        <v>1.99</v>
      </c>
      <c r="AR90" s="279">
        <v>4</v>
      </c>
      <c r="AS90" s="279">
        <v>4.99</v>
      </c>
      <c r="AT90" s="289"/>
      <c r="AU90" s="278">
        <v>4.99</v>
      </c>
      <c r="AV90" s="282">
        <v>5</v>
      </c>
      <c r="AW90" s="285">
        <v>5.99</v>
      </c>
      <c r="AX90" s="289"/>
      <c r="AY90" s="278">
        <v>2.99</v>
      </c>
      <c r="AZ90" s="289"/>
      <c r="BA90" s="278">
        <v>3.99</v>
      </c>
      <c r="BB90" s="289"/>
      <c r="BC90" s="289"/>
      <c r="BD90" s="293">
        <v>43327</v>
      </c>
      <c r="BE90" s="164"/>
      <c r="BF90" s="164"/>
      <c r="BG90" s="164"/>
    </row>
    <row r="91" spans="38:59" x14ac:dyDescent="0.25">
      <c r="AL91" s="274" t="s">
        <v>190</v>
      </c>
      <c r="AM91" s="268">
        <v>17</v>
      </c>
      <c r="AN91" s="275">
        <v>211</v>
      </c>
      <c r="AO91" s="300" t="s">
        <v>44</v>
      </c>
      <c r="AP91" s="289"/>
      <c r="AQ91" s="278">
        <v>1.99</v>
      </c>
      <c r="AR91" s="306">
        <v>2</v>
      </c>
      <c r="AS91" s="279">
        <v>2.99</v>
      </c>
      <c r="AT91" s="307" t="s">
        <v>565</v>
      </c>
      <c r="AU91" s="308">
        <v>5.99</v>
      </c>
      <c r="AV91" s="307">
        <v>5.5</v>
      </c>
      <c r="AW91" s="308">
        <v>5.5</v>
      </c>
      <c r="AX91" s="307">
        <v>4.4000000000000004</v>
      </c>
      <c r="AY91" s="279">
        <v>4.4000000000000004</v>
      </c>
      <c r="AZ91" s="307">
        <v>3</v>
      </c>
      <c r="BA91" s="279">
        <v>3.99</v>
      </c>
      <c r="BB91" s="289"/>
      <c r="BC91" s="289"/>
      <c r="BD91" s="293">
        <v>43433</v>
      </c>
      <c r="BE91" s="164"/>
      <c r="BF91" s="164"/>
      <c r="BG91" s="164"/>
    </row>
    <row r="92" spans="38:59" x14ac:dyDescent="0.25">
      <c r="AL92" s="274" t="s">
        <v>566</v>
      </c>
      <c r="AM92" s="268">
        <v>17</v>
      </c>
      <c r="AN92" s="275">
        <v>172</v>
      </c>
      <c r="AO92" s="300"/>
      <c r="AP92" s="289"/>
      <c r="AQ92" s="278">
        <v>0.99</v>
      </c>
      <c r="AR92" s="289"/>
      <c r="AS92" s="278">
        <v>3.99</v>
      </c>
      <c r="AT92" s="306">
        <v>2</v>
      </c>
      <c r="AU92" s="279">
        <v>2.99</v>
      </c>
      <c r="AV92" s="309">
        <v>5</v>
      </c>
      <c r="AW92" s="290">
        <v>6.99</v>
      </c>
      <c r="AX92" s="307">
        <v>5</v>
      </c>
      <c r="AY92" s="280">
        <v>5.99</v>
      </c>
      <c r="AZ92" s="310">
        <v>6</v>
      </c>
      <c r="BA92" s="283">
        <v>6.99</v>
      </c>
      <c r="BB92" s="307">
        <v>4</v>
      </c>
      <c r="BC92" s="279">
        <v>4.99</v>
      </c>
      <c r="BD92" s="293">
        <v>43472</v>
      </c>
      <c r="BE92" s="164"/>
      <c r="BF92" s="164"/>
      <c r="BG92" s="164"/>
    </row>
    <row r="93" spans="38:59" x14ac:dyDescent="0.25">
      <c r="AL93" s="274" t="s">
        <v>567</v>
      </c>
      <c r="AM93" s="268">
        <v>16</v>
      </c>
      <c r="AN93" s="275">
        <v>271</v>
      </c>
      <c r="AO93" s="300"/>
      <c r="AP93" s="289"/>
      <c r="AQ93" s="278">
        <v>1.99</v>
      </c>
      <c r="AR93" s="307">
        <v>5.0999999999999996</v>
      </c>
      <c r="AS93" s="280">
        <v>5.99</v>
      </c>
      <c r="AT93" s="310">
        <v>6.5</v>
      </c>
      <c r="AU93" s="283">
        <v>6.99</v>
      </c>
      <c r="AV93" s="307">
        <v>3</v>
      </c>
      <c r="AW93" s="279">
        <v>3.99</v>
      </c>
      <c r="AX93" s="306">
        <v>2</v>
      </c>
      <c r="AY93" s="279">
        <v>2.99</v>
      </c>
      <c r="AZ93" s="307">
        <v>3</v>
      </c>
      <c r="BA93" s="279">
        <v>3.99</v>
      </c>
      <c r="BB93" s="289"/>
      <c r="BC93" s="289"/>
      <c r="BD93" s="293">
        <v>43485</v>
      </c>
      <c r="BE93" s="164"/>
      <c r="BF93" s="164"/>
      <c r="BG93" s="164"/>
    </row>
    <row r="94" spans="38:59" x14ac:dyDescent="0.25">
      <c r="AL94" s="274" t="s">
        <v>568</v>
      </c>
      <c r="AM94" s="268">
        <v>18</v>
      </c>
      <c r="AN94" s="275">
        <v>257</v>
      </c>
      <c r="AO94" s="300"/>
      <c r="AP94" s="289"/>
      <c r="AQ94" s="278">
        <v>1.99</v>
      </c>
      <c r="AR94" s="289"/>
      <c r="AS94" s="278">
        <v>4.99</v>
      </c>
      <c r="AT94" s="309">
        <v>5</v>
      </c>
      <c r="AU94" s="290">
        <v>6.99</v>
      </c>
      <c r="AV94" s="289"/>
      <c r="AW94" s="278">
        <v>2.99</v>
      </c>
      <c r="AX94" s="307">
        <v>3</v>
      </c>
      <c r="AY94" s="279">
        <v>3.99</v>
      </c>
      <c r="AZ94" s="289"/>
      <c r="BA94" s="290">
        <v>6.99</v>
      </c>
      <c r="BB94" s="306">
        <v>2</v>
      </c>
      <c r="BC94" s="279">
        <v>2.99</v>
      </c>
      <c r="BD94" s="293">
        <v>43644</v>
      </c>
      <c r="BE94" s="164"/>
      <c r="BF94" s="164"/>
      <c r="BG94" s="164"/>
    </row>
    <row r="95" spans="38:59" x14ac:dyDescent="0.25">
      <c r="AL95" s="274" t="s">
        <v>569</v>
      </c>
      <c r="AM95" s="268">
        <v>19</v>
      </c>
      <c r="AN95" s="275">
        <v>148</v>
      </c>
      <c r="AO95" s="300"/>
      <c r="AP95" s="289"/>
      <c r="AQ95" s="278">
        <v>1.99</v>
      </c>
      <c r="AR95" s="307">
        <v>4</v>
      </c>
      <c r="AS95" s="279">
        <v>4.99</v>
      </c>
      <c r="AT95" s="289"/>
      <c r="AU95" s="278">
        <v>4.99</v>
      </c>
      <c r="AV95" s="289"/>
      <c r="AW95" s="278">
        <v>4.99</v>
      </c>
      <c r="AX95" s="307">
        <v>3</v>
      </c>
      <c r="AY95" s="279">
        <v>3.99</v>
      </c>
      <c r="AZ95" s="309">
        <v>3</v>
      </c>
      <c r="BA95" s="278">
        <v>4.99</v>
      </c>
      <c r="BB95" s="307">
        <v>1</v>
      </c>
      <c r="BC95" s="279">
        <v>1.99</v>
      </c>
      <c r="BD95" s="293">
        <v>43644</v>
      </c>
      <c r="BE95" s="164"/>
      <c r="BF95" s="164"/>
      <c r="BG95" s="164"/>
    </row>
    <row r="96" spans="38:59" x14ac:dyDescent="0.25">
      <c r="AL96" s="274" t="s">
        <v>570</v>
      </c>
      <c r="AM96" s="268">
        <v>19</v>
      </c>
      <c r="AN96" s="275">
        <v>135</v>
      </c>
      <c r="AO96" s="300"/>
      <c r="AP96" s="289"/>
      <c r="AQ96" s="278">
        <v>0.99</v>
      </c>
      <c r="AR96" s="307">
        <v>4</v>
      </c>
      <c r="AS96" s="279">
        <v>4.99</v>
      </c>
      <c r="AT96" s="307">
        <v>4</v>
      </c>
      <c r="AU96" s="279">
        <v>4.99</v>
      </c>
      <c r="AV96" s="306">
        <v>2</v>
      </c>
      <c r="AW96" s="279">
        <v>2.99</v>
      </c>
      <c r="AX96" s="289"/>
      <c r="AY96" s="287">
        <v>5.99</v>
      </c>
      <c r="AZ96" s="307">
        <v>4</v>
      </c>
      <c r="BA96" s="279">
        <v>4.99</v>
      </c>
      <c r="BB96" s="306">
        <v>2</v>
      </c>
      <c r="BC96" s="279">
        <v>2.99</v>
      </c>
      <c r="BD96" s="293">
        <v>43644</v>
      </c>
      <c r="BE96" s="164"/>
      <c r="BF96" s="164"/>
      <c r="BG96" s="164"/>
    </row>
    <row r="97" spans="38:59" x14ac:dyDescent="0.25">
      <c r="AL97" s="274" t="s">
        <v>571</v>
      </c>
      <c r="AM97" s="268">
        <v>16</v>
      </c>
      <c r="AN97" s="275">
        <v>167</v>
      </c>
      <c r="AO97" s="300"/>
      <c r="AP97" s="289"/>
      <c r="AQ97" s="278">
        <v>0.99</v>
      </c>
      <c r="AR97" s="307">
        <v>1</v>
      </c>
      <c r="AS97" s="279">
        <v>1.99</v>
      </c>
      <c r="AT97" s="310">
        <v>5</v>
      </c>
      <c r="AU97" s="285">
        <v>5.99</v>
      </c>
      <c r="AV97" s="310">
        <v>6</v>
      </c>
      <c r="AW97" s="283">
        <v>6.99</v>
      </c>
      <c r="AX97" s="310">
        <v>4</v>
      </c>
      <c r="AY97" s="282">
        <v>4.99</v>
      </c>
      <c r="AZ97" s="310" t="s">
        <v>572</v>
      </c>
      <c r="BA97" s="282">
        <v>3.99</v>
      </c>
      <c r="BB97" s="289"/>
      <c r="BC97" s="289"/>
      <c r="BD97" s="293">
        <v>43589</v>
      </c>
      <c r="BE97" s="164"/>
      <c r="BF97" s="164"/>
      <c r="BG97" s="164"/>
    </row>
    <row r="98" spans="38:59" x14ac:dyDescent="0.25">
      <c r="AL98" s="274" t="s">
        <v>339</v>
      </c>
      <c r="AM98" s="268">
        <v>18</v>
      </c>
      <c r="AN98" s="275">
        <f>88-444+[1]Jugadores!AM33-112-112-102-6+17-112-5+3-112-35+68-112-112+88-112-8+34-80-7+47-36-112-112-112-27-70-21-2-179+69-112-112+50-112-112</f>
        <v>-2126</v>
      </c>
      <c r="AO98" s="300"/>
      <c r="AP98" s="309">
        <v>4</v>
      </c>
      <c r="AQ98" s="290">
        <v>6.99</v>
      </c>
      <c r="AR98" s="310">
        <v>3</v>
      </c>
      <c r="AS98" s="282">
        <v>3.99</v>
      </c>
      <c r="AT98" s="307">
        <v>0</v>
      </c>
      <c r="AU98" s="279">
        <v>0.99</v>
      </c>
      <c r="AV98" s="307">
        <v>0</v>
      </c>
      <c r="AW98" s="279">
        <v>0.99</v>
      </c>
      <c r="AX98" s="289"/>
      <c r="AY98" s="278">
        <v>1.99</v>
      </c>
      <c r="AZ98" s="307">
        <v>1</v>
      </c>
      <c r="BA98" s="279">
        <v>1.99</v>
      </c>
      <c r="BB98" s="289"/>
      <c r="BC98" s="289"/>
      <c r="BD98" s="293">
        <v>43644</v>
      </c>
      <c r="BE98" s="164"/>
      <c r="BF98" s="164"/>
      <c r="BG98" s="164"/>
    </row>
    <row r="99" spans="38:59" x14ac:dyDescent="0.25">
      <c r="AL99" s="274" t="s">
        <v>573</v>
      </c>
      <c r="AM99" s="268">
        <v>18</v>
      </c>
      <c r="AN99" s="275">
        <f>88-444+[1]Jugadores!AM33-112-112-102-6+17-112-5+3-112-35+68-112-112+88-112-8+34-80-7+47-36-112-112-112-27-70-21-2-179+33+39-112+43-112-112-112</f>
        <v>-2130</v>
      </c>
      <c r="AO99" s="300"/>
      <c r="AP99" s="289"/>
      <c r="AQ99" s="289"/>
      <c r="AR99" s="309">
        <v>5</v>
      </c>
      <c r="AS99" s="290">
        <v>6.99</v>
      </c>
      <c r="AT99" s="307">
        <v>2</v>
      </c>
      <c r="AU99" s="279">
        <v>2.99</v>
      </c>
      <c r="AV99" s="306">
        <v>2</v>
      </c>
      <c r="AW99" s="279">
        <v>2.99</v>
      </c>
      <c r="AX99" s="306">
        <v>2</v>
      </c>
      <c r="AY99" s="279">
        <v>2.99</v>
      </c>
      <c r="AZ99" s="310">
        <v>4</v>
      </c>
      <c r="BA99" s="282">
        <v>4.99</v>
      </c>
      <c r="BB99" s="289"/>
      <c r="BC99" s="289"/>
      <c r="BD99" s="293">
        <v>43644</v>
      </c>
      <c r="BE99" s="164"/>
      <c r="BF99" s="164"/>
      <c r="BG99" s="164"/>
    </row>
    <row r="100" spans="38:59" x14ac:dyDescent="0.25">
      <c r="AL100" s="274" t="s">
        <v>574</v>
      </c>
      <c r="AM100" s="268">
        <v>16</v>
      </c>
      <c r="AN100" s="275">
        <f>88-444+[1]Jugadores!AM33-1629-102</f>
        <v>-2087</v>
      </c>
      <c r="AO100" s="300"/>
      <c r="AP100" s="294"/>
      <c r="AQ100" s="294"/>
      <c r="AR100" s="309">
        <v>5</v>
      </c>
      <c r="AS100" s="290">
        <v>6.99</v>
      </c>
      <c r="AT100" s="307">
        <v>3.3</v>
      </c>
      <c r="AU100" s="279">
        <v>3.99</v>
      </c>
      <c r="AV100" s="310">
        <v>1</v>
      </c>
      <c r="AW100" s="282">
        <v>1.99</v>
      </c>
      <c r="AX100" s="307">
        <v>3</v>
      </c>
      <c r="AY100" s="279">
        <v>3.99</v>
      </c>
      <c r="AZ100" s="294"/>
      <c r="BA100" s="287">
        <v>5.99</v>
      </c>
      <c r="BB100" s="294"/>
      <c r="BC100" s="294"/>
      <c r="BD100" s="293">
        <v>45870</v>
      </c>
      <c r="BE100" s="164"/>
      <c r="BF100" s="164"/>
      <c r="BG100" s="164"/>
    </row>
    <row r="101" spans="38:59" x14ac:dyDescent="0.25">
      <c r="AL101" s="274" t="s">
        <v>575</v>
      </c>
      <c r="AM101" s="268">
        <v>16</v>
      </c>
      <c r="AN101" s="275">
        <f>88-444+[1]Jugadores!AM33-1629-112</f>
        <v>-2097</v>
      </c>
      <c r="AO101" s="300"/>
      <c r="AP101" s="289"/>
      <c r="AQ101" s="289"/>
      <c r="AR101" s="309">
        <v>4</v>
      </c>
      <c r="AS101" s="287">
        <v>5.99</v>
      </c>
      <c r="AT101" s="307">
        <v>3</v>
      </c>
      <c r="AU101" s="279">
        <v>3.99</v>
      </c>
      <c r="AV101" s="307">
        <v>4</v>
      </c>
      <c r="AW101" s="279">
        <v>4.99</v>
      </c>
      <c r="AX101" s="306">
        <v>2</v>
      </c>
      <c r="AY101" s="279">
        <v>2.99</v>
      </c>
      <c r="AZ101" s="289"/>
      <c r="BA101" s="278">
        <v>3.99</v>
      </c>
      <c r="BB101" s="289"/>
      <c r="BC101" s="278">
        <v>4.99</v>
      </c>
      <c r="BD101" s="293">
        <v>45853</v>
      </c>
      <c r="BE101" s="164"/>
      <c r="BF101" s="164"/>
      <c r="BG101" s="164"/>
    </row>
    <row r="102" spans="38:59" x14ac:dyDescent="0.25">
      <c r="AL102" s="274" t="s">
        <v>576</v>
      </c>
      <c r="AM102" s="268">
        <v>16</v>
      </c>
      <c r="AN102" s="275">
        <f>42-584+[1]Jugadores!AM33-112-112+6-112+3-112+21-112+67-112-6-40-34-12-105+55-75+11-112-112+4-112-30-112-112-9-112+100-103-112</f>
        <v>-2145</v>
      </c>
      <c r="AO102" s="300"/>
      <c r="AP102" s="289"/>
      <c r="AQ102" s="289"/>
      <c r="AR102" s="310">
        <v>5</v>
      </c>
      <c r="AS102" s="285">
        <v>5.99</v>
      </c>
      <c r="AT102" s="307">
        <v>4</v>
      </c>
      <c r="AU102" s="279">
        <v>4.99</v>
      </c>
      <c r="AV102" s="289"/>
      <c r="AW102" s="278">
        <v>1.99</v>
      </c>
      <c r="AX102" s="289"/>
      <c r="AY102" s="278">
        <v>3.99</v>
      </c>
      <c r="AZ102" s="309">
        <v>3</v>
      </c>
      <c r="BA102" s="289"/>
      <c r="BB102" s="289"/>
      <c r="BC102" s="289"/>
      <c r="BD102" s="293">
        <v>45901</v>
      </c>
      <c r="BE102" s="164"/>
      <c r="BF102" s="164"/>
      <c r="BG102" s="164"/>
    </row>
    <row r="103" spans="38:59" x14ac:dyDescent="0.25">
      <c r="AL103" s="274" t="s">
        <v>577</v>
      </c>
      <c r="AM103" s="268">
        <v>18</v>
      </c>
      <c r="AN103" s="275">
        <f>42-584+[1]Jugadores!AM33-112-112+6-112+3-112+21-112+67-112-6-40-34-12-105+55+11-112+1-23-112-112-112-115-42-112-112-112</f>
        <v>-2211</v>
      </c>
      <c r="AO103" s="300" t="s">
        <v>0</v>
      </c>
      <c r="AP103" s="289"/>
      <c r="AQ103" s="278">
        <v>1.99</v>
      </c>
      <c r="AR103" s="306">
        <v>2</v>
      </c>
      <c r="AS103" s="279">
        <v>2.99</v>
      </c>
      <c r="AT103" s="306">
        <v>2</v>
      </c>
      <c r="AU103" s="279">
        <v>2.99</v>
      </c>
      <c r="AV103" s="307">
        <v>3</v>
      </c>
      <c r="AW103" s="279">
        <v>3.99</v>
      </c>
      <c r="AX103" s="309">
        <v>4</v>
      </c>
      <c r="AY103" s="287">
        <v>5.99</v>
      </c>
      <c r="AZ103" s="289"/>
      <c r="BA103" s="278">
        <v>3.99</v>
      </c>
      <c r="BB103" s="289"/>
      <c r="BC103" s="278">
        <v>4.99</v>
      </c>
      <c r="BD103" s="293">
        <v>43644</v>
      </c>
      <c r="BE103" s="164"/>
      <c r="BF103" s="164"/>
      <c r="BG103" s="164"/>
    </row>
    <row r="104" spans="38:59" x14ac:dyDescent="0.25">
      <c r="AL104" s="274" t="s">
        <v>578</v>
      </c>
      <c r="AM104" s="268">
        <v>16</v>
      </c>
      <c r="AN104" s="275">
        <f>88-444+[1]Jugadores!AM33-112-112-102-6+17-112-5+3-112-35+68-112-112+88-112-8+34-80-7+47-36-112-57-112+76-112-115-6-112-70-112-112-86+1-80</f>
        <v>-2171</v>
      </c>
      <c r="AO104" s="300" t="s">
        <v>192</v>
      </c>
      <c r="AP104" s="294"/>
      <c r="AQ104" s="278">
        <v>1.99</v>
      </c>
      <c r="AR104" s="306">
        <v>2</v>
      </c>
      <c r="AS104" s="279">
        <v>2.99</v>
      </c>
      <c r="AT104" s="309">
        <v>3</v>
      </c>
      <c r="AU104" s="278">
        <v>4.99</v>
      </c>
      <c r="AV104" s="294"/>
      <c r="AW104" s="290">
        <v>6.99</v>
      </c>
      <c r="AX104" s="294"/>
      <c r="AY104" s="278">
        <v>4.99</v>
      </c>
      <c r="AZ104" s="309">
        <v>3</v>
      </c>
      <c r="BA104" s="278">
        <v>4.99</v>
      </c>
      <c r="BB104" s="294"/>
      <c r="BC104" s="294"/>
      <c r="BD104" s="293">
        <v>45934</v>
      </c>
      <c r="BE104" s="164"/>
      <c r="BF104" s="164"/>
      <c r="BG104" s="164"/>
    </row>
    <row r="105" spans="38:59" x14ac:dyDescent="0.25">
      <c r="AL105" s="274" t="s">
        <v>579</v>
      </c>
      <c r="AM105" s="268">
        <v>17</v>
      </c>
      <c r="AN105" s="275">
        <f>88-444+[1]Jugadores!AM33-112-112-102-6+17-112-5+3-112-35+68-112-112+88-112-8+34-80-7+47-36-112-112-112-27-70-21-2-179+33+15-112-75+7-112+52-28-112-36-112</f>
        <v>-2277</v>
      </c>
      <c r="AO105" s="300"/>
      <c r="AP105" s="289"/>
      <c r="AQ105" s="278">
        <v>0.99</v>
      </c>
      <c r="AR105" s="309">
        <v>4</v>
      </c>
      <c r="AS105" s="287">
        <v>5.99</v>
      </c>
      <c r="AT105" s="307">
        <v>2</v>
      </c>
      <c r="AU105" s="279">
        <v>2.99</v>
      </c>
      <c r="AV105" s="307">
        <v>4</v>
      </c>
      <c r="AW105" s="279">
        <v>4.99</v>
      </c>
      <c r="AX105" s="307">
        <v>2</v>
      </c>
      <c r="AY105" s="279">
        <v>2.99</v>
      </c>
      <c r="AZ105" s="309">
        <v>5</v>
      </c>
      <c r="BA105" s="290">
        <v>6.99</v>
      </c>
      <c r="BB105" s="289"/>
      <c r="BC105" s="289"/>
      <c r="BD105" s="293">
        <v>43644</v>
      </c>
      <c r="BE105" s="164"/>
      <c r="BF105" s="164"/>
      <c r="BG105" s="164"/>
    </row>
    <row r="106" spans="38:59" x14ac:dyDescent="0.25">
      <c r="AL106" s="274" t="s">
        <v>580</v>
      </c>
      <c r="AM106" s="268">
        <v>18</v>
      </c>
      <c r="AN106" s="275">
        <f>42-584+[1]Jugadores!AM33-112-112+6-112+3-112+21-112+67-112-6-40-34-12-105+55+11-112+1-23-112-112-112-115-52-112-112-112</f>
        <v>-2221</v>
      </c>
      <c r="AO106" s="300"/>
      <c r="AP106" s="289"/>
      <c r="AQ106" s="278">
        <v>1.99</v>
      </c>
      <c r="AR106" s="310">
        <v>5</v>
      </c>
      <c r="AS106" s="285">
        <v>5.99</v>
      </c>
      <c r="AT106" s="307">
        <v>4.0999999999999996</v>
      </c>
      <c r="AU106" s="279">
        <v>4.99</v>
      </c>
      <c r="AV106" s="306">
        <v>2</v>
      </c>
      <c r="AW106" s="279">
        <v>2.99</v>
      </c>
      <c r="AX106" s="289"/>
      <c r="AY106" s="287">
        <v>5.99</v>
      </c>
      <c r="AZ106" s="310">
        <v>3</v>
      </c>
      <c r="BA106" s="282">
        <v>3.99</v>
      </c>
      <c r="BB106" s="289"/>
      <c r="BC106" s="278">
        <v>2.99</v>
      </c>
      <c r="BD106" s="293">
        <v>43644</v>
      </c>
      <c r="BE106" s="164"/>
      <c r="BF106" s="164"/>
      <c r="BG106" s="164"/>
    </row>
    <row r="107" spans="38:59" x14ac:dyDescent="0.25">
      <c r="AL107" s="274" t="s">
        <v>581</v>
      </c>
      <c r="AM107" s="268">
        <v>18</v>
      </c>
      <c r="AN107" s="275">
        <f>[1]Jugadores!AM33-2150+2-112</f>
        <v>-2260</v>
      </c>
      <c r="AO107" s="300" t="s">
        <v>101</v>
      </c>
      <c r="AP107" s="289"/>
      <c r="AQ107" s="278">
        <v>1.99</v>
      </c>
      <c r="AR107" s="306">
        <v>2</v>
      </c>
      <c r="AS107" s="279">
        <v>2.99</v>
      </c>
      <c r="AT107" s="307">
        <v>3</v>
      </c>
      <c r="AU107" s="279">
        <v>3.99</v>
      </c>
      <c r="AV107" s="307">
        <v>3</v>
      </c>
      <c r="AW107" s="279">
        <v>3.99</v>
      </c>
      <c r="AX107" s="306">
        <v>2</v>
      </c>
      <c r="AY107" s="279">
        <v>2.99</v>
      </c>
      <c r="AZ107" s="307">
        <v>5</v>
      </c>
      <c r="BA107" s="280">
        <v>5.99</v>
      </c>
      <c r="BB107" s="289"/>
      <c r="BC107" s="289"/>
      <c r="BD107" s="293">
        <v>43644</v>
      </c>
      <c r="BE107" s="164"/>
      <c r="BF107" s="164"/>
      <c r="BG107" s="164"/>
    </row>
    <row r="108" spans="38:59" x14ac:dyDescent="0.25">
      <c r="AL108" s="274" t="s">
        <v>582</v>
      </c>
      <c r="AM108" s="268">
        <v>17</v>
      </c>
      <c r="AN108" s="275">
        <f>88+AL143-2254-112-112</f>
        <v>-2390</v>
      </c>
      <c r="AO108" s="300"/>
      <c r="AP108" s="289"/>
      <c r="AQ108" s="278">
        <v>0.99</v>
      </c>
      <c r="AR108" s="307">
        <v>2</v>
      </c>
      <c r="AS108" s="279">
        <v>2.99</v>
      </c>
      <c r="AT108" s="307">
        <v>4</v>
      </c>
      <c r="AU108" s="279">
        <v>4.99</v>
      </c>
      <c r="AV108" s="307">
        <v>2</v>
      </c>
      <c r="AW108" s="279">
        <v>2.99</v>
      </c>
      <c r="AX108" s="307">
        <v>3</v>
      </c>
      <c r="AY108" s="279">
        <v>3.99</v>
      </c>
      <c r="AZ108" s="310">
        <v>5</v>
      </c>
      <c r="BA108" s="285">
        <v>5.99</v>
      </c>
      <c r="BB108" s="289"/>
      <c r="BC108" s="289"/>
      <c r="BD108" s="293">
        <v>43644</v>
      </c>
      <c r="BE108" s="164"/>
      <c r="BF108" s="164"/>
      <c r="BG108" s="164"/>
    </row>
    <row r="109" spans="38:59" x14ac:dyDescent="0.25">
      <c r="AL109" s="274" t="s">
        <v>583</v>
      </c>
      <c r="AM109" s="268">
        <v>17</v>
      </c>
      <c r="AN109" s="275">
        <f>88-444+[1]Jugadores!AM33-112-112-102-6+17-112-5+3-112-35+68-112-112+88-112-8+34-80-7+47-36-112-112-112-27-70-21-2-179+33+39-112-112+20-112+7-69+8-212-112</f>
        <v>-2419</v>
      </c>
      <c r="AO109" s="300"/>
      <c r="AP109" s="294"/>
      <c r="AQ109" s="278">
        <v>0.99</v>
      </c>
      <c r="AR109" s="310">
        <v>3</v>
      </c>
      <c r="AS109" s="282">
        <v>3.99</v>
      </c>
      <c r="AT109" s="294"/>
      <c r="AU109" s="278">
        <v>3.99</v>
      </c>
      <c r="AV109" s="307">
        <v>6</v>
      </c>
      <c r="AW109" s="280">
        <v>6.99</v>
      </c>
      <c r="AX109" s="307">
        <v>4</v>
      </c>
      <c r="AY109" s="279">
        <v>4.99</v>
      </c>
      <c r="AZ109" s="311">
        <v>1</v>
      </c>
      <c r="BA109" s="282">
        <v>1.99</v>
      </c>
      <c r="BB109" s="294"/>
      <c r="BC109" s="294"/>
      <c r="BD109" s="293">
        <v>46063</v>
      </c>
      <c r="BE109" s="164"/>
      <c r="BF109" s="164"/>
      <c r="BG109" s="164"/>
    </row>
    <row r="110" spans="38:59" x14ac:dyDescent="0.25">
      <c r="AL110" s="274" t="s">
        <v>584</v>
      </c>
      <c r="AM110" s="268">
        <v>16</v>
      </c>
      <c r="AN110" s="275">
        <f>-1500+[1]Jugadores!AM33-770+30-112</f>
        <v>-2352</v>
      </c>
      <c r="AO110" s="300" t="s">
        <v>192</v>
      </c>
      <c r="AP110" s="289"/>
      <c r="AQ110" s="278">
        <v>1.99</v>
      </c>
      <c r="AR110" s="309">
        <v>3</v>
      </c>
      <c r="AS110" s="278">
        <v>4.99</v>
      </c>
      <c r="AT110" s="289"/>
      <c r="AU110" s="278">
        <v>2.99</v>
      </c>
      <c r="AV110" s="307">
        <v>5</v>
      </c>
      <c r="AW110" s="280">
        <v>5.99</v>
      </c>
      <c r="AX110" s="307">
        <v>4</v>
      </c>
      <c r="AY110" s="279">
        <v>4.99</v>
      </c>
      <c r="AZ110" s="307">
        <v>4</v>
      </c>
      <c r="BA110" s="279">
        <v>4.99</v>
      </c>
      <c r="BB110" s="289"/>
      <c r="BC110" s="289"/>
      <c r="BD110" s="293">
        <v>41322</v>
      </c>
      <c r="BE110" s="164"/>
      <c r="BF110" s="164"/>
      <c r="BG110" s="164"/>
    </row>
    <row r="111" spans="38:59" x14ac:dyDescent="0.25">
      <c r="AL111" s="274" t="s">
        <v>585</v>
      </c>
      <c r="AM111" s="268">
        <v>16</v>
      </c>
      <c r="AN111" s="275">
        <f>-1500+[1]Jugadores!AM33-770-112</f>
        <v>-2382</v>
      </c>
      <c r="AO111" s="300" t="s">
        <v>442</v>
      </c>
      <c r="AP111" s="289"/>
      <c r="AQ111" s="278">
        <v>1.99</v>
      </c>
      <c r="AR111" s="309">
        <v>4</v>
      </c>
      <c r="AS111" s="287">
        <v>5.99</v>
      </c>
      <c r="AT111" s="306">
        <v>2</v>
      </c>
      <c r="AU111" s="279">
        <v>2.99</v>
      </c>
      <c r="AV111" s="306">
        <v>2</v>
      </c>
      <c r="AW111" s="279">
        <v>2.99</v>
      </c>
      <c r="AX111" s="310">
        <v>4</v>
      </c>
      <c r="AY111" s="282">
        <v>4.99</v>
      </c>
      <c r="AZ111" s="310">
        <v>5</v>
      </c>
      <c r="BA111" s="285">
        <v>5.99</v>
      </c>
      <c r="BB111" s="289"/>
      <c r="BC111" s="289"/>
      <c r="BD111" s="293">
        <v>46138</v>
      </c>
      <c r="BE111" s="164"/>
      <c r="BF111" s="164"/>
      <c r="BG111" s="164"/>
    </row>
    <row r="112" spans="38:59" x14ac:dyDescent="0.25">
      <c r="AL112" s="274" t="s">
        <v>586</v>
      </c>
      <c r="AM112" s="268">
        <v>16</v>
      </c>
      <c r="AN112" s="275">
        <f>[1]Jugadores!AM33-2100-6-93+31-112-26+34-112</f>
        <v>-2384</v>
      </c>
      <c r="AO112" s="300"/>
      <c r="AP112" s="289"/>
      <c r="AQ112" s="278">
        <v>1.99</v>
      </c>
      <c r="AR112" s="307">
        <v>3</v>
      </c>
      <c r="AS112" s="279">
        <v>3.99</v>
      </c>
      <c r="AT112" s="289"/>
      <c r="AU112" s="278">
        <v>2.99</v>
      </c>
      <c r="AV112" s="310">
        <v>6</v>
      </c>
      <c r="AW112" s="283">
        <v>6.99</v>
      </c>
      <c r="AX112" s="310">
        <v>2</v>
      </c>
      <c r="AY112" s="282">
        <v>2.99</v>
      </c>
      <c r="AZ112" s="309">
        <v>4</v>
      </c>
      <c r="BA112" s="290">
        <v>6.99</v>
      </c>
      <c r="BB112" s="289"/>
      <c r="BC112" s="289"/>
      <c r="BD112" s="293">
        <v>46140</v>
      </c>
      <c r="BE112" s="164"/>
      <c r="BF112" s="164"/>
      <c r="BG112" s="164"/>
    </row>
    <row r="113" spans="38:59" x14ac:dyDescent="0.25">
      <c r="AL113" s="274" t="s">
        <v>587</v>
      </c>
      <c r="AM113" s="268">
        <v>16</v>
      </c>
      <c r="AN113" s="275">
        <f>[1]Jugadores!AM33-2100-6-93+31-112-26-44-112</f>
        <v>-2462</v>
      </c>
      <c r="AO113" s="300" t="s">
        <v>442</v>
      </c>
      <c r="AP113" s="289"/>
      <c r="AQ113" s="289"/>
      <c r="AR113" s="310">
        <v>1</v>
      </c>
      <c r="AS113" s="282">
        <v>1.99</v>
      </c>
      <c r="AT113" s="289"/>
      <c r="AU113" s="278">
        <v>2.99</v>
      </c>
      <c r="AV113" s="307">
        <v>6</v>
      </c>
      <c r="AW113" s="280">
        <v>6.99</v>
      </c>
      <c r="AX113" s="289"/>
      <c r="AY113" s="278">
        <v>2.99</v>
      </c>
      <c r="AZ113" s="307">
        <v>4</v>
      </c>
      <c r="BA113" s="279">
        <v>4.99</v>
      </c>
      <c r="BB113" s="289"/>
      <c r="BC113" s="289"/>
      <c r="BD113" s="293">
        <v>46218</v>
      </c>
      <c r="BE113" s="164"/>
      <c r="BF113" s="164"/>
      <c r="BG113" s="164"/>
    </row>
    <row r="114" spans="38:59" x14ac:dyDescent="0.25">
      <c r="AL114" s="274" t="s">
        <v>588</v>
      </c>
      <c r="AM114" s="268">
        <v>18</v>
      </c>
      <c r="AN114" s="275">
        <f>88+[1]Jugadores!AM33-2254-112-112+6-112-112</f>
        <v>-2608</v>
      </c>
      <c r="AO114" s="300" t="s">
        <v>101</v>
      </c>
      <c r="AP114" s="289"/>
      <c r="AQ114" s="289"/>
      <c r="AR114" s="309">
        <v>5</v>
      </c>
      <c r="AS114" s="290">
        <v>6.99</v>
      </c>
      <c r="AT114" s="309">
        <v>5</v>
      </c>
      <c r="AU114" s="290">
        <v>6.99</v>
      </c>
      <c r="AV114" s="307">
        <v>2</v>
      </c>
      <c r="AW114" s="279">
        <v>2.99</v>
      </c>
      <c r="AX114" s="309">
        <v>5</v>
      </c>
      <c r="AY114" s="290">
        <v>6.99</v>
      </c>
      <c r="AZ114" s="307">
        <v>3</v>
      </c>
      <c r="BA114" s="279">
        <v>3.99</v>
      </c>
      <c r="BB114" s="289"/>
      <c r="BC114" s="289"/>
      <c r="BD114" s="293">
        <v>43644</v>
      </c>
      <c r="BE114" s="164"/>
      <c r="BF114" s="164"/>
      <c r="BG114" s="164"/>
    </row>
    <row r="115" spans="38:59" x14ac:dyDescent="0.25">
      <c r="AL115" s="274" t="s">
        <v>589</v>
      </c>
      <c r="AM115" s="268">
        <v>16</v>
      </c>
      <c r="AN115" s="275">
        <f>88+[1]Jugadores!AM33-2254-112-112+6-112</f>
        <v>-2496</v>
      </c>
      <c r="AO115" s="300" t="s">
        <v>192</v>
      </c>
      <c r="AP115" s="289"/>
      <c r="AQ115" s="278">
        <v>2.99</v>
      </c>
      <c r="AR115" s="309">
        <v>4</v>
      </c>
      <c r="AS115" s="290">
        <v>6.99</v>
      </c>
      <c r="AT115" s="289"/>
      <c r="AU115" s="289"/>
      <c r="AV115" s="310">
        <v>3</v>
      </c>
      <c r="AW115" s="282">
        <v>3.99</v>
      </c>
      <c r="AX115" s="289"/>
      <c r="AY115" s="278">
        <v>4.99</v>
      </c>
      <c r="AZ115" s="309">
        <v>2</v>
      </c>
      <c r="BA115" s="289"/>
      <c r="BB115" s="289"/>
      <c r="BC115" s="289"/>
      <c r="BD115" s="293">
        <v>46252</v>
      </c>
      <c r="BE115" s="164"/>
      <c r="BF115" s="164"/>
      <c r="BG115" s="164"/>
    </row>
    <row r="116" spans="38:59" x14ac:dyDescent="0.25">
      <c r="AL116" s="274" t="s">
        <v>427</v>
      </c>
      <c r="AM116" s="268">
        <v>17</v>
      </c>
      <c r="AN116" s="275">
        <v>3</v>
      </c>
      <c r="AO116" s="300"/>
      <c r="AP116" s="289"/>
      <c r="AQ116" s="289"/>
      <c r="AR116" s="310">
        <v>5</v>
      </c>
      <c r="AS116" s="285">
        <v>5.99</v>
      </c>
      <c r="AT116" s="310">
        <v>4</v>
      </c>
      <c r="AU116" s="282">
        <v>4.99</v>
      </c>
      <c r="AV116" s="310">
        <v>5</v>
      </c>
      <c r="AW116" s="285">
        <v>5.99</v>
      </c>
      <c r="AX116" s="307">
        <v>2</v>
      </c>
      <c r="AY116" s="279">
        <v>2.99</v>
      </c>
      <c r="AZ116" s="289"/>
      <c r="BA116" s="278">
        <v>3.99</v>
      </c>
      <c r="BB116" s="289"/>
      <c r="BC116" s="289"/>
      <c r="BD116" s="293">
        <v>43648</v>
      </c>
    </row>
  </sheetData>
  <mergeCells count="1">
    <mergeCell ref="H31:O31"/>
  </mergeCells>
  <conditionalFormatting sqref="AD3:AI3 AD22:AI28 AD7:AI11 AD15:AI19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3 F22:F28 F7:F11 F15:F19">
    <cfRule type="cellIs" dxfId="40" priority="700" stopIfTrue="1" operator="greaterThan">
      <formula>50</formula>
    </cfRule>
  </conditionalFormatting>
  <conditionalFormatting sqref="F3 F22:F28 F7:F11 F15:F19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1:AI11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1">
    <cfRule type="cellIs" dxfId="14" priority="3" stopIfTrue="1" operator="greaterThan">
      <formula>50</formula>
    </cfRule>
  </conditionalFormatting>
  <conditionalFormatting sqref="F11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7:Z11 Y15:Z1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tabSelected="1" zoomScaleNormal="100" workbookViewId="0">
      <selection activeCell="D4" sqref="D4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129690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86</v>
      </c>
      <c r="G3" s="105">
        <f>Plantilla!X4</f>
        <v>15</v>
      </c>
      <c r="H3" s="105">
        <f>Plantilla!Y4</f>
        <v>10.875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46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97.5</v>
      </c>
      <c r="X3" t="s">
        <v>28</v>
      </c>
      <c r="Y3" s="17">
        <f>E3+1</f>
        <v>23</v>
      </c>
      <c r="Z3" s="3">
        <f ca="1">F3+(7*$AR$8)-122</f>
        <v>34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56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107.5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83</v>
      </c>
      <c r="G4" s="105">
        <f>Plantilla!X6</f>
        <v>0</v>
      </c>
      <c r="H4" s="105">
        <f>Plantilla!Y6</f>
        <v>14.8125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92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117</v>
      </c>
      <c r="X4" t="s">
        <v>31</v>
      </c>
      <c r="Y4" s="17">
        <f t="shared" ref="Y4:Y15" si="3">E4+1</f>
        <v>23</v>
      </c>
      <c r="Z4" s="3">
        <f t="shared" ref="Z4:Z15" ca="1" si="4">F4+(7*$AR$8)-122</f>
        <v>31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102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127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23</v>
      </c>
      <c r="F5" s="3">
        <f ca="1">Plantilla!F8</f>
        <v>2</v>
      </c>
      <c r="G5" s="105">
        <f>Plantilla!X8</f>
        <v>0</v>
      </c>
      <c r="H5" s="105">
        <f>Plantilla!Y8</f>
        <v>12.818181818181818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11670</v>
      </c>
      <c r="O5" s="121">
        <v>0</v>
      </c>
      <c r="P5" s="121">
        <v>65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111.5</v>
      </c>
      <c r="X5" t="s">
        <v>32</v>
      </c>
      <c r="Y5" s="17">
        <f t="shared" si="3"/>
        <v>24</v>
      </c>
      <c r="Z5" s="3">
        <f t="shared" ca="1" si="4"/>
        <v>-50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75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121.5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64</v>
      </c>
      <c r="G6" s="105">
        <f>Plantilla!X7</f>
        <v>0</v>
      </c>
      <c r="H6" s="105">
        <f>Plantilla!Y7</f>
        <v>14.75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91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118.5</v>
      </c>
      <c r="X6" t="s">
        <v>38</v>
      </c>
      <c r="Y6" s="17">
        <f t="shared" si="3"/>
        <v>23</v>
      </c>
      <c r="Z6" s="3">
        <f t="shared" ca="1" si="4"/>
        <v>12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101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128.5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99</v>
      </c>
      <c r="G7" s="105">
        <f>Plantilla!X9</f>
        <v>0</v>
      </c>
      <c r="H7" s="105">
        <f>Plantilla!Y9</f>
        <v>10.777777777777779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44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116.5</v>
      </c>
      <c r="X7" t="s">
        <v>40</v>
      </c>
      <c r="Y7" s="17">
        <f t="shared" si="3"/>
        <v>23</v>
      </c>
      <c r="Z7" s="3">
        <f t="shared" ca="1" si="4"/>
        <v>47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54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126.5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10</v>
      </c>
      <c r="AS8" s="126">
        <f>AR8/16</f>
        <v>0.625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79</v>
      </c>
      <c r="G9" s="105">
        <f>Plantilla!X11</f>
        <v>0</v>
      </c>
      <c r="H9" s="105">
        <f>Plantilla!Y11</f>
        <v>12.1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57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126.5</v>
      </c>
      <c r="X9" t="s">
        <v>34</v>
      </c>
      <c r="Y9" s="17">
        <f t="shared" si="3"/>
        <v>23</v>
      </c>
      <c r="Z9" s="3">
        <f t="shared" ca="1" si="4"/>
        <v>27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67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136.5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79</v>
      </c>
      <c r="G10" s="105">
        <f>Plantilla!X13</f>
        <v>0</v>
      </c>
      <c r="H10" s="105">
        <f>Plantilla!Y13</f>
        <v>10.857142857142858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45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109.5</v>
      </c>
      <c r="X10" t="s">
        <v>30</v>
      </c>
      <c r="Y10" s="17">
        <f t="shared" si="3"/>
        <v>23</v>
      </c>
      <c r="Z10" s="3">
        <f t="shared" ca="1" si="4"/>
        <v>27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55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119.5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75</v>
      </c>
      <c r="G13" s="105">
        <f>Plantilla!X14</f>
        <v>0</v>
      </c>
      <c r="H13" s="105">
        <f>Plantilla!Y14</f>
        <v>9.4285714285714288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33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123</v>
      </c>
      <c r="X13" t="s">
        <v>35</v>
      </c>
      <c r="Y13" s="17">
        <f t="shared" si="3"/>
        <v>23</v>
      </c>
      <c r="Z13" s="3">
        <f t="shared" ca="1" si="4"/>
        <v>23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43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133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40</v>
      </c>
      <c r="G14" s="105">
        <f>Plantilla!X12</f>
        <v>0</v>
      </c>
      <c r="H14" s="105">
        <f>Plantilla!Y12</f>
        <v>11.222222222222221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48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122.5</v>
      </c>
      <c r="X14" t="s">
        <v>39</v>
      </c>
      <c r="Y14" s="17">
        <f>E14</f>
        <v>22</v>
      </c>
      <c r="Z14" s="3">
        <f ca="1">F14+(7*$AR$8)</f>
        <v>110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58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132.5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75</v>
      </c>
      <c r="G15" s="105">
        <f>Plantilla!X15</f>
        <v>0</v>
      </c>
      <c r="H15" s="105">
        <f>Plantilla!Y15</f>
        <v>9.8571428571428577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36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112.88</v>
      </c>
      <c r="X15" t="s">
        <v>33</v>
      </c>
      <c r="Y15" s="17">
        <f t="shared" si="3"/>
        <v>23</v>
      </c>
      <c r="Z15" s="3">
        <f t="shared" ca="1" si="4"/>
        <v>23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46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122.88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34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56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107.5</v>
      </c>
      <c r="X21" t="s">
        <v>28</v>
      </c>
      <c r="Y21" s="17">
        <f>E21+2</f>
        <v>25</v>
      </c>
      <c r="Z21" s="17">
        <f ca="1">F21+(($AR$25+$AR$26)*7)-112-112</f>
        <v>13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56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122.5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31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102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127</v>
      </c>
      <c r="X22" t="s">
        <v>31</v>
      </c>
      <c r="Y22" s="17">
        <f>E22+1</f>
        <v>24</v>
      </c>
      <c r="Z22" s="17">
        <f ca="1">F22+(($AR$25+$AR$26)*7)-112</f>
        <v>122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102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156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24</v>
      </c>
      <c r="F23" s="17">
        <f t="shared" ca="1" si="48"/>
        <v>-50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75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121.5</v>
      </c>
      <c r="X23" t="s">
        <v>32</v>
      </c>
      <c r="Y23" s="17">
        <f>E23+2</f>
        <v>26</v>
      </c>
      <c r="Z23" s="17">
        <f ca="1">F23+(($AR$25+$AR$26)*7)-112-112</f>
        <v>-71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75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150.5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12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101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128.5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103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101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157.5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47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54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126.5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26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54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155.5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27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67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136.5</v>
      </c>
      <c r="X27" t="s">
        <v>34</v>
      </c>
      <c r="Y27" s="17">
        <f>E27+1</f>
        <v>24</v>
      </c>
      <c r="Z27" s="17">
        <f ca="1">F27+(($AR$25+$AR$26)*7)-112</f>
        <v>118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67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165.5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27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55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119.5</v>
      </c>
      <c r="X28" t="s">
        <v>30</v>
      </c>
      <c r="Y28" s="17">
        <f>E28+1</f>
        <v>24</v>
      </c>
      <c r="Z28" s="17">
        <f ca="1">F28+(($AR$25+$AR$26)*7)-112</f>
        <v>118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55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148.5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4">
        <f t="shared" si="36"/>
        <v>0</v>
      </c>
      <c r="P29" s="124">
        <v>67</v>
      </c>
      <c r="Q29" s="124">
        <v>26</v>
      </c>
      <c r="R29" s="124">
        <v>1.5</v>
      </c>
      <c r="S29" s="124">
        <v>10</v>
      </c>
      <c r="T29" s="124">
        <v>5.5</v>
      </c>
      <c r="U29" s="124">
        <v>16</v>
      </c>
      <c r="V29" s="48">
        <f t="shared" si="58"/>
        <v>126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13</v>
      </c>
      <c r="AC29" s="61">
        <f t="shared" si="50"/>
        <v>9</v>
      </c>
      <c r="AD29" s="61">
        <f t="shared" si="51"/>
        <v>3</v>
      </c>
      <c r="AE29" s="61">
        <f>9+5/6</f>
        <v>9.8333333333333339</v>
      </c>
      <c r="AF29" s="61">
        <f t="shared" si="52"/>
        <v>5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67</v>
      </c>
      <c r="AK29" s="121">
        <f t="shared" si="26"/>
        <v>26</v>
      </c>
      <c r="AL29" s="121">
        <f t="shared" si="26"/>
        <v>1.5</v>
      </c>
      <c r="AM29" s="124">
        <f t="shared" si="53"/>
        <v>24</v>
      </c>
      <c r="AN29" s="121">
        <f t="shared" si="26"/>
        <v>5.5</v>
      </c>
      <c r="AO29" s="124">
        <v>31</v>
      </c>
      <c r="AP29" s="48">
        <f t="shared" si="61"/>
        <v>155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4">
        <f t="shared" si="36"/>
        <v>0</v>
      </c>
      <c r="P30" s="133">
        <v>67</v>
      </c>
      <c r="Q30" s="133">
        <v>26</v>
      </c>
      <c r="R30" s="133">
        <v>1.5</v>
      </c>
      <c r="S30" s="133">
        <v>10</v>
      </c>
      <c r="T30" s="133">
        <v>5.5</v>
      </c>
      <c r="U30" s="133">
        <v>16</v>
      </c>
      <c r="V30" s="48">
        <f t="shared" si="58"/>
        <v>126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13</v>
      </c>
      <c r="AC30" s="61">
        <f t="shared" si="50"/>
        <v>9</v>
      </c>
      <c r="AD30" s="61">
        <f t="shared" si="51"/>
        <v>3</v>
      </c>
      <c r="AE30" s="61">
        <f>9+5/6</f>
        <v>9.8333333333333339</v>
      </c>
      <c r="AF30" s="61">
        <f t="shared" si="52"/>
        <v>5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67</v>
      </c>
      <c r="AK30" s="121">
        <f t="shared" si="26"/>
        <v>26</v>
      </c>
      <c r="AL30" s="121">
        <f t="shared" si="26"/>
        <v>1.5</v>
      </c>
      <c r="AM30" s="124">
        <f t="shared" si="53"/>
        <v>24</v>
      </c>
      <c r="AN30" s="121">
        <f t="shared" si="26"/>
        <v>5.5</v>
      </c>
      <c r="AO30" s="124">
        <v>31</v>
      </c>
      <c r="AP30" s="48">
        <f t="shared" si="6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23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43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133</v>
      </c>
      <c r="X31" t="s">
        <v>35</v>
      </c>
      <c r="Y31" s="17">
        <f>E31+1</f>
        <v>24</v>
      </c>
      <c r="Z31" s="17">
        <f ca="1">F31+(($AR$25+$AR$26)*7)-112</f>
        <v>114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43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162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110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58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132.5</v>
      </c>
      <c r="X32" t="s">
        <v>39</v>
      </c>
      <c r="Y32" s="17">
        <f t="shared" si="59"/>
        <v>24</v>
      </c>
      <c r="Z32" s="17">
        <f t="shared" ca="1" si="60"/>
        <v>89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58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161.5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23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46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122.88</v>
      </c>
      <c r="X33" t="s">
        <v>33</v>
      </c>
      <c r="Y33" s="17">
        <f>E33+1</f>
        <v>24</v>
      </c>
      <c r="Z33" s="17">
        <f ca="1">F33+(($AR$25+$AR$26)*7)-112</f>
        <v>114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46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151.88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Y4" activePane="bottomRight" state="frozen"/>
      <selection pane="topRight" activeCell="N1" sqref="N1"/>
      <selection pane="bottomLeft" activeCell="A4" sqref="A4"/>
      <selection pane="bottomRight" activeCell="L3" sqref="L3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2"/>
      <c r="B1" s="312"/>
      <c r="C1" s="312"/>
      <c r="D1" s="454" t="s">
        <v>590</v>
      </c>
      <c r="E1" s="455"/>
      <c r="F1" s="455"/>
      <c r="G1" s="455"/>
      <c r="H1" s="455"/>
      <c r="I1" s="456"/>
      <c r="K1" s="312"/>
      <c r="L1" s="313"/>
      <c r="M1" s="313"/>
      <c r="N1" s="315">
        <v>43637</v>
      </c>
      <c r="O1" s="315">
        <f t="shared" ref="O1:AD1" si="0">N1+7</f>
        <v>43644</v>
      </c>
      <c r="P1" s="315">
        <f t="shared" si="0"/>
        <v>43651</v>
      </c>
      <c r="Q1" s="315">
        <f t="shared" si="0"/>
        <v>43658</v>
      </c>
      <c r="R1" s="315">
        <f t="shared" si="0"/>
        <v>43665</v>
      </c>
      <c r="S1" s="314">
        <f t="shared" si="0"/>
        <v>43672</v>
      </c>
      <c r="T1" s="315">
        <f t="shared" si="0"/>
        <v>43679</v>
      </c>
      <c r="U1" s="315">
        <f t="shared" si="0"/>
        <v>43686</v>
      </c>
      <c r="V1" s="315">
        <f t="shared" si="0"/>
        <v>43693</v>
      </c>
      <c r="W1" s="315">
        <f t="shared" si="0"/>
        <v>43700</v>
      </c>
      <c r="X1" s="315">
        <f t="shared" si="0"/>
        <v>43707</v>
      </c>
      <c r="Y1" s="315">
        <f t="shared" si="0"/>
        <v>43714</v>
      </c>
      <c r="Z1" s="315">
        <f t="shared" si="0"/>
        <v>43721</v>
      </c>
      <c r="AA1" s="315">
        <f t="shared" si="0"/>
        <v>43728</v>
      </c>
      <c r="AB1" s="315">
        <f t="shared" si="0"/>
        <v>43735</v>
      </c>
      <c r="AC1" s="315">
        <f t="shared" si="0"/>
        <v>43742</v>
      </c>
      <c r="AD1" s="315">
        <f t="shared" si="0"/>
        <v>43749</v>
      </c>
    </row>
    <row r="2" spans="1:38" x14ac:dyDescent="0.25">
      <c r="A2" s="316"/>
      <c r="B2" s="316"/>
      <c r="C2" s="316"/>
      <c r="D2" s="457" t="s">
        <v>591</v>
      </c>
      <c r="E2" s="458"/>
      <c r="F2" s="459"/>
      <c r="G2" s="459"/>
      <c r="H2" s="459"/>
      <c r="I2" s="460"/>
      <c r="K2" s="317"/>
      <c r="L2" s="317"/>
      <c r="M2" s="317" t="s">
        <v>592</v>
      </c>
      <c r="N2" s="319" t="s">
        <v>593</v>
      </c>
      <c r="O2" s="319" t="s">
        <v>594</v>
      </c>
      <c r="P2" s="319" t="s">
        <v>595</v>
      </c>
      <c r="Q2" s="319" t="s">
        <v>596</v>
      </c>
      <c r="R2" s="319" t="s">
        <v>597</v>
      </c>
      <c r="S2" s="318" t="s">
        <v>598</v>
      </c>
      <c r="T2" s="319" t="s">
        <v>599</v>
      </c>
      <c r="U2" s="319" t="s">
        <v>600</v>
      </c>
      <c r="V2" s="319" t="s">
        <v>601</v>
      </c>
      <c r="W2" s="319" t="s">
        <v>602</v>
      </c>
      <c r="X2" s="319" t="s">
        <v>603</v>
      </c>
      <c r="Y2" s="319" t="s">
        <v>604</v>
      </c>
      <c r="Z2" s="319" t="s">
        <v>605</v>
      </c>
      <c r="AA2" s="319" t="s">
        <v>606</v>
      </c>
      <c r="AB2" s="319" t="s">
        <v>607</v>
      </c>
      <c r="AC2" s="319" t="s">
        <v>608</v>
      </c>
      <c r="AD2" s="319" t="s">
        <v>593</v>
      </c>
    </row>
    <row r="3" spans="1:38" ht="18.75" x14ac:dyDescent="0.3">
      <c r="A3" s="320"/>
      <c r="B3" s="320"/>
      <c r="C3" s="320"/>
      <c r="D3" s="461" t="s">
        <v>609</v>
      </c>
      <c r="E3" s="462"/>
      <c r="F3" s="321"/>
      <c r="G3" s="463" t="s">
        <v>610</v>
      </c>
      <c r="H3" s="464"/>
      <c r="I3" s="322"/>
      <c r="K3" s="323"/>
      <c r="L3" s="324"/>
      <c r="M3" s="324" t="s">
        <v>611</v>
      </c>
      <c r="N3" s="326">
        <v>1766</v>
      </c>
      <c r="O3" s="326">
        <v>1776</v>
      </c>
      <c r="P3" s="326">
        <f>O3+O11/30</f>
        <v>1784</v>
      </c>
      <c r="Q3" s="326">
        <f t="shared" ref="Q3:AD3" si="1">P3+P11/30</f>
        <v>1794</v>
      </c>
      <c r="R3" s="326">
        <f t="shared" si="1"/>
        <v>1804</v>
      </c>
      <c r="S3" s="325">
        <f t="shared" si="1"/>
        <v>1813</v>
      </c>
      <c r="T3" s="326">
        <f t="shared" si="1"/>
        <v>1813</v>
      </c>
      <c r="U3" s="326">
        <f t="shared" si="1"/>
        <v>1822</v>
      </c>
      <c r="V3" s="326">
        <f t="shared" si="1"/>
        <v>1831</v>
      </c>
      <c r="W3" s="326">
        <f t="shared" si="1"/>
        <v>1840</v>
      </c>
      <c r="X3" s="326">
        <f t="shared" si="1"/>
        <v>1849</v>
      </c>
      <c r="Y3" s="326">
        <f t="shared" si="1"/>
        <v>1858</v>
      </c>
      <c r="Z3" s="326">
        <f t="shared" si="1"/>
        <v>1867</v>
      </c>
      <c r="AA3" s="326">
        <f t="shared" si="1"/>
        <v>1876</v>
      </c>
      <c r="AB3" s="326">
        <f t="shared" si="1"/>
        <v>1885</v>
      </c>
      <c r="AC3" s="326">
        <f t="shared" si="1"/>
        <v>1894</v>
      </c>
      <c r="AD3" s="326">
        <f t="shared" si="1"/>
        <v>1903</v>
      </c>
    </row>
    <row r="4" spans="1:38" ht="18.75" x14ac:dyDescent="0.3">
      <c r="A4" s="320"/>
      <c r="B4" s="320"/>
      <c r="C4" s="320"/>
      <c r="D4" s="327"/>
      <c r="E4" s="328"/>
      <c r="F4" s="329"/>
      <c r="G4" s="330"/>
      <c r="H4" s="329"/>
      <c r="I4" s="331"/>
      <c r="K4" s="332" t="s">
        <v>612</v>
      </c>
      <c r="L4" s="332"/>
      <c r="M4" s="333">
        <f>19299694+500000</f>
        <v>19799694</v>
      </c>
      <c r="N4" s="334">
        <f>M4</f>
        <v>19799694</v>
      </c>
      <c r="O4" s="334">
        <f>N4-N13+N23</f>
        <v>19299694</v>
      </c>
      <c r="P4" s="334">
        <f t="shared" ref="P4:AD4" si="2">O4-O13+O23</f>
        <v>18799694</v>
      </c>
      <c r="Q4" s="334">
        <f t="shared" si="2"/>
        <v>18299694</v>
      </c>
      <c r="R4" s="334">
        <f t="shared" si="2"/>
        <v>17799694</v>
      </c>
      <c r="S4" s="334">
        <f t="shared" si="2"/>
        <v>17299694</v>
      </c>
      <c r="T4" s="334">
        <f t="shared" si="2"/>
        <v>16799694</v>
      </c>
      <c r="U4" s="334">
        <f t="shared" si="2"/>
        <v>16299694</v>
      </c>
      <c r="V4" s="334">
        <f t="shared" si="2"/>
        <v>15799694</v>
      </c>
      <c r="W4" s="334">
        <f t="shared" si="2"/>
        <v>15299694</v>
      </c>
      <c r="X4" s="334">
        <f t="shared" si="2"/>
        <v>14799694</v>
      </c>
      <c r="Y4" s="334">
        <f t="shared" si="2"/>
        <v>14299694</v>
      </c>
      <c r="Z4" s="334">
        <f t="shared" si="2"/>
        <v>13799694</v>
      </c>
      <c r="AA4" s="334">
        <f t="shared" si="2"/>
        <v>13299694</v>
      </c>
      <c r="AB4" s="334">
        <f t="shared" si="2"/>
        <v>12799694</v>
      </c>
      <c r="AC4" s="334">
        <f t="shared" si="2"/>
        <v>12299694</v>
      </c>
      <c r="AD4" s="334">
        <f t="shared" si="2"/>
        <v>11799694</v>
      </c>
    </row>
    <row r="5" spans="1:38" ht="18.75" x14ac:dyDescent="0.3">
      <c r="A5" s="335"/>
      <c r="B5" s="335"/>
      <c r="C5" s="335"/>
      <c r="D5" s="327" t="s">
        <v>613</v>
      </c>
      <c r="E5" s="336">
        <f>SUM(E6:E8)</f>
        <v>5914370</v>
      </c>
      <c r="F5" s="337">
        <f>E5/E35</f>
        <v>8.4978348400121889E-2</v>
      </c>
      <c r="G5" s="327" t="s">
        <v>614</v>
      </c>
      <c r="H5" s="338">
        <f>H6+H7</f>
        <v>64054290</v>
      </c>
      <c r="I5" s="339">
        <f>H5/$H$35</f>
        <v>0.92033940591177821</v>
      </c>
      <c r="K5" s="340" t="s">
        <v>615</v>
      </c>
      <c r="L5" s="340"/>
      <c r="M5" s="341">
        <f>8890545-289136+582050-500000</f>
        <v>8683459</v>
      </c>
      <c r="N5" s="342">
        <f>M5</f>
        <v>8683459</v>
      </c>
      <c r="O5" s="342">
        <f t="shared" ref="O5:AD5" si="3">N26</f>
        <v>9623483</v>
      </c>
      <c r="P5" s="342">
        <f t="shared" si="3"/>
        <v>9994868</v>
      </c>
      <c r="Q5" s="342">
        <f t="shared" si="3"/>
        <v>10377155</v>
      </c>
      <c r="R5" s="342">
        <f t="shared" si="3"/>
        <v>11240455</v>
      </c>
      <c r="S5" s="342">
        <f t="shared" si="3"/>
        <v>11827122</v>
      </c>
      <c r="T5" s="342">
        <f t="shared" si="3"/>
        <v>12481740</v>
      </c>
      <c r="U5" s="342">
        <f t="shared" si="3"/>
        <v>12827299</v>
      </c>
      <c r="V5" s="342">
        <f t="shared" si="3"/>
        <v>13472858</v>
      </c>
      <c r="W5" s="342">
        <f t="shared" si="3"/>
        <v>13818417</v>
      </c>
      <c r="X5" s="342">
        <f t="shared" si="3"/>
        <v>14463976</v>
      </c>
      <c r="Y5" s="342">
        <f t="shared" si="3"/>
        <v>14809535</v>
      </c>
      <c r="Z5" s="342">
        <f t="shared" si="3"/>
        <v>15455094</v>
      </c>
      <c r="AA5" s="342">
        <f t="shared" si="3"/>
        <v>15800653</v>
      </c>
      <c r="AB5" s="342">
        <f t="shared" si="3"/>
        <v>16446212</v>
      </c>
      <c r="AC5" s="342">
        <f t="shared" si="3"/>
        <v>17091771</v>
      </c>
      <c r="AD5" s="342">
        <f t="shared" si="3"/>
        <v>17437330</v>
      </c>
    </row>
    <row r="6" spans="1:38" x14ac:dyDescent="0.25">
      <c r="A6" s="343" t="str">
        <f t="shared" ref="A6:A13" si="4">L6</f>
        <v>Taquillas</v>
      </c>
      <c r="B6" s="344">
        <f t="shared" ref="B6:B13" si="5">M6/$M$14</f>
        <v>0.22076560519876373</v>
      </c>
      <c r="D6" s="345" t="s">
        <v>616</v>
      </c>
      <c r="E6" s="346">
        <v>2231620</v>
      </c>
      <c r="F6" s="347">
        <f>E6/E35</f>
        <v>3.206417282934277E-2</v>
      </c>
      <c r="G6" s="348" t="s">
        <v>617</v>
      </c>
      <c r="H6" s="349">
        <v>300000</v>
      </c>
      <c r="I6" s="350">
        <f>H6/$H$35</f>
        <v>4.3104345044419892E-3</v>
      </c>
      <c r="K6" s="351" t="s">
        <v>618</v>
      </c>
      <c r="L6" s="351" t="s">
        <v>618</v>
      </c>
      <c r="M6" s="352">
        <f t="shared" ref="M6:M25" si="6">SUM(N6:AD6)</f>
        <v>3100490</v>
      </c>
      <c r="N6" s="353">
        <v>27383</v>
      </c>
      <c r="O6" s="353">
        <f>9097+21309</f>
        <v>30406</v>
      </c>
      <c r="P6" s="353">
        <v>74243</v>
      </c>
      <c r="Q6" s="353">
        <v>543126</v>
      </c>
      <c r="R6" s="353">
        <v>259003</v>
      </c>
      <c r="S6" s="353">
        <v>336329</v>
      </c>
      <c r="T6" s="353">
        <v>30000</v>
      </c>
      <c r="U6" s="353">
        <v>330000</v>
      </c>
      <c r="V6" s="353">
        <v>30000</v>
      </c>
      <c r="W6" s="353">
        <v>330000</v>
      </c>
      <c r="X6" s="353">
        <v>30000</v>
      </c>
      <c r="Y6" s="353">
        <v>330000</v>
      </c>
      <c r="Z6" s="353">
        <v>30000</v>
      </c>
      <c r="AA6" s="353">
        <v>330000</v>
      </c>
      <c r="AB6" s="353">
        <v>330000</v>
      </c>
      <c r="AC6" s="353">
        <v>30000</v>
      </c>
      <c r="AD6" s="353">
        <v>30000</v>
      </c>
    </row>
    <row r="7" spans="1:38" x14ac:dyDescent="0.25">
      <c r="A7" s="343" t="str">
        <f t="shared" si="4"/>
        <v>Patrocinadores</v>
      </c>
      <c r="B7" s="344">
        <f t="shared" si="5"/>
        <v>0.12638613549077909</v>
      </c>
      <c r="D7" s="345" t="s">
        <v>619</v>
      </c>
      <c r="E7" s="346">
        <f>102000+300+2105000+1475000+450</f>
        <v>3682750</v>
      </c>
      <c r="F7" s="347">
        <f>E7/E35</f>
        <v>5.2914175570779119E-2</v>
      </c>
      <c r="G7" s="348" t="s">
        <v>620</v>
      </c>
      <c r="H7" s="349">
        <f>63754290</f>
        <v>63754290</v>
      </c>
      <c r="I7" s="350">
        <f>H7/$H$35</f>
        <v>0.91602897140733619</v>
      </c>
      <c r="K7" s="351" t="s">
        <v>621</v>
      </c>
      <c r="L7" s="351" t="s">
        <v>621</v>
      </c>
      <c r="M7" s="352">
        <f t="shared" si="6"/>
        <v>1775000</v>
      </c>
      <c r="N7" s="354">
        <v>101385</v>
      </c>
      <c r="O7" s="354">
        <v>76225</v>
      </c>
      <c r="P7" s="354">
        <v>87880</v>
      </c>
      <c r="Q7" s="354">
        <v>94910</v>
      </c>
      <c r="R7" s="354">
        <v>98980</v>
      </c>
      <c r="S7" s="354">
        <v>101385</v>
      </c>
      <c r="T7" s="354">
        <f t="shared" ref="T7:AD7" si="7">S7+1500</f>
        <v>102885</v>
      </c>
      <c r="U7" s="354">
        <f t="shared" si="7"/>
        <v>104385</v>
      </c>
      <c r="V7" s="354">
        <f t="shared" si="7"/>
        <v>105885</v>
      </c>
      <c r="W7" s="354">
        <f t="shared" si="7"/>
        <v>107385</v>
      </c>
      <c r="X7" s="354">
        <f t="shared" si="7"/>
        <v>108885</v>
      </c>
      <c r="Y7" s="354">
        <f t="shared" si="7"/>
        <v>110385</v>
      </c>
      <c r="Z7" s="354">
        <f t="shared" si="7"/>
        <v>111885</v>
      </c>
      <c r="AA7" s="354">
        <f t="shared" si="7"/>
        <v>113385</v>
      </c>
      <c r="AB7" s="354">
        <f t="shared" si="7"/>
        <v>114885</v>
      </c>
      <c r="AC7" s="354">
        <f t="shared" si="7"/>
        <v>116385</v>
      </c>
      <c r="AD7" s="354">
        <f t="shared" si="7"/>
        <v>117885</v>
      </c>
    </row>
    <row r="8" spans="1:38" x14ac:dyDescent="0.25">
      <c r="A8" s="343" t="str">
        <f t="shared" si="4"/>
        <v>Ventas</v>
      </c>
      <c r="B8" s="344">
        <f t="shared" si="5"/>
        <v>0</v>
      </c>
      <c r="D8" s="355" t="s">
        <v>622</v>
      </c>
      <c r="E8" s="356">
        <v>0</v>
      </c>
      <c r="F8" s="347">
        <f>E8/E35</f>
        <v>0</v>
      </c>
      <c r="G8" s="357"/>
      <c r="H8" s="358"/>
      <c r="I8" s="339"/>
      <c r="K8" s="351" t="s">
        <v>623</v>
      </c>
      <c r="L8" s="351" t="s">
        <v>624</v>
      </c>
      <c r="M8" s="352">
        <f t="shared" si="6"/>
        <v>0</v>
      </c>
      <c r="N8" s="353">
        <v>0</v>
      </c>
      <c r="O8" s="353">
        <v>0</v>
      </c>
      <c r="P8" s="353">
        <v>0</v>
      </c>
      <c r="Q8" s="353">
        <v>0</v>
      </c>
      <c r="R8" s="353">
        <v>0</v>
      </c>
      <c r="S8" s="353">
        <v>0</v>
      </c>
      <c r="T8" s="353">
        <v>0</v>
      </c>
      <c r="U8" s="353">
        <v>0</v>
      </c>
      <c r="V8" s="353">
        <v>0</v>
      </c>
      <c r="W8" s="353">
        <v>0</v>
      </c>
      <c r="X8" s="353">
        <v>0</v>
      </c>
      <c r="Y8" s="353">
        <v>0</v>
      </c>
      <c r="Z8" s="353">
        <v>0</v>
      </c>
      <c r="AA8" s="353">
        <v>0</v>
      </c>
      <c r="AB8" s="353">
        <v>0</v>
      </c>
      <c r="AC8" s="353">
        <v>0</v>
      </c>
      <c r="AD8" s="353">
        <v>0</v>
      </c>
      <c r="AF8" s="359"/>
      <c r="AG8" s="359"/>
    </row>
    <row r="9" spans="1:38" x14ac:dyDescent="0.25">
      <c r="A9" s="343" t="str">
        <f t="shared" si="4"/>
        <v>VentasCantera</v>
      </c>
      <c r="B9" s="344">
        <f t="shared" si="5"/>
        <v>1.2649294067570087E-2</v>
      </c>
      <c r="D9" s="360"/>
      <c r="E9" s="328"/>
      <c r="F9" s="337"/>
      <c r="G9" s="357"/>
      <c r="H9" s="358"/>
      <c r="I9" s="339"/>
      <c r="K9" s="351"/>
      <c r="L9" s="351" t="s">
        <v>625</v>
      </c>
      <c r="M9" s="352">
        <f t="shared" si="6"/>
        <v>177650</v>
      </c>
      <c r="N9" s="353">
        <v>133000</v>
      </c>
      <c r="O9" s="353">
        <v>44650</v>
      </c>
      <c r="P9" s="353">
        <v>0</v>
      </c>
      <c r="Q9" s="353">
        <v>0</v>
      </c>
      <c r="R9" s="353">
        <v>0</v>
      </c>
      <c r="S9" s="353">
        <v>0</v>
      </c>
      <c r="T9" s="353">
        <v>0</v>
      </c>
      <c r="U9" s="353">
        <v>0</v>
      </c>
      <c r="V9" s="353">
        <v>0</v>
      </c>
      <c r="W9" s="353">
        <v>0</v>
      </c>
      <c r="X9" s="353">
        <v>0</v>
      </c>
      <c r="Y9" s="353">
        <v>0</v>
      </c>
      <c r="Z9" s="353">
        <v>0</v>
      </c>
      <c r="AA9" s="353">
        <v>0</v>
      </c>
      <c r="AB9" s="353">
        <v>0</v>
      </c>
      <c r="AC9" s="353">
        <v>0</v>
      </c>
      <c r="AD9" s="353">
        <v>0</v>
      </c>
    </row>
    <row r="10" spans="1:38" x14ac:dyDescent="0.25">
      <c r="A10" s="343" t="str">
        <f t="shared" si="4"/>
        <v>Comisiones</v>
      </c>
      <c r="B10" s="344">
        <f t="shared" si="5"/>
        <v>2.403828695306311E-3</v>
      </c>
      <c r="D10" s="327" t="s">
        <v>672</v>
      </c>
      <c r="E10" s="336">
        <f>E11+E12+E13</f>
        <v>11299694</v>
      </c>
      <c r="F10" s="337">
        <f>E10/E35</f>
        <v>0.16235530302412038</v>
      </c>
      <c r="G10" s="327" t="s">
        <v>626</v>
      </c>
      <c r="H10" s="338">
        <f>SUM(H11:H16)</f>
        <v>599430</v>
      </c>
      <c r="I10" s="339">
        <f t="shared" ref="I10:I16" si="8">H10/$H$35</f>
        <v>8.6126791833255386E-3</v>
      </c>
      <c r="K10" s="351" t="s">
        <v>627</v>
      </c>
      <c r="L10" s="351" t="s">
        <v>627</v>
      </c>
      <c r="M10" s="352">
        <f t="shared" si="6"/>
        <v>33760</v>
      </c>
      <c r="N10" s="354">
        <f>1750+16320+2040</f>
        <v>20110</v>
      </c>
      <c r="O10" s="354">
        <v>0</v>
      </c>
      <c r="P10" s="354">
        <v>0</v>
      </c>
      <c r="Q10" s="354">
        <v>5100</v>
      </c>
      <c r="R10" s="354">
        <v>8550</v>
      </c>
      <c r="S10" s="354">
        <v>0</v>
      </c>
      <c r="T10" s="354">
        <f t="shared" ref="T10:AD11" si="9">S10</f>
        <v>0</v>
      </c>
      <c r="U10" s="354">
        <f t="shared" si="9"/>
        <v>0</v>
      </c>
      <c r="V10" s="354">
        <f t="shared" si="9"/>
        <v>0</v>
      </c>
      <c r="W10" s="354">
        <f t="shared" si="9"/>
        <v>0</v>
      </c>
      <c r="X10" s="354">
        <f t="shared" si="9"/>
        <v>0</v>
      </c>
      <c r="Y10" s="354">
        <f t="shared" si="9"/>
        <v>0</v>
      </c>
      <c r="Z10" s="354">
        <f t="shared" si="9"/>
        <v>0</v>
      </c>
      <c r="AA10" s="354">
        <f t="shared" si="9"/>
        <v>0</v>
      </c>
      <c r="AB10" s="354">
        <f t="shared" si="9"/>
        <v>0</v>
      </c>
      <c r="AC10" s="354">
        <f t="shared" si="9"/>
        <v>0</v>
      </c>
      <c r="AD10" s="354">
        <f t="shared" si="9"/>
        <v>0</v>
      </c>
    </row>
    <row r="11" spans="1:38" x14ac:dyDescent="0.25">
      <c r="A11" s="343" t="str">
        <f t="shared" si="4"/>
        <v>Nuevos Socios</v>
      </c>
      <c r="B11" s="344">
        <f t="shared" si="5"/>
        <v>4.0843726783222926E-3</v>
      </c>
      <c r="D11" s="361" t="s">
        <v>628</v>
      </c>
      <c r="E11" s="362">
        <f>N4</f>
        <v>19799694</v>
      </c>
      <c r="F11" s="347">
        <f>E11/E35</f>
        <v>0.28448428064997672</v>
      </c>
      <c r="G11" s="363" t="s">
        <v>629</v>
      </c>
      <c r="H11" s="364">
        <v>0</v>
      </c>
      <c r="I11" s="350">
        <f t="shared" si="8"/>
        <v>0</v>
      </c>
      <c r="K11" s="465" t="s">
        <v>630</v>
      </c>
      <c r="L11" s="351" t="s">
        <v>631</v>
      </c>
      <c r="M11" s="352">
        <f t="shared" si="6"/>
        <v>57362</v>
      </c>
      <c r="N11" s="354">
        <f>52982+150+150</f>
        <v>53282</v>
      </c>
      <c r="O11" s="354">
        <v>240</v>
      </c>
      <c r="P11" s="354">
        <v>300</v>
      </c>
      <c r="Q11" s="354">
        <v>300</v>
      </c>
      <c r="R11" s="354">
        <v>270</v>
      </c>
      <c r="S11" s="354">
        <v>0</v>
      </c>
      <c r="T11" s="354">
        <v>270</v>
      </c>
      <c r="U11" s="354">
        <f t="shared" si="9"/>
        <v>270</v>
      </c>
      <c r="V11" s="354">
        <f t="shared" si="9"/>
        <v>270</v>
      </c>
      <c r="W11" s="354">
        <f t="shared" si="9"/>
        <v>270</v>
      </c>
      <c r="X11" s="354">
        <f t="shared" si="9"/>
        <v>270</v>
      </c>
      <c r="Y11" s="354">
        <f t="shared" si="9"/>
        <v>270</v>
      </c>
      <c r="Z11" s="354">
        <f t="shared" si="9"/>
        <v>270</v>
      </c>
      <c r="AA11" s="354">
        <f t="shared" si="9"/>
        <v>270</v>
      </c>
      <c r="AB11" s="354">
        <f t="shared" si="9"/>
        <v>270</v>
      </c>
      <c r="AC11" s="354">
        <f t="shared" si="9"/>
        <v>270</v>
      </c>
      <c r="AD11" s="354">
        <f t="shared" si="9"/>
        <v>270</v>
      </c>
    </row>
    <row r="12" spans="1:38" x14ac:dyDescent="0.25">
      <c r="A12" s="343" t="str">
        <f t="shared" si="4"/>
        <v>Premios</v>
      </c>
      <c r="B12" s="344">
        <f t="shared" si="5"/>
        <v>2.8481382645809371E-2</v>
      </c>
      <c r="D12" s="361" t="str">
        <f>L13</f>
        <v>Ing Reservas</v>
      </c>
      <c r="E12" s="362">
        <f>M13*-1</f>
        <v>-8500000</v>
      </c>
      <c r="F12" s="347">
        <f>E12/E35</f>
        <v>-0.12212897762585635</v>
      </c>
      <c r="G12" s="365" t="s">
        <v>632</v>
      </c>
      <c r="H12" s="366">
        <v>0</v>
      </c>
      <c r="I12" s="367">
        <f t="shared" si="8"/>
        <v>0</v>
      </c>
      <c r="K12" s="466"/>
      <c r="L12" s="351" t="s">
        <v>633</v>
      </c>
      <c r="M12" s="352">
        <f t="shared" si="6"/>
        <v>400000</v>
      </c>
      <c r="N12" s="354">
        <v>400000</v>
      </c>
      <c r="O12" s="354">
        <v>0</v>
      </c>
      <c r="P12" s="354">
        <v>0</v>
      </c>
      <c r="Q12" s="354">
        <v>0</v>
      </c>
      <c r="R12" s="354">
        <v>0</v>
      </c>
      <c r="S12" s="354">
        <v>0</v>
      </c>
      <c r="T12" s="354">
        <v>0</v>
      </c>
      <c r="U12" s="354">
        <v>0</v>
      </c>
      <c r="V12" s="354">
        <v>0</v>
      </c>
      <c r="W12" s="354">
        <v>0</v>
      </c>
      <c r="X12" s="354">
        <v>0</v>
      </c>
      <c r="Y12" s="354">
        <v>0</v>
      </c>
      <c r="Z12" s="354">
        <v>0</v>
      </c>
      <c r="AA12" s="354">
        <v>0</v>
      </c>
      <c r="AB12" s="354">
        <v>0</v>
      </c>
      <c r="AC12" s="354">
        <v>0</v>
      </c>
      <c r="AD12" s="354">
        <v>0</v>
      </c>
    </row>
    <row r="13" spans="1:38" ht="18.75" x14ac:dyDescent="0.3">
      <c r="A13" s="343" t="str">
        <f t="shared" si="4"/>
        <v>Ing Reservas</v>
      </c>
      <c r="B13" s="344">
        <f t="shared" si="5"/>
        <v>0.60522938122344916</v>
      </c>
      <c r="C13" s="368"/>
      <c r="D13" s="361" t="str">
        <f>L23</f>
        <v>Pago Reservas</v>
      </c>
      <c r="E13" s="362">
        <f>M23</f>
        <v>0</v>
      </c>
      <c r="F13" s="347">
        <f>E13/E35</f>
        <v>0</v>
      </c>
      <c r="G13" s="363" t="s">
        <v>634</v>
      </c>
      <c r="H13" s="364">
        <f>133000+44650</f>
        <v>177650</v>
      </c>
      <c r="I13" s="350">
        <f t="shared" si="8"/>
        <v>2.5524956323803977E-3</v>
      </c>
      <c r="J13" s="369"/>
      <c r="K13" s="467"/>
      <c r="L13" s="351" t="s">
        <v>635</v>
      </c>
      <c r="M13" s="352">
        <f t="shared" si="6"/>
        <v>8500000</v>
      </c>
      <c r="N13" s="354">
        <v>500000</v>
      </c>
      <c r="O13" s="354">
        <f>N13</f>
        <v>500000</v>
      </c>
      <c r="P13" s="354">
        <f t="shared" ref="P13:AD13" si="10">O13</f>
        <v>500000</v>
      </c>
      <c r="Q13" s="354">
        <f t="shared" si="10"/>
        <v>500000</v>
      </c>
      <c r="R13" s="354">
        <f t="shared" si="10"/>
        <v>500000</v>
      </c>
      <c r="S13" s="354">
        <f t="shared" si="10"/>
        <v>500000</v>
      </c>
      <c r="T13" s="354">
        <f t="shared" si="10"/>
        <v>500000</v>
      </c>
      <c r="U13" s="354">
        <f t="shared" si="10"/>
        <v>500000</v>
      </c>
      <c r="V13" s="354">
        <f t="shared" si="10"/>
        <v>500000</v>
      </c>
      <c r="W13" s="354">
        <f t="shared" si="10"/>
        <v>500000</v>
      </c>
      <c r="X13" s="354">
        <f t="shared" si="10"/>
        <v>500000</v>
      </c>
      <c r="Y13" s="354">
        <f t="shared" si="10"/>
        <v>500000</v>
      </c>
      <c r="Z13" s="354">
        <f t="shared" si="10"/>
        <v>500000</v>
      </c>
      <c r="AA13" s="354">
        <f t="shared" si="10"/>
        <v>500000</v>
      </c>
      <c r="AB13" s="354">
        <f t="shared" si="10"/>
        <v>500000</v>
      </c>
      <c r="AC13" s="354">
        <f t="shared" si="10"/>
        <v>500000</v>
      </c>
      <c r="AD13" s="354">
        <f t="shared" si="10"/>
        <v>500000</v>
      </c>
      <c r="AE13" s="369"/>
      <c r="AF13" s="369"/>
      <c r="AG13" s="369"/>
      <c r="AH13" s="369"/>
      <c r="AI13" s="369"/>
      <c r="AJ13" s="369"/>
      <c r="AK13" s="369"/>
      <c r="AL13" s="369"/>
    </row>
    <row r="14" spans="1:38" ht="18.75" x14ac:dyDescent="0.3">
      <c r="A14" s="368"/>
      <c r="B14" s="370">
        <f>SUM(B6:B13)</f>
        <v>1</v>
      </c>
      <c r="D14" s="360"/>
      <c r="E14" s="371"/>
      <c r="G14" s="363" t="s">
        <v>636</v>
      </c>
      <c r="H14" s="364">
        <v>0</v>
      </c>
      <c r="I14" s="350">
        <f t="shared" si="8"/>
        <v>0</v>
      </c>
      <c r="K14" s="372" t="s">
        <v>637</v>
      </c>
      <c r="L14" s="373"/>
      <c r="M14" s="374">
        <f t="shared" si="6"/>
        <v>14044262</v>
      </c>
      <c r="N14" s="375">
        <f>SUM(N6:N13)</f>
        <v>1235160</v>
      </c>
      <c r="O14" s="375">
        <f t="shared" ref="O14:AD14" si="11">SUM(O6:O13)</f>
        <v>651521</v>
      </c>
      <c r="P14" s="375">
        <f t="shared" si="11"/>
        <v>662423</v>
      </c>
      <c r="Q14" s="375">
        <f t="shared" si="11"/>
        <v>1143436</v>
      </c>
      <c r="R14" s="375">
        <f t="shared" si="11"/>
        <v>866803</v>
      </c>
      <c r="S14" s="375">
        <f t="shared" si="11"/>
        <v>937714</v>
      </c>
      <c r="T14" s="375">
        <f t="shared" si="11"/>
        <v>633155</v>
      </c>
      <c r="U14" s="375">
        <f t="shared" si="11"/>
        <v>934655</v>
      </c>
      <c r="V14" s="375">
        <f t="shared" si="11"/>
        <v>636155</v>
      </c>
      <c r="W14" s="375">
        <f t="shared" si="11"/>
        <v>937655</v>
      </c>
      <c r="X14" s="375">
        <f t="shared" si="11"/>
        <v>639155</v>
      </c>
      <c r="Y14" s="375">
        <f t="shared" si="11"/>
        <v>940655</v>
      </c>
      <c r="Z14" s="375">
        <f t="shared" si="11"/>
        <v>642155</v>
      </c>
      <c r="AA14" s="375">
        <f t="shared" si="11"/>
        <v>943655</v>
      </c>
      <c r="AB14" s="375">
        <f t="shared" si="11"/>
        <v>945155</v>
      </c>
      <c r="AC14" s="375">
        <f t="shared" si="11"/>
        <v>646655</v>
      </c>
      <c r="AD14" s="375">
        <f t="shared" si="11"/>
        <v>648155</v>
      </c>
    </row>
    <row r="15" spans="1:38" ht="18.75" x14ac:dyDescent="0.3">
      <c r="A15" s="451">
        <f>M14</f>
        <v>14044262</v>
      </c>
      <c r="B15" s="451"/>
      <c r="D15" s="327" t="s">
        <v>638</v>
      </c>
      <c r="E15" s="336">
        <f>SUM(E16:E19)</f>
        <v>29656767</v>
      </c>
      <c r="F15" s="337">
        <f>E15/E35</f>
        <v>0.4261118392233218</v>
      </c>
      <c r="G15" s="363" t="s">
        <v>639</v>
      </c>
      <c r="H15" s="364">
        <v>0</v>
      </c>
      <c r="I15" s="350">
        <f t="shared" si="8"/>
        <v>0</v>
      </c>
      <c r="K15" s="376" t="s">
        <v>640</v>
      </c>
      <c r="L15" s="377" t="str">
        <f>K15</f>
        <v>Sueldos</v>
      </c>
      <c r="M15" s="378">
        <f t="shared" si="6"/>
        <v>2937032</v>
      </c>
      <c r="N15" s="379">
        <v>162736</v>
      </c>
      <c r="O15" s="379">
        <v>162736</v>
      </c>
      <c r="P15" s="379">
        <v>162736</v>
      </c>
      <c r="Q15" s="379">
        <f>P15</f>
        <v>162736</v>
      </c>
      <c r="R15" s="379">
        <v>162736</v>
      </c>
      <c r="S15" s="379">
        <v>168696</v>
      </c>
      <c r="T15" s="379">
        <f t="shared" ref="T15:AD15" si="12">S15+1500</f>
        <v>170196</v>
      </c>
      <c r="U15" s="379">
        <f t="shared" si="12"/>
        <v>171696</v>
      </c>
      <c r="V15" s="379">
        <f t="shared" si="12"/>
        <v>173196</v>
      </c>
      <c r="W15" s="379">
        <f t="shared" si="12"/>
        <v>174696</v>
      </c>
      <c r="X15" s="379">
        <f t="shared" si="12"/>
        <v>176196</v>
      </c>
      <c r="Y15" s="379">
        <f t="shared" si="12"/>
        <v>177696</v>
      </c>
      <c r="Z15" s="379">
        <f t="shared" si="12"/>
        <v>179196</v>
      </c>
      <c r="AA15" s="379">
        <f t="shared" si="12"/>
        <v>180696</v>
      </c>
      <c r="AB15" s="379">
        <f t="shared" si="12"/>
        <v>182196</v>
      </c>
      <c r="AC15" s="379">
        <f t="shared" si="12"/>
        <v>183696</v>
      </c>
      <c r="AD15" s="379">
        <f t="shared" si="12"/>
        <v>185196</v>
      </c>
    </row>
    <row r="16" spans="1:38" x14ac:dyDescent="0.25">
      <c r="D16" s="361" t="s">
        <v>641</v>
      </c>
      <c r="E16" s="362">
        <v>0</v>
      </c>
      <c r="F16" s="347">
        <f>E16/E35</f>
        <v>0</v>
      </c>
      <c r="G16" s="380" t="s">
        <v>642</v>
      </c>
      <c r="H16" s="381">
        <f>E29-H26</f>
        <v>421780</v>
      </c>
      <c r="I16" s="350">
        <f t="shared" si="8"/>
        <v>6.0601835509451404E-3</v>
      </c>
      <c r="K16" s="376" t="s">
        <v>643</v>
      </c>
      <c r="L16" s="377" t="str">
        <f>K16</f>
        <v xml:space="preserve">Mantenimiento </v>
      </c>
      <c r="M16" s="378">
        <f t="shared" si="6"/>
        <v>495040</v>
      </c>
      <c r="N16" s="379">
        <v>29120</v>
      </c>
      <c r="O16" s="379">
        <f>N16</f>
        <v>29120</v>
      </c>
      <c r="P16" s="379">
        <f t="shared" ref="P16:AD16" si="13">O16</f>
        <v>29120</v>
      </c>
      <c r="Q16" s="379">
        <f t="shared" si="13"/>
        <v>29120</v>
      </c>
      <c r="R16" s="379">
        <f t="shared" si="13"/>
        <v>29120</v>
      </c>
      <c r="S16" s="379">
        <f t="shared" si="13"/>
        <v>29120</v>
      </c>
      <c r="T16" s="379">
        <f t="shared" si="13"/>
        <v>29120</v>
      </c>
      <c r="U16" s="379">
        <f t="shared" si="13"/>
        <v>29120</v>
      </c>
      <c r="V16" s="379">
        <f t="shared" si="13"/>
        <v>29120</v>
      </c>
      <c r="W16" s="379">
        <f t="shared" si="13"/>
        <v>29120</v>
      </c>
      <c r="X16" s="379">
        <f t="shared" si="13"/>
        <v>29120</v>
      </c>
      <c r="Y16" s="379">
        <f t="shared" si="13"/>
        <v>29120</v>
      </c>
      <c r="Z16" s="379">
        <f t="shared" si="13"/>
        <v>29120</v>
      </c>
      <c r="AA16" s="379">
        <f t="shared" si="13"/>
        <v>29120</v>
      </c>
      <c r="AB16" s="379">
        <f t="shared" si="13"/>
        <v>29120</v>
      </c>
      <c r="AC16" s="379">
        <f t="shared" si="13"/>
        <v>29120</v>
      </c>
      <c r="AD16" s="379">
        <f t="shared" si="13"/>
        <v>29120</v>
      </c>
    </row>
    <row r="17" spans="1:30" ht="20.25" customHeight="1" x14ac:dyDescent="0.25">
      <c r="D17" s="382" t="s">
        <v>638</v>
      </c>
      <c r="E17" s="383">
        <f>14003+1100+2000+450+378420+6200+2100000+19100+99021+350+895000+8000+1838000+8434+922080+5000</f>
        <v>6297158</v>
      </c>
      <c r="F17" s="384">
        <f>E17/E35</f>
        <v>9.0478290410409681E-2</v>
      </c>
      <c r="G17" s="360"/>
      <c r="H17" s="358"/>
      <c r="I17" s="385"/>
      <c r="K17" s="376" t="s">
        <v>644</v>
      </c>
      <c r="L17" s="377" t="s">
        <v>616</v>
      </c>
      <c r="M17" s="378">
        <f t="shared" si="6"/>
        <v>0</v>
      </c>
      <c r="N17" s="379">
        <v>0</v>
      </c>
      <c r="O17" s="379">
        <v>0</v>
      </c>
      <c r="P17" s="379">
        <v>0</v>
      </c>
      <c r="Q17" s="379">
        <v>0</v>
      </c>
      <c r="R17" s="379">
        <v>0</v>
      </c>
      <c r="S17" s="379">
        <v>0</v>
      </c>
      <c r="T17" s="379">
        <v>0</v>
      </c>
      <c r="U17" s="379">
        <v>0</v>
      </c>
      <c r="V17" s="379">
        <v>0</v>
      </c>
      <c r="W17" s="379">
        <v>0</v>
      </c>
      <c r="X17" s="379">
        <v>0</v>
      </c>
      <c r="Y17" s="379">
        <v>0</v>
      </c>
      <c r="Z17" s="379">
        <v>0</v>
      </c>
      <c r="AA17" s="379">
        <v>0</v>
      </c>
      <c r="AB17" s="379">
        <v>0</v>
      </c>
      <c r="AC17" s="379">
        <v>0</v>
      </c>
      <c r="AD17" s="379">
        <v>0</v>
      </c>
    </row>
    <row r="18" spans="1:30" x14ac:dyDescent="0.25">
      <c r="D18" s="361" t="s">
        <v>645</v>
      </c>
      <c r="E18" s="362">
        <f>7000000+19000+600000+4000+496109+4000+1530000+5500+3450000+10000+2500000+5000+3600000+15000+3869000+5000+245000+2000</f>
        <v>23359609</v>
      </c>
      <c r="F18" s="347">
        <f>E18/E35</f>
        <v>0.33563354881291207</v>
      </c>
      <c r="G18" s="327" t="s">
        <v>646</v>
      </c>
      <c r="H18" s="386">
        <f>H19</f>
        <v>0</v>
      </c>
      <c r="I18" s="339">
        <f>H18/$H$35</f>
        <v>0</v>
      </c>
      <c r="K18" s="376" t="s">
        <v>647</v>
      </c>
      <c r="L18" s="377" t="str">
        <f>K18</f>
        <v>Empleados</v>
      </c>
      <c r="M18" s="378">
        <f t="shared" si="6"/>
        <v>1109760</v>
      </c>
      <c r="N18" s="379">
        <v>65280</v>
      </c>
      <c r="O18" s="379">
        <f>N18</f>
        <v>65280</v>
      </c>
      <c r="P18" s="379">
        <f t="shared" ref="P18:AD24" si="14">O18</f>
        <v>65280</v>
      </c>
      <c r="Q18" s="379">
        <f t="shared" si="14"/>
        <v>65280</v>
      </c>
      <c r="R18" s="379">
        <f t="shared" si="14"/>
        <v>65280</v>
      </c>
      <c r="S18" s="379">
        <f t="shared" si="14"/>
        <v>65280</v>
      </c>
      <c r="T18" s="379">
        <f t="shared" si="14"/>
        <v>65280</v>
      </c>
      <c r="U18" s="379">
        <f t="shared" si="14"/>
        <v>65280</v>
      </c>
      <c r="V18" s="379">
        <f t="shared" si="14"/>
        <v>65280</v>
      </c>
      <c r="W18" s="379">
        <f t="shared" si="14"/>
        <v>65280</v>
      </c>
      <c r="X18" s="379">
        <f t="shared" si="14"/>
        <v>65280</v>
      </c>
      <c r="Y18" s="379">
        <f t="shared" si="14"/>
        <v>65280</v>
      </c>
      <c r="Z18" s="379">
        <f t="shared" si="14"/>
        <v>65280</v>
      </c>
      <c r="AA18" s="379">
        <f t="shared" si="14"/>
        <v>65280</v>
      </c>
      <c r="AB18" s="379">
        <f t="shared" si="14"/>
        <v>65280</v>
      </c>
      <c r="AC18" s="379">
        <f t="shared" si="14"/>
        <v>65280</v>
      </c>
      <c r="AD18" s="379">
        <f t="shared" si="14"/>
        <v>65280</v>
      </c>
    </row>
    <row r="19" spans="1:30" x14ac:dyDescent="0.25">
      <c r="D19" s="361" t="s">
        <v>648</v>
      </c>
      <c r="E19" s="362">
        <v>0</v>
      </c>
      <c r="F19" s="347">
        <f>E19/E35</f>
        <v>0</v>
      </c>
      <c r="G19" s="387" t="s">
        <v>649</v>
      </c>
      <c r="H19" s="388">
        <f>M20</f>
        <v>0</v>
      </c>
      <c r="I19" s="350">
        <f>H19/$H$35</f>
        <v>0</v>
      </c>
      <c r="K19" s="376" t="s">
        <v>650</v>
      </c>
      <c r="L19" s="377" t="str">
        <f>K19</f>
        <v>Juveniles</v>
      </c>
      <c r="M19" s="378">
        <f t="shared" si="6"/>
        <v>340000</v>
      </c>
      <c r="N19" s="379">
        <v>20000</v>
      </c>
      <c r="O19" s="379">
        <f>N19</f>
        <v>20000</v>
      </c>
      <c r="P19" s="379">
        <f t="shared" si="14"/>
        <v>20000</v>
      </c>
      <c r="Q19" s="379">
        <f t="shared" si="14"/>
        <v>20000</v>
      </c>
      <c r="R19" s="379">
        <f t="shared" si="14"/>
        <v>20000</v>
      </c>
      <c r="S19" s="379">
        <f t="shared" si="14"/>
        <v>20000</v>
      </c>
      <c r="T19" s="379">
        <f t="shared" si="14"/>
        <v>20000</v>
      </c>
      <c r="U19" s="379">
        <f t="shared" si="14"/>
        <v>20000</v>
      </c>
      <c r="V19" s="379">
        <f t="shared" si="14"/>
        <v>20000</v>
      </c>
      <c r="W19" s="379">
        <f t="shared" si="14"/>
        <v>20000</v>
      </c>
      <c r="X19" s="379">
        <f t="shared" si="14"/>
        <v>20000</v>
      </c>
      <c r="Y19" s="379">
        <f t="shared" si="14"/>
        <v>20000</v>
      </c>
      <c r="Z19" s="379">
        <f t="shared" si="14"/>
        <v>20000</v>
      </c>
      <c r="AA19" s="379">
        <f t="shared" si="14"/>
        <v>20000</v>
      </c>
      <c r="AB19" s="379">
        <f t="shared" si="14"/>
        <v>20000</v>
      </c>
      <c r="AC19" s="379">
        <f t="shared" si="14"/>
        <v>20000</v>
      </c>
      <c r="AD19" s="379">
        <f t="shared" si="14"/>
        <v>20000</v>
      </c>
    </row>
    <row r="20" spans="1:30" ht="20.25" customHeight="1" x14ac:dyDescent="0.25">
      <c r="D20" s="360"/>
      <c r="E20" s="371"/>
      <c r="F20" s="389"/>
      <c r="G20" s="390"/>
      <c r="H20" s="391"/>
      <c r="I20" s="392"/>
      <c r="K20" s="376" t="s">
        <v>651</v>
      </c>
      <c r="L20" s="377" t="s">
        <v>649</v>
      </c>
      <c r="M20" s="378">
        <f t="shared" si="6"/>
        <v>0</v>
      </c>
      <c r="N20" s="379">
        <v>0</v>
      </c>
      <c r="O20" s="379">
        <v>0</v>
      </c>
      <c r="P20" s="379">
        <f t="shared" si="14"/>
        <v>0</v>
      </c>
      <c r="Q20" s="379">
        <f t="shared" si="14"/>
        <v>0</v>
      </c>
      <c r="R20" s="379">
        <f t="shared" si="14"/>
        <v>0</v>
      </c>
      <c r="S20" s="379">
        <f t="shared" si="14"/>
        <v>0</v>
      </c>
      <c r="T20" s="379">
        <f t="shared" si="14"/>
        <v>0</v>
      </c>
      <c r="U20" s="379">
        <f t="shared" si="14"/>
        <v>0</v>
      </c>
      <c r="V20" s="379">
        <f t="shared" si="14"/>
        <v>0</v>
      </c>
      <c r="W20" s="379">
        <f t="shared" si="14"/>
        <v>0</v>
      </c>
      <c r="X20" s="379">
        <f t="shared" si="14"/>
        <v>0</v>
      </c>
      <c r="Y20" s="379">
        <f t="shared" si="14"/>
        <v>0</v>
      </c>
      <c r="Z20" s="379">
        <f t="shared" si="14"/>
        <v>0</v>
      </c>
      <c r="AA20" s="379">
        <f t="shared" si="14"/>
        <v>0</v>
      </c>
      <c r="AB20" s="379">
        <f t="shared" si="14"/>
        <v>0</v>
      </c>
      <c r="AC20" s="379">
        <f t="shared" si="14"/>
        <v>0</v>
      </c>
      <c r="AD20" s="379">
        <f t="shared" si="14"/>
        <v>0</v>
      </c>
    </row>
    <row r="21" spans="1:30" x14ac:dyDescent="0.25">
      <c r="D21" s="327" t="s">
        <v>624</v>
      </c>
      <c r="E21" s="393">
        <f>E22</f>
        <v>177650</v>
      </c>
      <c r="F21" s="337">
        <f>E21/E35</f>
        <v>2.5524956323803977E-3</v>
      </c>
      <c r="G21" s="390"/>
      <c r="H21" s="391"/>
      <c r="I21" s="392"/>
      <c r="K21" s="447" t="s">
        <v>630</v>
      </c>
      <c r="L21" s="377" t="s">
        <v>619</v>
      </c>
      <c r="M21" s="378">
        <f t="shared" si="6"/>
        <v>0</v>
      </c>
      <c r="N21" s="379">
        <v>0</v>
      </c>
      <c r="O21" s="379">
        <f>N21</f>
        <v>0</v>
      </c>
      <c r="P21" s="379">
        <f t="shared" si="14"/>
        <v>0</v>
      </c>
      <c r="Q21" s="379">
        <f t="shared" si="14"/>
        <v>0</v>
      </c>
      <c r="R21" s="379">
        <f t="shared" si="14"/>
        <v>0</v>
      </c>
      <c r="S21" s="379">
        <f t="shared" si="14"/>
        <v>0</v>
      </c>
      <c r="T21" s="379">
        <f t="shared" si="14"/>
        <v>0</v>
      </c>
      <c r="U21" s="379">
        <f t="shared" si="14"/>
        <v>0</v>
      </c>
      <c r="V21" s="379">
        <f t="shared" si="14"/>
        <v>0</v>
      </c>
      <c r="W21" s="379">
        <f t="shared" si="14"/>
        <v>0</v>
      </c>
      <c r="X21" s="379">
        <f t="shared" si="14"/>
        <v>0</v>
      </c>
      <c r="Y21" s="379">
        <f t="shared" si="14"/>
        <v>0</v>
      </c>
      <c r="Z21" s="379">
        <f t="shared" si="14"/>
        <v>0</v>
      </c>
      <c r="AA21" s="379">
        <f t="shared" si="14"/>
        <v>0</v>
      </c>
      <c r="AB21" s="379">
        <f t="shared" si="14"/>
        <v>0</v>
      </c>
      <c r="AC21" s="379">
        <f t="shared" si="14"/>
        <v>0</v>
      </c>
      <c r="AD21" s="379">
        <f t="shared" si="14"/>
        <v>0</v>
      </c>
    </row>
    <row r="22" spans="1:30" x14ac:dyDescent="0.25">
      <c r="D22" s="361" t="s">
        <v>624</v>
      </c>
      <c r="E22" s="362">
        <f>M8+M9</f>
        <v>177650</v>
      </c>
      <c r="F22" s="347">
        <f>E22/E35</f>
        <v>2.5524956323803977E-3</v>
      </c>
      <c r="G22" s="327" t="s">
        <v>652</v>
      </c>
      <c r="H22" s="338">
        <f>SUM(H23:H24)</f>
        <v>0</v>
      </c>
      <c r="I22" s="339">
        <f>H22/$H$35</f>
        <v>0</v>
      </c>
      <c r="K22" s="448"/>
      <c r="L22" s="377" t="s">
        <v>653</v>
      </c>
      <c r="M22" s="378">
        <f t="shared" si="6"/>
        <v>63000</v>
      </c>
      <c r="N22" s="379">
        <v>18000</v>
      </c>
      <c r="O22" s="379">
        <v>3000</v>
      </c>
      <c r="P22" s="379">
        <v>3000</v>
      </c>
      <c r="Q22" s="379">
        <v>3000</v>
      </c>
      <c r="R22" s="379">
        <v>3000</v>
      </c>
      <c r="S22" s="379">
        <v>0</v>
      </c>
      <c r="T22" s="379">
        <v>3000</v>
      </c>
      <c r="U22" s="379">
        <f t="shared" si="14"/>
        <v>3000</v>
      </c>
      <c r="V22" s="379">
        <f t="shared" si="14"/>
        <v>3000</v>
      </c>
      <c r="W22" s="379">
        <f t="shared" si="14"/>
        <v>3000</v>
      </c>
      <c r="X22" s="379">
        <f t="shared" si="14"/>
        <v>3000</v>
      </c>
      <c r="Y22" s="379">
        <f t="shared" si="14"/>
        <v>3000</v>
      </c>
      <c r="Z22" s="379">
        <f t="shared" si="14"/>
        <v>3000</v>
      </c>
      <c r="AA22" s="379">
        <f t="shared" si="14"/>
        <v>3000</v>
      </c>
      <c r="AB22" s="379">
        <f t="shared" si="14"/>
        <v>3000</v>
      </c>
      <c r="AC22" s="379">
        <f t="shared" si="14"/>
        <v>3000</v>
      </c>
      <c r="AD22" s="379">
        <f t="shared" si="14"/>
        <v>3000</v>
      </c>
    </row>
    <row r="23" spans="1:30" ht="18.75" x14ac:dyDescent="0.3">
      <c r="C23" s="394"/>
      <c r="D23" s="360"/>
      <c r="E23" s="371"/>
      <c r="F23" s="389"/>
      <c r="G23" s="387" t="s">
        <v>616</v>
      </c>
      <c r="H23" s="395">
        <f>M17</f>
        <v>0</v>
      </c>
      <c r="I23" s="350">
        <f>H23/$H$35</f>
        <v>0</v>
      </c>
      <c r="K23" s="449"/>
      <c r="L23" s="377" t="s">
        <v>654</v>
      </c>
      <c r="M23" s="378">
        <f t="shared" si="6"/>
        <v>0</v>
      </c>
      <c r="N23" s="379">
        <v>0</v>
      </c>
      <c r="O23" s="379">
        <f>N23</f>
        <v>0</v>
      </c>
      <c r="P23" s="379">
        <f t="shared" si="14"/>
        <v>0</v>
      </c>
      <c r="Q23" s="379">
        <f t="shared" si="14"/>
        <v>0</v>
      </c>
      <c r="R23" s="379">
        <f t="shared" si="14"/>
        <v>0</v>
      </c>
      <c r="S23" s="379">
        <f t="shared" si="14"/>
        <v>0</v>
      </c>
      <c r="T23" s="379">
        <f t="shared" si="14"/>
        <v>0</v>
      </c>
      <c r="U23" s="379">
        <f t="shared" si="14"/>
        <v>0</v>
      </c>
      <c r="V23" s="379">
        <f t="shared" si="14"/>
        <v>0</v>
      </c>
      <c r="W23" s="379">
        <f t="shared" si="14"/>
        <v>0</v>
      </c>
      <c r="X23" s="379">
        <f t="shared" si="14"/>
        <v>0</v>
      </c>
      <c r="Y23" s="379">
        <f t="shared" si="14"/>
        <v>0</v>
      </c>
      <c r="Z23" s="379">
        <f t="shared" si="14"/>
        <v>0</v>
      </c>
      <c r="AA23" s="379">
        <f t="shared" si="14"/>
        <v>0</v>
      </c>
      <c r="AB23" s="379">
        <f t="shared" si="14"/>
        <v>0</v>
      </c>
      <c r="AC23" s="379">
        <f t="shared" si="14"/>
        <v>0</v>
      </c>
      <c r="AD23" s="379">
        <f t="shared" si="14"/>
        <v>0</v>
      </c>
    </row>
    <row r="24" spans="1:30" ht="18.75" x14ac:dyDescent="0.3">
      <c r="A24" s="396" t="str">
        <f t="shared" ref="A24:A31" si="15">L15</f>
        <v>Sueldos</v>
      </c>
      <c r="B24" s="397">
        <f t="shared" ref="B24:B31" si="16">M15/$M$25</f>
        <v>0.59395991613061883</v>
      </c>
      <c r="C24" s="335"/>
      <c r="D24" s="327" t="s">
        <v>671</v>
      </c>
      <c r="E24" s="336">
        <f>E25+E26-E27</f>
        <v>17183459</v>
      </c>
      <c r="F24" s="337">
        <f>E24/E35</f>
        <v>0.24689391526421411</v>
      </c>
      <c r="G24" s="387" t="s">
        <v>619</v>
      </c>
      <c r="H24" s="395">
        <f>M21</f>
        <v>0</v>
      </c>
      <c r="I24" s="350">
        <f>H24/$H$35</f>
        <v>0</v>
      </c>
      <c r="K24" s="376" t="s">
        <v>655</v>
      </c>
      <c r="L24" s="377" t="str">
        <f>K24</f>
        <v>Intereses</v>
      </c>
      <c r="M24" s="378">
        <f t="shared" si="6"/>
        <v>0</v>
      </c>
      <c r="N24" s="379">
        <v>0</v>
      </c>
      <c r="O24" s="379">
        <f t="shared" ref="O24" si="17">N24</f>
        <v>0</v>
      </c>
      <c r="P24" s="379">
        <f t="shared" si="14"/>
        <v>0</v>
      </c>
      <c r="Q24" s="379">
        <f t="shared" si="14"/>
        <v>0</v>
      </c>
      <c r="R24" s="379">
        <f t="shared" si="14"/>
        <v>0</v>
      </c>
      <c r="S24" s="379">
        <f t="shared" si="14"/>
        <v>0</v>
      </c>
      <c r="T24" s="379">
        <f t="shared" si="14"/>
        <v>0</v>
      </c>
      <c r="U24" s="379">
        <f t="shared" si="14"/>
        <v>0</v>
      </c>
      <c r="V24" s="379">
        <f t="shared" si="14"/>
        <v>0</v>
      </c>
      <c r="W24" s="379">
        <f t="shared" si="14"/>
        <v>0</v>
      </c>
      <c r="X24" s="379">
        <f t="shared" si="14"/>
        <v>0</v>
      </c>
      <c r="Y24" s="379">
        <f t="shared" si="14"/>
        <v>0</v>
      </c>
      <c r="Z24" s="379">
        <f t="shared" si="14"/>
        <v>0</v>
      </c>
      <c r="AA24" s="379">
        <f t="shared" si="14"/>
        <v>0</v>
      </c>
      <c r="AB24" s="379">
        <f t="shared" si="14"/>
        <v>0</v>
      </c>
      <c r="AC24" s="379">
        <f t="shared" si="14"/>
        <v>0</v>
      </c>
      <c r="AD24" s="379">
        <f t="shared" si="14"/>
        <v>0</v>
      </c>
    </row>
    <row r="25" spans="1:30" ht="18.75" x14ac:dyDescent="0.3">
      <c r="A25" s="396" t="str">
        <f t="shared" si="15"/>
        <v xml:space="preserve">Mantenimiento </v>
      </c>
      <c r="B25" s="397">
        <f t="shared" si="16"/>
        <v>0.10011260240995043</v>
      </c>
      <c r="C25" s="312"/>
      <c r="D25" s="363" t="s">
        <v>656</v>
      </c>
      <c r="E25" s="398">
        <f>N5</f>
        <v>8683459</v>
      </c>
      <c r="F25" s="347">
        <f>E25/E35</f>
        <v>0.12476493763835776</v>
      </c>
      <c r="G25" s="399"/>
      <c r="H25" s="400"/>
      <c r="I25" s="401"/>
      <c r="K25" s="402" t="s">
        <v>657</v>
      </c>
      <c r="L25" s="403"/>
      <c r="M25" s="404">
        <f t="shared" si="6"/>
        <v>4944832</v>
      </c>
      <c r="N25" s="405">
        <f>SUM(N15:N24)</f>
        <v>295136</v>
      </c>
      <c r="O25" s="405">
        <f t="shared" ref="O25:AD25" si="18">SUM(O15:O24)</f>
        <v>280136</v>
      </c>
      <c r="P25" s="405">
        <f t="shared" si="18"/>
        <v>280136</v>
      </c>
      <c r="Q25" s="405">
        <f t="shared" si="18"/>
        <v>280136</v>
      </c>
      <c r="R25" s="405">
        <f t="shared" si="18"/>
        <v>280136</v>
      </c>
      <c r="S25" s="405">
        <f t="shared" si="18"/>
        <v>283096</v>
      </c>
      <c r="T25" s="405">
        <f t="shared" si="18"/>
        <v>287596</v>
      </c>
      <c r="U25" s="405">
        <f t="shared" si="18"/>
        <v>289096</v>
      </c>
      <c r="V25" s="405">
        <f t="shared" si="18"/>
        <v>290596</v>
      </c>
      <c r="W25" s="405">
        <f t="shared" si="18"/>
        <v>292096</v>
      </c>
      <c r="X25" s="405">
        <f t="shared" si="18"/>
        <v>293596</v>
      </c>
      <c r="Y25" s="405">
        <f t="shared" si="18"/>
        <v>295096</v>
      </c>
      <c r="Z25" s="405">
        <f t="shared" si="18"/>
        <v>296596</v>
      </c>
      <c r="AA25" s="405">
        <f t="shared" si="18"/>
        <v>298096</v>
      </c>
      <c r="AB25" s="405">
        <f t="shared" si="18"/>
        <v>299596</v>
      </c>
      <c r="AC25" s="405">
        <f t="shared" si="18"/>
        <v>301096</v>
      </c>
      <c r="AD25" s="405">
        <f t="shared" si="18"/>
        <v>302596</v>
      </c>
    </row>
    <row r="26" spans="1:30" ht="18.75" x14ac:dyDescent="0.3">
      <c r="A26" s="396" t="str">
        <f t="shared" si="15"/>
        <v>Estadio</v>
      </c>
      <c r="B26" s="397">
        <f t="shared" si="16"/>
        <v>0</v>
      </c>
      <c r="C26" s="320"/>
      <c r="D26" s="363" t="str">
        <f>D12</f>
        <v>Ing Reservas</v>
      </c>
      <c r="E26" s="398">
        <f>M13</f>
        <v>8500000</v>
      </c>
      <c r="F26" s="347">
        <f>E26/E35</f>
        <v>0.12212897762585635</v>
      </c>
      <c r="G26" s="327" t="s">
        <v>658</v>
      </c>
      <c r="H26" s="338">
        <f>SUM(H27:H32)</f>
        <v>4944832</v>
      </c>
      <c r="I26" s="339">
        <f t="shared" ref="I26:I32" si="19">H26/$H$35</f>
        <v>7.10479149048963E-2</v>
      </c>
      <c r="K26" s="406" t="s">
        <v>659</v>
      </c>
      <c r="L26" s="406"/>
      <c r="M26" s="342">
        <f t="shared" ref="M26:AD26" si="20">M5+M14-M25</f>
        <v>17782889</v>
      </c>
      <c r="N26" s="342">
        <f t="shared" si="20"/>
        <v>9623483</v>
      </c>
      <c r="O26" s="342">
        <f t="shared" si="20"/>
        <v>9994868</v>
      </c>
      <c r="P26" s="342">
        <f t="shared" si="20"/>
        <v>10377155</v>
      </c>
      <c r="Q26" s="342">
        <f t="shared" si="20"/>
        <v>11240455</v>
      </c>
      <c r="R26" s="342">
        <f t="shared" si="20"/>
        <v>11827122</v>
      </c>
      <c r="S26" s="342">
        <f t="shared" si="20"/>
        <v>12481740</v>
      </c>
      <c r="T26" s="342">
        <f t="shared" si="20"/>
        <v>12827299</v>
      </c>
      <c r="U26" s="342">
        <f t="shared" si="20"/>
        <v>13472858</v>
      </c>
      <c r="V26" s="342">
        <f t="shared" si="20"/>
        <v>13818417</v>
      </c>
      <c r="W26" s="342">
        <f t="shared" si="20"/>
        <v>14463976</v>
      </c>
      <c r="X26" s="342">
        <f t="shared" si="20"/>
        <v>14809535</v>
      </c>
      <c r="Y26" s="342">
        <f t="shared" si="20"/>
        <v>15455094</v>
      </c>
      <c r="Z26" s="342">
        <f t="shared" si="20"/>
        <v>15800653</v>
      </c>
      <c r="AA26" s="342">
        <f t="shared" si="20"/>
        <v>16446212</v>
      </c>
      <c r="AB26" s="342">
        <f t="shared" si="20"/>
        <v>17091771</v>
      </c>
      <c r="AC26" s="342">
        <f t="shared" si="20"/>
        <v>17437330</v>
      </c>
      <c r="AD26" s="342">
        <f t="shared" si="20"/>
        <v>17782889</v>
      </c>
    </row>
    <row r="27" spans="1:30" x14ac:dyDescent="0.25">
      <c r="A27" s="396" t="str">
        <f t="shared" si="15"/>
        <v>Empleados</v>
      </c>
      <c r="B27" s="397">
        <f t="shared" si="16"/>
        <v>0.22442825155637239</v>
      </c>
      <c r="C27" s="316"/>
      <c r="D27" s="363" t="str">
        <f>D13</f>
        <v>Pago Reservas</v>
      </c>
      <c r="E27" s="398">
        <f>M23*-1</f>
        <v>0</v>
      </c>
      <c r="F27" s="347">
        <f>E27/E35</f>
        <v>0</v>
      </c>
      <c r="G27" s="387" t="s">
        <v>660</v>
      </c>
      <c r="H27" s="395">
        <f>M15</f>
        <v>2937032</v>
      </c>
      <c r="I27" s="350">
        <f t="shared" si="19"/>
        <v>4.2199613578167545E-2</v>
      </c>
      <c r="K27" s="407"/>
      <c r="L27" s="407"/>
      <c r="M27" s="407"/>
      <c r="N27" s="408">
        <f>N1+7</f>
        <v>43644</v>
      </c>
      <c r="O27" s="408">
        <f t="shared" ref="O27:AD27" si="21">N27+7</f>
        <v>43651</v>
      </c>
      <c r="P27" s="408">
        <f t="shared" si="21"/>
        <v>43658</v>
      </c>
      <c r="Q27" s="408">
        <f t="shared" si="21"/>
        <v>43665</v>
      </c>
      <c r="R27" s="408">
        <f t="shared" si="21"/>
        <v>43672</v>
      </c>
      <c r="S27" s="408">
        <f t="shared" si="21"/>
        <v>43679</v>
      </c>
      <c r="T27" s="408">
        <f t="shared" si="21"/>
        <v>43686</v>
      </c>
      <c r="U27" s="408">
        <f t="shared" si="21"/>
        <v>43693</v>
      </c>
      <c r="V27" s="408">
        <f t="shared" si="21"/>
        <v>43700</v>
      </c>
      <c r="W27" s="408">
        <f t="shared" si="21"/>
        <v>43707</v>
      </c>
      <c r="X27" s="408">
        <f t="shared" si="21"/>
        <v>43714</v>
      </c>
      <c r="Y27" s="408">
        <f t="shared" si="21"/>
        <v>43721</v>
      </c>
      <c r="Z27" s="408">
        <f t="shared" si="21"/>
        <v>43728</v>
      </c>
      <c r="AA27" s="408">
        <f t="shared" si="21"/>
        <v>43735</v>
      </c>
      <c r="AB27" s="408">
        <f t="shared" si="21"/>
        <v>43742</v>
      </c>
      <c r="AC27" s="408">
        <f t="shared" si="21"/>
        <v>43749</v>
      </c>
      <c r="AD27" s="408">
        <f t="shared" si="21"/>
        <v>43756</v>
      </c>
    </row>
    <row r="28" spans="1:30" x14ac:dyDescent="0.25">
      <c r="A28" s="396" t="str">
        <f t="shared" si="15"/>
        <v>Juveniles</v>
      </c>
      <c r="B28" s="397">
        <f t="shared" si="16"/>
        <v>6.8758655501339583E-2</v>
      </c>
      <c r="C28" s="320"/>
      <c r="D28" s="390"/>
      <c r="E28" s="409"/>
      <c r="F28" s="347"/>
      <c r="G28" s="387" t="s">
        <v>643</v>
      </c>
      <c r="H28" s="395">
        <f>M16</f>
        <v>495040</v>
      </c>
      <c r="I28" s="350">
        <f t="shared" si="19"/>
        <v>7.1127916569298745E-3</v>
      </c>
      <c r="K28" s="410"/>
      <c r="L28" s="410"/>
      <c r="M28" s="410"/>
      <c r="N28" s="410"/>
      <c r="O28" s="410"/>
      <c r="P28" s="410"/>
      <c r="Q28" s="410"/>
      <c r="R28" s="410"/>
      <c r="S28" s="410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</row>
    <row r="29" spans="1:30" x14ac:dyDescent="0.25">
      <c r="A29" s="396" t="str">
        <f t="shared" si="15"/>
        <v>Compra</v>
      </c>
      <c r="B29" s="397">
        <f t="shared" si="16"/>
        <v>0</v>
      </c>
      <c r="D29" s="327" t="s">
        <v>661</v>
      </c>
      <c r="E29" s="336">
        <f>SUM(E30:E34)</f>
        <v>5366612</v>
      </c>
      <c r="F29" s="337">
        <f>E29/E35</f>
        <v>7.7108098455841434E-2</v>
      </c>
      <c r="G29" s="387" t="s">
        <v>647</v>
      </c>
      <c r="H29" s="395">
        <f>M18</f>
        <v>1109760</v>
      </c>
      <c r="I29" s="350">
        <f t="shared" si="19"/>
        <v>1.5945159318831805E-2</v>
      </c>
      <c r="K29" s="411"/>
      <c r="L29" s="411"/>
      <c r="M29" s="412" t="s">
        <v>638</v>
      </c>
      <c r="N29" s="413">
        <v>18</v>
      </c>
      <c r="O29" s="413">
        <v>18</v>
      </c>
      <c r="P29" s="413">
        <v>18</v>
      </c>
      <c r="Q29" s="413">
        <v>18</v>
      </c>
      <c r="R29" s="413">
        <v>18</v>
      </c>
      <c r="S29" s="413">
        <v>18</v>
      </c>
      <c r="T29" s="413"/>
      <c r="U29" s="413"/>
      <c r="V29" s="413"/>
      <c r="W29" s="413"/>
      <c r="X29" s="413"/>
      <c r="Y29" s="413"/>
      <c r="Z29" s="413"/>
      <c r="AA29" s="413"/>
      <c r="AB29" s="413"/>
      <c r="AC29" s="413"/>
      <c r="AD29" s="413"/>
    </row>
    <row r="30" spans="1:30" x14ac:dyDescent="0.25">
      <c r="A30" s="396" t="str">
        <f t="shared" si="15"/>
        <v>Entrenador</v>
      </c>
      <c r="B30" s="397">
        <f t="shared" si="16"/>
        <v>0</v>
      </c>
      <c r="D30" s="363" t="s">
        <v>611</v>
      </c>
      <c r="E30" s="398">
        <f>M11</f>
        <v>57362</v>
      </c>
      <c r="F30" s="347">
        <f>E30/E35</f>
        <v>8.2418381347933785E-4</v>
      </c>
      <c r="G30" s="387" t="s">
        <v>650</v>
      </c>
      <c r="H30" s="395">
        <f>M19</f>
        <v>340000</v>
      </c>
      <c r="I30" s="350">
        <f t="shared" si="19"/>
        <v>4.8851591050342539E-3</v>
      </c>
      <c r="K30" s="323"/>
      <c r="L30" s="450" t="s">
        <v>662</v>
      </c>
      <c r="M30" s="414" t="s">
        <v>12</v>
      </c>
      <c r="N30" s="413">
        <v>950340</v>
      </c>
      <c r="O30" s="413">
        <v>949900</v>
      </c>
      <c r="P30" s="413">
        <v>1007530</v>
      </c>
      <c r="Q30" s="413">
        <v>1065770</v>
      </c>
      <c r="R30" s="413">
        <v>1065800</v>
      </c>
      <c r="S30" s="413">
        <v>1092850</v>
      </c>
      <c r="T30" s="413"/>
      <c r="U30" s="413"/>
      <c r="V30" s="413"/>
      <c r="W30" s="413"/>
      <c r="X30" s="413"/>
      <c r="Y30" s="413"/>
      <c r="Z30" s="413"/>
      <c r="AA30" s="413"/>
      <c r="AB30" s="413"/>
      <c r="AC30" s="413"/>
      <c r="AD30" s="413"/>
    </row>
    <row r="31" spans="1:30" x14ac:dyDescent="0.25">
      <c r="A31" s="396" t="str">
        <f t="shared" si="15"/>
        <v>Viajes+Venta</v>
      </c>
      <c r="B31" s="397">
        <f t="shared" si="16"/>
        <v>1.2740574401718805E-2</v>
      </c>
      <c r="D31" s="363" t="s">
        <v>633</v>
      </c>
      <c r="E31" s="398">
        <f>M12</f>
        <v>400000</v>
      </c>
      <c r="F31" s="347">
        <f>E31/E35</f>
        <v>5.7472460059226523E-3</v>
      </c>
      <c r="G31" s="387" t="s">
        <v>653</v>
      </c>
      <c r="H31" s="395">
        <f>M22</f>
        <v>63000</v>
      </c>
      <c r="I31" s="350">
        <f t="shared" si="19"/>
        <v>9.0519124593281769E-4</v>
      </c>
      <c r="K31" s="323"/>
      <c r="L31" s="450"/>
      <c r="M31" s="414" t="s">
        <v>50</v>
      </c>
      <c r="N31" s="413">
        <v>162436</v>
      </c>
      <c r="O31" s="413">
        <v>162436</v>
      </c>
      <c r="P31" s="413">
        <v>162436</v>
      </c>
      <c r="Q31" s="413">
        <v>162436</v>
      </c>
      <c r="R31" s="413">
        <v>162436</v>
      </c>
      <c r="S31" s="413">
        <v>168396</v>
      </c>
      <c r="T31" s="413"/>
      <c r="U31" s="413"/>
      <c r="V31" s="413"/>
      <c r="W31" s="413"/>
      <c r="X31" s="413"/>
      <c r="Y31" s="413"/>
      <c r="Z31" s="413"/>
      <c r="AA31" s="413"/>
      <c r="AB31" s="413"/>
      <c r="AC31" s="413"/>
      <c r="AD31" s="413"/>
    </row>
    <row r="32" spans="1:30" x14ac:dyDescent="0.25">
      <c r="A32" s="396" t="str">
        <f>L24</f>
        <v>Intereses</v>
      </c>
      <c r="B32" s="397">
        <f>M24/$M$25</f>
        <v>0</v>
      </c>
      <c r="D32" s="363" t="s">
        <v>618</v>
      </c>
      <c r="E32" s="398">
        <f>M6</f>
        <v>3100490</v>
      </c>
      <c r="F32" s="347">
        <f>E32/E35</f>
        <v>4.454819692225781E-2</v>
      </c>
      <c r="G32" s="387" t="s">
        <v>655</v>
      </c>
      <c r="H32" s="395">
        <f>M24</f>
        <v>0</v>
      </c>
      <c r="I32" s="350">
        <f t="shared" si="19"/>
        <v>0</v>
      </c>
      <c r="K32" s="323"/>
      <c r="L32" s="450"/>
      <c r="M32" s="414" t="s">
        <v>663</v>
      </c>
      <c r="N32" s="413">
        <v>867000</v>
      </c>
      <c r="O32" s="413">
        <v>866870</v>
      </c>
      <c r="P32" s="413">
        <v>921130</v>
      </c>
      <c r="Q32" s="413">
        <v>981580</v>
      </c>
      <c r="R32" s="413">
        <v>981420</v>
      </c>
      <c r="S32" s="413">
        <v>1007480</v>
      </c>
      <c r="T32" s="413"/>
      <c r="U32" s="413"/>
      <c r="V32" s="413"/>
      <c r="W32" s="413"/>
      <c r="X32" s="413"/>
      <c r="Y32" s="413"/>
      <c r="Z32" s="413"/>
      <c r="AA32" s="413"/>
      <c r="AB32" s="413"/>
      <c r="AC32" s="413"/>
      <c r="AD32" s="413"/>
    </row>
    <row r="33" spans="1:30" ht="18.75" x14ac:dyDescent="0.3">
      <c r="A33" s="320"/>
      <c r="B33" s="415">
        <f>SUM(B24:B32)</f>
        <v>1</v>
      </c>
      <c r="D33" s="363" t="s">
        <v>621</v>
      </c>
      <c r="E33" s="398">
        <f>M7</f>
        <v>1775000</v>
      </c>
      <c r="F33" s="347">
        <f>E33/E35</f>
        <v>2.5503404151281769E-2</v>
      </c>
      <c r="G33" s="390"/>
      <c r="H33" s="391"/>
      <c r="I33" s="392"/>
      <c r="K33" s="323"/>
      <c r="L33" s="450"/>
      <c r="M33" s="414" t="s">
        <v>664</v>
      </c>
      <c r="N33" s="413">
        <v>140830</v>
      </c>
      <c r="O33" s="413">
        <v>140830</v>
      </c>
      <c r="P33" s="413">
        <v>140830</v>
      </c>
      <c r="Q33" s="413">
        <v>140830</v>
      </c>
      <c r="R33" s="413">
        <v>140830</v>
      </c>
      <c r="S33" s="413">
        <v>146790</v>
      </c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</row>
    <row r="34" spans="1:30" ht="18.75" x14ac:dyDescent="0.3">
      <c r="A34" s="316"/>
      <c r="B34" s="416"/>
      <c r="D34" s="417" t="s">
        <v>627</v>
      </c>
      <c r="E34" s="418">
        <f>M10</f>
        <v>33760</v>
      </c>
      <c r="F34" s="347">
        <f>E34/E35</f>
        <v>4.8506756289987184E-4</v>
      </c>
      <c r="G34" s="419"/>
      <c r="H34" s="420"/>
      <c r="I34" s="421"/>
      <c r="K34" s="323"/>
      <c r="L34" s="450"/>
      <c r="M34" s="414" t="s">
        <v>665</v>
      </c>
      <c r="N34" s="422" t="s">
        <v>670</v>
      </c>
      <c r="O34" s="422" t="s">
        <v>675</v>
      </c>
      <c r="P34" s="422" t="s">
        <v>676</v>
      </c>
      <c r="Q34" s="422" t="s">
        <v>689</v>
      </c>
      <c r="R34" s="422" t="s">
        <v>690</v>
      </c>
      <c r="S34" s="422" t="s">
        <v>694</v>
      </c>
      <c r="T34" s="422"/>
      <c r="U34" s="422"/>
      <c r="V34" s="422"/>
      <c r="W34" s="422"/>
      <c r="X34" s="422"/>
      <c r="Y34" s="422"/>
      <c r="Z34" s="422"/>
      <c r="AA34" s="422"/>
      <c r="AB34" s="422"/>
      <c r="AC34" s="422"/>
      <c r="AD34" s="422"/>
    </row>
    <row r="35" spans="1:30" ht="18.75" x14ac:dyDescent="0.3">
      <c r="A35" s="452">
        <f>M25</f>
        <v>4944832</v>
      </c>
      <c r="B35" s="452"/>
      <c r="D35" s="423" t="s">
        <v>85</v>
      </c>
      <c r="E35" s="424">
        <f>E29+E21+E15+E5+E10+E24</f>
        <v>69598552</v>
      </c>
      <c r="F35" s="425">
        <f>F29+F21+F15+F5+F10+F24</f>
        <v>1</v>
      </c>
      <c r="G35" s="423" t="s">
        <v>85</v>
      </c>
      <c r="H35" s="424">
        <f>H26+H18+H10+H5+H22</f>
        <v>69598552</v>
      </c>
      <c r="I35" s="426">
        <f>H35/$H$35</f>
        <v>1</v>
      </c>
      <c r="K35" s="323"/>
      <c r="L35" s="450"/>
      <c r="M35" s="414" t="s">
        <v>666</v>
      </c>
      <c r="N35" s="427">
        <v>6</v>
      </c>
      <c r="O35" s="427">
        <v>6</v>
      </c>
      <c r="P35" s="427">
        <v>6</v>
      </c>
      <c r="Q35" s="427">
        <v>6</v>
      </c>
      <c r="R35" s="427">
        <v>6</v>
      </c>
      <c r="S35" s="427">
        <v>6</v>
      </c>
      <c r="T35" s="427"/>
      <c r="U35" s="427"/>
      <c r="V35" s="427"/>
      <c r="W35" s="427"/>
      <c r="X35" s="427"/>
      <c r="Y35" s="427"/>
      <c r="Z35" s="427"/>
      <c r="AA35" s="427"/>
      <c r="AB35" s="427"/>
      <c r="AC35" s="427"/>
      <c r="AD35" s="427"/>
    </row>
    <row r="36" spans="1:30" x14ac:dyDescent="0.25">
      <c r="E36" s="359"/>
      <c r="F36" s="329"/>
      <c r="G36" s="428"/>
      <c r="H36" s="429">
        <f>E35-H35</f>
        <v>0</v>
      </c>
      <c r="I36" s="359"/>
      <c r="K36" s="320"/>
      <c r="L36" s="450"/>
      <c r="M36" s="414" t="s">
        <v>667</v>
      </c>
      <c r="N36" s="427">
        <v>5.25</v>
      </c>
      <c r="O36" s="427">
        <v>5.25</v>
      </c>
      <c r="P36" s="427">
        <v>5.75</v>
      </c>
      <c r="Q36" s="427">
        <v>6</v>
      </c>
      <c r="R36" s="427">
        <v>6</v>
      </c>
      <c r="S36" s="427">
        <v>6</v>
      </c>
      <c r="T36" s="427"/>
      <c r="U36" s="427"/>
      <c r="V36" s="427"/>
      <c r="W36" s="427"/>
      <c r="X36" s="427"/>
      <c r="Y36" s="427"/>
      <c r="Z36" s="427"/>
      <c r="AA36" s="427"/>
      <c r="AB36" s="427"/>
      <c r="AC36" s="427"/>
      <c r="AD36" s="427"/>
    </row>
    <row r="37" spans="1:30" x14ac:dyDescent="0.25">
      <c r="E37" s="359"/>
      <c r="F37" s="359"/>
      <c r="H37" s="359"/>
      <c r="I37" s="359"/>
      <c r="K37" s="320"/>
      <c r="L37" s="450"/>
      <c r="M37" s="414" t="s">
        <v>668</v>
      </c>
      <c r="N37" s="427">
        <v>4.25</v>
      </c>
      <c r="O37" s="427">
        <v>4.25</v>
      </c>
      <c r="P37" s="427">
        <v>4.25</v>
      </c>
      <c r="Q37" s="427">
        <v>4.5</v>
      </c>
      <c r="R37" s="427">
        <v>4.5</v>
      </c>
      <c r="S37" s="427">
        <v>4.5</v>
      </c>
      <c r="T37" s="427"/>
      <c r="U37" s="427"/>
      <c r="V37" s="427"/>
      <c r="W37" s="427"/>
      <c r="X37" s="427"/>
      <c r="Y37" s="427"/>
      <c r="Z37" s="427"/>
      <c r="AA37" s="427"/>
      <c r="AB37" s="427"/>
      <c r="AC37" s="427"/>
      <c r="AD37" s="427"/>
    </row>
    <row r="38" spans="1:30" ht="15.75" x14ac:dyDescent="0.25">
      <c r="D38" s="430"/>
      <c r="E38" s="431"/>
      <c r="F38" s="359"/>
      <c r="G38" s="46"/>
      <c r="H38" s="432"/>
      <c r="I38" s="432"/>
      <c r="K38" s="320"/>
      <c r="L38" s="320"/>
      <c r="M38" s="433" t="s">
        <v>669</v>
      </c>
      <c r="N38" s="434">
        <f t="shared" ref="N38:AD38" si="22">N30/N31</f>
        <v>5.8505503706075004</v>
      </c>
      <c r="O38" s="434">
        <f t="shared" si="22"/>
        <v>5.847841611465439</v>
      </c>
      <c r="P38" s="434">
        <f t="shared" si="22"/>
        <v>6.2026274963677999</v>
      </c>
      <c r="Q38" s="434">
        <f t="shared" si="22"/>
        <v>6.5611687064443842</v>
      </c>
      <c r="R38" s="434">
        <f t="shared" si="22"/>
        <v>6.5613533945677069</v>
      </c>
      <c r="S38" s="434">
        <f t="shared" si="22"/>
        <v>6.489762227131286</v>
      </c>
      <c r="T38" s="434" t="e">
        <f t="shared" si="22"/>
        <v>#DIV/0!</v>
      </c>
      <c r="U38" s="434" t="e">
        <f t="shared" si="22"/>
        <v>#DIV/0!</v>
      </c>
      <c r="V38" s="434" t="e">
        <f t="shared" si="22"/>
        <v>#DIV/0!</v>
      </c>
      <c r="W38" s="434" t="e">
        <f t="shared" si="22"/>
        <v>#DIV/0!</v>
      </c>
      <c r="X38" s="434" t="e">
        <f t="shared" si="22"/>
        <v>#DIV/0!</v>
      </c>
      <c r="Y38" s="434" t="e">
        <f t="shared" si="22"/>
        <v>#DIV/0!</v>
      </c>
      <c r="Z38" s="434" t="e">
        <f t="shared" si="22"/>
        <v>#DIV/0!</v>
      </c>
      <c r="AA38" s="434" t="e">
        <f t="shared" si="22"/>
        <v>#DIV/0!</v>
      </c>
      <c r="AB38" s="434" t="e">
        <f t="shared" si="22"/>
        <v>#DIV/0!</v>
      </c>
      <c r="AC38" s="434" t="e">
        <f t="shared" si="22"/>
        <v>#DIV/0!</v>
      </c>
      <c r="AD38" s="434" t="e">
        <f t="shared" si="22"/>
        <v>#DIV/0!</v>
      </c>
    </row>
    <row r="39" spans="1:30" x14ac:dyDescent="0.25">
      <c r="E39" s="432"/>
      <c r="F39" s="359"/>
      <c r="H39" s="359"/>
      <c r="I39" s="359"/>
      <c r="K39" s="320"/>
      <c r="L39" s="320"/>
      <c r="M39" s="320"/>
      <c r="N39" s="133"/>
      <c r="O39" s="435"/>
      <c r="P39" s="453"/>
      <c r="Q39" s="453"/>
      <c r="R39" s="453"/>
      <c r="S39" s="453"/>
    </row>
    <row r="40" spans="1:30" x14ac:dyDescent="0.25">
      <c r="E40" s="359"/>
      <c r="F40" s="359"/>
      <c r="H40" s="359"/>
      <c r="I40" s="359"/>
      <c r="K40" s="320"/>
      <c r="L40" s="320"/>
      <c r="M40" s="320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</row>
    <row r="41" spans="1:30" x14ac:dyDescent="0.25">
      <c r="K41" s="320"/>
      <c r="L41" s="320"/>
      <c r="M41" s="320"/>
      <c r="O41" s="435"/>
      <c r="P41" s="435"/>
      <c r="Q41" s="435"/>
      <c r="R41" s="435"/>
      <c r="S41" s="435"/>
      <c r="T41" s="435"/>
      <c r="U41" s="435"/>
      <c r="V41" s="435"/>
      <c r="W41" s="435"/>
      <c r="X41" s="435"/>
      <c r="Y41" s="435"/>
      <c r="Z41" s="435"/>
      <c r="AA41" s="435"/>
      <c r="AB41" s="435"/>
      <c r="AC41" s="435"/>
      <c r="AD41" s="435"/>
    </row>
    <row r="42" spans="1:30" x14ac:dyDescent="0.25">
      <c r="K42" s="320"/>
      <c r="L42" s="320"/>
      <c r="M42" s="320"/>
      <c r="O42" s="435"/>
      <c r="P42" s="446"/>
      <c r="Q42" s="446"/>
      <c r="R42" s="446"/>
      <c r="S42" s="446"/>
      <c r="V42" s="437"/>
    </row>
    <row r="43" spans="1:30" x14ac:dyDescent="0.25">
      <c r="K43" s="320"/>
      <c r="L43" s="320"/>
      <c r="M43" s="320"/>
      <c r="N43" s="437"/>
      <c r="O43" s="435"/>
      <c r="P43" s="438"/>
      <c r="Q43" s="438"/>
      <c r="R43" s="438"/>
      <c r="S43" s="438"/>
    </row>
    <row r="44" spans="1:30" x14ac:dyDescent="0.25">
      <c r="K44" s="320"/>
      <c r="L44" s="320"/>
      <c r="M44" s="320"/>
      <c r="O44" s="435"/>
      <c r="P44" s="446"/>
      <c r="Q44" s="446"/>
      <c r="R44" s="446"/>
      <c r="S44" s="446"/>
      <c r="Y44" s="437"/>
    </row>
    <row r="45" spans="1:30" x14ac:dyDescent="0.25">
      <c r="K45" s="320"/>
      <c r="L45" s="320"/>
      <c r="M45" s="320"/>
      <c r="O45" s="435"/>
      <c r="P45" s="446"/>
      <c r="Q45" s="446"/>
      <c r="R45" s="446"/>
      <c r="S45" s="439"/>
    </row>
    <row r="46" spans="1:30" x14ac:dyDescent="0.25">
      <c r="K46" s="320"/>
      <c r="L46" s="320"/>
      <c r="M46" s="320"/>
      <c r="O46" s="435"/>
    </row>
    <row r="47" spans="1:30" x14ac:dyDescent="0.25">
      <c r="K47" s="320"/>
      <c r="L47" s="320"/>
      <c r="M47" s="320"/>
      <c r="O47" s="435"/>
    </row>
    <row r="48" spans="1:30" x14ac:dyDescent="0.25">
      <c r="K48" s="320"/>
      <c r="L48" s="320"/>
      <c r="M48" s="320"/>
      <c r="O48" s="435"/>
    </row>
    <row r="49" spans="11:15" x14ac:dyDescent="0.25">
      <c r="K49" s="320"/>
      <c r="L49" s="320"/>
      <c r="M49" s="320"/>
      <c r="O49" s="435"/>
    </row>
    <row r="50" spans="11:15" x14ac:dyDescent="0.25">
      <c r="K50" s="320"/>
      <c r="L50" s="320"/>
      <c r="M50" s="320"/>
      <c r="O50" s="435"/>
    </row>
    <row r="51" spans="11:15" x14ac:dyDescent="0.25">
      <c r="K51" s="320"/>
      <c r="L51" s="320"/>
      <c r="M51" s="320"/>
      <c r="O51" s="435"/>
    </row>
    <row r="52" spans="11:15" x14ac:dyDescent="0.25">
      <c r="K52" s="320"/>
      <c r="L52" s="320"/>
      <c r="M52" s="320"/>
      <c r="O52" s="435"/>
    </row>
    <row r="53" spans="11:15" x14ac:dyDescent="0.25">
      <c r="K53" s="320"/>
      <c r="L53" s="320"/>
      <c r="M53" s="320"/>
      <c r="O53" s="435"/>
    </row>
    <row r="54" spans="11:15" x14ac:dyDescent="0.25">
      <c r="K54" s="320"/>
      <c r="L54" s="320"/>
      <c r="M54" s="320"/>
      <c r="O54" s="435"/>
    </row>
    <row r="55" spans="11:15" x14ac:dyDescent="0.25">
      <c r="K55" s="320"/>
      <c r="L55" s="320"/>
      <c r="M55" s="320"/>
      <c r="O55" s="435"/>
    </row>
    <row r="56" spans="11:15" x14ac:dyDescent="0.25">
      <c r="K56" s="320"/>
      <c r="L56" s="320"/>
      <c r="M56" s="320"/>
      <c r="O56" s="435"/>
    </row>
    <row r="57" spans="11:15" x14ac:dyDescent="0.25">
      <c r="K57" s="320"/>
      <c r="L57" s="320"/>
      <c r="M57" s="320"/>
      <c r="O57" s="435"/>
    </row>
    <row r="58" spans="11:15" x14ac:dyDescent="0.25">
      <c r="K58" s="320"/>
      <c r="L58" s="320"/>
      <c r="M58" s="320"/>
      <c r="O58" s="435"/>
    </row>
    <row r="59" spans="11:15" x14ac:dyDescent="0.25">
      <c r="K59" s="320"/>
      <c r="L59" s="320"/>
      <c r="M59" s="320"/>
      <c r="O59" s="435"/>
    </row>
    <row r="60" spans="11:15" x14ac:dyDescent="0.25">
      <c r="K60" s="320"/>
      <c r="L60" s="320"/>
      <c r="M60" s="320"/>
      <c r="O60" s="435"/>
    </row>
    <row r="61" spans="11:15" x14ac:dyDescent="0.25">
      <c r="K61" s="320"/>
      <c r="L61" s="320"/>
      <c r="M61" s="320"/>
      <c r="O61" s="435"/>
    </row>
    <row r="62" spans="11:15" x14ac:dyDescent="0.25">
      <c r="K62" s="320"/>
      <c r="L62" s="320"/>
      <c r="M62" s="320"/>
      <c r="O62" s="435"/>
    </row>
    <row r="63" spans="11:15" x14ac:dyDescent="0.25">
      <c r="K63" s="320"/>
      <c r="L63" s="320"/>
      <c r="M63" s="320"/>
      <c r="O63" s="435"/>
    </row>
    <row r="64" spans="11:15" x14ac:dyDescent="0.25">
      <c r="K64" s="320"/>
      <c r="L64" s="320"/>
      <c r="M64" s="320"/>
      <c r="O64" s="435"/>
    </row>
    <row r="65" spans="11:15" x14ac:dyDescent="0.25">
      <c r="K65" s="320"/>
      <c r="L65" s="320"/>
      <c r="M65" s="320"/>
      <c r="O65" s="435"/>
    </row>
    <row r="66" spans="11:15" x14ac:dyDescent="0.25">
      <c r="K66" s="320"/>
      <c r="L66" s="320"/>
      <c r="M66" s="320"/>
      <c r="O66" s="435"/>
    </row>
    <row r="67" spans="11:15" x14ac:dyDescent="0.25">
      <c r="K67" s="320"/>
      <c r="L67" s="320"/>
      <c r="M67" s="320"/>
      <c r="O67" s="435"/>
    </row>
    <row r="68" spans="11:15" x14ac:dyDescent="0.25">
      <c r="K68" s="320"/>
      <c r="L68" s="320"/>
      <c r="M68" s="320"/>
      <c r="O68" s="435"/>
    </row>
    <row r="69" spans="11:15" x14ac:dyDescent="0.25">
      <c r="K69" s="320"/>
      <c r="L69" s="320"/>
      <c r="M69" s="320"/>
      <c r="O69" s="435"/>
    </row>
    <row r="70" spans="11:15" x14ac:dyDescent="0.25">
      <c r="K70" s="320"/>
      <c r="L70" s="320"/>
      <c r="M70" s="320"/>
      <c r="O70" s="435"/>
    </row>
    <row r="71" spans="11:15" x14ac:dyDescent="0.25">
      <c r="K71" s="320"/>
      <c r="L71" s="320"/>
      <c r="M71" s="320"/>
      <c r="O71" s="435"/>
    </row>
    <row r="72" spans="11:15" x14ac:dyDescent="0.25">
      <c r="K72" s="320"/>
      <c r="L72" s="320"/>
      <c r="M72" s="320"/>
      <c r="O72" s="435"/>
    </row>
    <row r="73" spans="11:15" x14ac:dyDescent="0.25">
      <c r="K73" s="320"/>
      <c r="L73" s="320"/>
      <c r="M73" s="320"/>
      <c r="O73" s="435"/>
    </row>
    <row r="74" spans="11:15" x14ac:dyDescent="0.25">
      <c r="K74" s="320"/>
      <c r="L74" s="320"/>
      <c r="M74" s="320"/>
      <c r="O74" s="435"/>
    </row>
    <row r="75" spans="11:15" x14ac:dyDescent="0.25">
      <c r="K75" s="320"/>
      <c r="L75" s="320"/>
      <c r="M75" s="320"/>
      <c r="O75" s="435"/>
    </row>
    <row r="76" spans="11:15" x14ac:dyDescent="0.25">
      <c r="K76" s="320"/>
      <c r="L76" s="320"/>
      <c r="M76" s="320"/>
      <c r="O76" s="435"/>
    </row>
    <row r="77" spans="11:15" x14ac:dyDescent="0.25">
      <c r="K77" s="320"/>
      <c r="L77" s="320"/>
      <c r="M77" s="320"/>
      <c r="O77" s="435"/>
    </row>
    <row r="78" spans="11:15" x14ac:dyDescent="0.25">
      <c r="K78" s="320"/>
      <c r="L78" s="320"/>
      <c r="M78" s="320"/>
      <c r="O78" s="435"/>
    </row>
    <row r="79" spans="11:15" x14ac:dyDescent="0.25">
      <c r="K79" s="320"/>
      <c r="L79" s="320"/>
      <c r="M79" s="320"/>
      <c r="O79" s="435"/>
    </row>
    <row r="80" spans="11:15" x14ac:dyDescent="0.25">
      <c r="K80" s="320"/>
      <c r="L80" s="320"/>
      <c r="M80" s="320"/>
      <c r="O80" s="435"/>
    </row>
    <row r="81" spans="11:15" x14ac:dyDescent="0.25">
      <c r="K81" s="320"/>
      <c r="L81" s="320"/>
      <c r="M81" s="320"/>
      <c r="O81" s="435"/>
    </row>
  </sheetData>
  <mergeCells count="14">
    <mergeCell ref="D1:I1"/>
    <mergeCell ref="D2:I2"/>
    <mergeCell ref="D3:E3"/>
    <mergeCell ref="G3:H3"/>
    <mergeCell ref="P44:S44"/>
    <mergeCell ref="K11:K13"/>
    <mergeCell ref="P45:R45"/>
    <mergeCell ref="K21:K23"/>
    <mergeCell ref="L30:L37"/>
    <mergeCell ref="A15:B15"/>
    <mergeCell ref="A35:B35"/>
    <mergeCell ref="P39:Q39"/>
    <mergeCell ref="R39:S39"/>
    <mergeCell ref="P42:S42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K25" sqref="K25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4.9000000000000004</v>
      </c>
      <c r="E3" s="100">
        <f>D3</f>
        <v>4.9000000000000004</v>
      </c>
      <c r="F3" s="100">
        <f>E3+0.1</f>
        <v>5</v>
      </c>
      <c r="G3" s="100">
        <f>C3</f>
        <v>4</v>
      </c>
      <c r="H3" s="100">
        <f>G3+0.99</f>
        <v>4.99</v>
      </c>
      <c r="I3" s="101">
        <f>G3*G3*E3</f>
        <v>78.400000000000006</v>
      </c>
      <c r="J3" s="101">
        <f>H3*H3*F3</f>
        <v>124.50050000000002</v>
      </c>
      <c r="K3" s="102"/>
      <c r="N3" s="46" t="s">
        <v>218</v>
      </c>
      <c r="O3" t="str">
        <f>A12</f>
        <v>Valeri Gomis</v>
      </c>
      <c r="P3" s="103">
        <f>E12</f>
        <v>4.4000000000000004</v>
      </c>
      <c r="Q3" s="103">
        <f t="shared" ref="Q3:S3" si="0">F12</f>
        <v>4.5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2.7</v>
      </c>
      <c r="Q4" s="103">
        <f t="shared" ref="Q4:S4" si="7">F5</f>
        <v>2.8000000000000003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2.7</v>
      </c>
      <c r="E5" s="100">
        <f t="shared" si="1"/>
        <v>2.7</v>
      </c>
      <c r="F5" s="100">
        <f t="shared" si="2"/>
        <v>2.8000000000000003</v>
      </c>
      <c r="G5" s="100">
        <f t="shared" si="3"/>
        <v>5</v>
      </c>
      <c r="H5" s="100">
        <f t="shared" si="4"/>
        <v>5.99</v>
      </c>
      <c r="I5" s="101">
        <f t="shared" si="5"/>
        <v>67.5</v>
      </c>
      <c r="J5" s="101">
        <f t="shared" si="6"/>
        <v>100.46428000000003</v>
      </c>
      <c r="K5" s="102"/>
      <c r="L5" s="81"/>
      <c r="O5" t="str">
        <f>A3</f>
        <v>Cosme Fonteboa</v>
      </c>
      <c r="P5" s="103">
        <f>E3</f>
        <v>4.9000000000000004</v>
      </c>
      <c r="Q5" s="103">
        <f t="shared" ref="Q5:S5" si="8">F3</f>
        <v>5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4</v>
      </c>
      <c r="Q6" s="103">
        <f t="shared" ref="Q6:S6" si="9">F7</f>
        <v>4.0999999999999996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23</v>
      </c>
      <c r="C7" s="98">
        <f>Plantilla!H8</f>
        <v>1</v>
      </c>
      <c r="D7" s="99">
        <f>Plantilla!I8</f>
        <v>4</v>
      </c>
      <c r="E7" s="100">
        <f t="shared" si="1"/>
        <v>4</v>
      </c>
      <c r="F7" s="100">
        <f t="shared" si="2"/>
        <v>4.0999999999999996</v>
      </c>
      <c r="G7" s="100">
        <f t="shared" si="3"/>
        <v>1</v>
      </c>
      <c r="H7" s="100">
        <f t="shared" si="4"/>
        <v>1.99</v>
      </c>
      <c r="I7" s="101">
        <f t="shared" si="5"/>
        <v>4</v>
      </c>
      <c r="J7" s="101">
        <f t="shared" si="6"/>
        <v>16.236409999999999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4.7</v>
      </c>
      <c r="E8" s="100">
        <f t="shared" si="1"/>
        <v>4.7</v>
      </c>
      <c r="F8" s="100">
        <f t="shared" si="2"/>
        <v>4.8</v>
      </c>
      <c r="G8" s="100">
        <f t="shared" si="3"/>
        <v>4</v>
      </c>
      <c r="H8" s="100">
        <f t="shared" si="4"/>
        <v>4.99</v>
      </c>
      <c r="I8" s="101">
        <f t="shared" si="5"/>
        <v>75.2</v>
      </c>
      <c r="J8" s="101">
        <f t="shared" si="6"/>
        <v>119.52048000000001</v>
      </c>
      <c r="K8" s="102"/>
      <c r="O8" t="str">
        <f>A10</f>
        <v>Francesc Añigas</v>
      </c>
      <c r="P8" s="103">
        <f>E10</f>
        <v>4.4000000000000004</v>
      </c>
      <c r="Q8" s="103">
        <f t="shared" ref="Q8:S8" si="11">F10</f>
        <v>4.5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7.3</v>
      </c>
      <c r="Q9" s="103">
        <f t="shared" ref="Q9:S9" si="12">F15</f>
        <v>7.3999999999999995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4.4000000000000004</v>
      </c>
      <c r="E10" s="100">
        <f t="shared" si="1"/>
        <v>4.4000000000000004</v>
      </c>
      <c r="F10" s="100">
        <f t="shared" si="2"/>
        <v>4.5</v>
      </c>
      <c r="G10" s="100">
        <f t="shared" si="3"/>
        <v>5</v>
      </c>
      <c r="H10" s="100">
        <f t="shared" si="4"/>
        <v>5.99</v>
      </c>
      <c r="I10" s="101">
        <f t="shared" si="5"/>
        <v>110.00000000000001</v>
      </c>
      <c r="J10" s="101">
        <f t="shared" si="6"/>
        <v>161.46045000000004</v>
      </c>
      <c r="K10" s="102"/>
      <c r="O10" t="str">
        <f>A14</f>
        <v>J. G. Peñuela</v>
      </c>
      <c r="P10" s="103">
        <f>E14</f>
        <v>4.3</v>
      </c>
      <c r="Q10" s="103">
        <f t="shared" ref="Q10:S10" si="13">F14</f>
        <v>4.3999999999999995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4.5</v>
      </c>
      <c r="E11" s="100">
        <f t="shared" si="1"/>
        <v>4.5</v>
      </c>
      <c r="F11" s="100">
        <f t="shared" si="2"/>
        <v>4.5999999999999996</v>
      </c>
      <c r="G11" s="100">
        <f t="shared" si="3"/>
        <v>3</v>
      </c>
      <c r="H11" s="100">
        <f t="shared" si="4"/>
        <v>3.99</v>
      </c>
      <c r="I11" s="101">
        <f t="shared" si="5"/>
        <v>40.5</v>
      </c>
      <c r="J11" s="101">
        <f t="shared" si="6"/>
        <v>73.232460000000003</v>
      </c>
      <c r="K11" s="102"/>
      <c r="O11" t="str">
        <f>A13</f>
        <v>Enrique Cubas</v>
      </c>
      <c r="P11" s="103">
        <f>E13</f>
        <v>5</v>
      </c>
      <c r="Q11" s="103">
        <f t="shared" ref="Q11:S11" si="14">F13</f>
        <v>5.0999999999999996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4.4000000000000004</v>
      </c>
      <c r="E12" s="100">
        <f t="shared" si="1"/>
        <v>4.4000000000000004</v>
      </c>
      <c r="F12" s="100">
        <f t="shared" si="2"/>
        <v>4.5</v>
      </c>
      <c r="G12" s="100">
        <f t="shared" si="3"/>
        <v>6</v>
      </c>
      <c r="H12" s="100">
        <f t="shared" si="4"/>
        <v>6.99</v>
      </c>
      <c r="I12" s="101">
        <f t="shared" si="5"/>
        <v>158.4</v>
      </c>
      <c r="J12" s="101">
        <f t="shared" si="6"/>
        <v>219.87045000000001</v>
      </c>
      <c r="K12" s="102"/>
      <c r="O12" t="str">
        <f>A20</f>
        <v>Leo Hilpinen</v>
      </c>
      <c r="P12" s="103">
        <f>E20</f>
        <v>6</v>
      </c>
      <c r="Q12" s="103">
        <f t="shared" ref="Q12:S12" si="15">F20</f>
        <v>6.1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5</v>
      </c>
      <c r="E13" s="100">
        <f t="shared" si="1"/>
        <v>5</v>
      </c>
      <c r="F13" s="100">
        <f t="shared" si="2"/>
        <v>5.0999999999999996</v>
      </c>
      <c r="G13" s="100">
        <f t="shared" si="3"/>
        <v>1</v>
      </c>
      <c r="H13" s="100">
        <f t="shared" si="4"/>
        <v>1.99</v>
      </c>
      <c r="I13" s="101">
        <f t="shared" si="5"/>
        <v>5</v>
      </c>
      <c r="J13" s="101">
        <f t="shared" si="6"/>
        <v>20.19651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4.3</v>
      </c>
      <c r="E14" s="100">
        <f t="shared" si="1"/>
        <v>4.3</v>
      </c>
      <c r="F14" s="100">
        <f t="shared" si="2"/>
        <v>4.3999999999999995</v>
      </c>
      <c r="G14" s="100">
        <f t="shared" si="3"/>
        <v>6</v>
      </c>
      <c r="H14" s="100">
        <f t="shared" si="4"/>
        <v>6.99</v>
      </c>
      <c r="I14" s="101">
        <f t="shared" si="5"/>
        <v>154.79999999999998</v>
      </c>
      <c r="J14" s="101">
        <f t="shared" si="6"/>
        <v>214.98443999999998</v>
      </c>
      <c r="K14" s="102"/>
      <c r="P14" s="32">
        <f>SUM(P4:P13)/10</f>
        <v>4.8800000000000008</v>
      </c>
      <c r="Q14" s="32">
        <f>SUM(Q4:Q13)/10</f>
        <v>4.9800000000000004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7.3</v>
      </c>
      <c r="E15" s="100">
        <f t="shared" si="1"/>
        <v>7.3</v>
      </c>
      <c r="F15" s="100">
        <f t="shared" si="2"/>
        <v>7.3999999999999995</v>
      </c>
      <c r="G15" s="100">
        <f t="shared" si="3"/>
        <v>1</v>
      </c>
      <c r="H15" s="100">
        <f t="shared" si="4"/>
        <v>1.99</v>
      </c>
      <c r="I15" s="101">
        <f t="shared" si="5"/>
        <v>7.3</v>
      </c>
      <c r="J15" s="101">
        <f t="shared" si="6"/>
        <v>29.304739999999999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5</v>
      </c>
      <c r="E16" s="100">
        <f t="shared" si="1"/>
        <v>5</v>
      </c>
      <c r="F16" s="100">
        <f t="shared" si="2"/>
        <v>5.0999999999999996</v>
      </c>
      <c r="G16" s="100">
        <f t="shared" si="3"/>
        <v>5</v>
      </c>
      <c r="H16" s="100">
        <f t="shared" si="4"/>
        <v>5.99</v>
      </c>
      <c r="I16" s="101">
        <f t="shared" si="5"/>
        <v>125</v>
      </c>
      <c r="J16" s="101">
        <f t="shared" si="6"/>
        <v>182.98851000000002</v>
      </c>
      <c r="K16" s="102"/>
      <c r="L16" s="51" t="s">
        <v>219</v>
      </c>
      <c r="O16" t="s">
        <v>220</v>
      </c>
      <c r="P16" s="29">
        <f>SUM(P3:P13)</f>
        <v>53.2</v>
      </c>
      <c r="Q16" s="29">
        <f>SUM(Q3:Q13)</f>
        <v>54.3</v>
      </c>
      <c r="R16" s="29"/>
    </row>
    <row r="17" spans="1:18" x14ac:dyDescent="0.25">
      <c r="A17" s="97" t="str">
        <f>Plantilla!D18</f>
        <v>Fernando Gazón</v>
      </c>
      <c r="B17" s="98">
        <f>Plantilla!E18</f>
        <v>23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3.1294117647058823</v>
      </c>
      <c r="Q17" s="32">
        <f>Q16/17</f>
        <v>3.1941176470588233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6.7</v>
      </c>
      <c r="E18" s="100">
        <f t="shared" si="1"/>
        <v>6.7</v>
      </c>
      <c r="F18" s="100">
        <f t="shared" si="2"/>
        <v>6.8</v>
      </c>
      <c r="G18" s="100">
        <f t="shared" si="3"/>
        <v>2</v>
      </c>
      <c r="H18" s="100">
        <f t="shared" si="4"/>
        <v>2.99</v>
      </c>
      <c r="I18" s="101">
        <f t="shared" si="5"/>
        <v>26.8</v>
      </c>
      <c r="J18" s="101">
        <f t="shared" si="6"/>
        <v>60.792680000000004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224</v>
      </c>
      <c r="O19" t="s">
        <v>225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6</v>
      </c>
      <c r="E20" s="100">
        <f t="shared" si="1"/>
        <v>6</v>
      </c>
      <c r="F20" s="100">
        <f t="shared" si="2"/>
        <v>6.1</v>
      </c>
      <c r="G20" s="100">
        <f t="shared" si="3"/>
        <v>3</v>
      </c>
      <c r="H20" s="100">
        <f t="shared" si="4"/>
        <v>3.99</v>
      </c>
      <c r="I20" s="101">
        <f t="shared" si="5"/>
        <v>54</v>
      </c>
      <c r="J20" s="101">
        <f t="shared" si="6"/>
        <v>97.112610000000004</v>
      </c>
      <c r="K20" s="102"/>
      <c r="L20" s="51" t="s">
        <v>226</v>
      </c>
      <c r="O20" t="s">
        <v>227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4.1052598105646236</v>
      </c>
      <c r="Q21" s="82">
        <f>Q17+Q20</f>
        <v>4.4084101735980141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K24" sqref="K2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4" t="s">
        <v>3</v>
      </c>
      <c r="B1" s="134" t="s">
        <v>29</v>
      </c>
      <c r="C1" s="134" t="s">
        <v>69</v>
      </c>
      <c r="D1" s="135" t="s">
        <v>373</v>
      </c>
      <c r="E1" s="135" t="s">
        <v>214</v>
      </c>
      <c r="F1" s="135" t="s">
        <v>215</v>
      </c>
      <c r="H1" s="134" t="s">
        <v>374</v>
      </c>
      <c r="I1" s="134" t="s">
        <v>29</v>
      </c>
      <c r="J1" s="134" t="s">
        <v>69</v>
      </c>
      <c r="K1" s="134" t="str">
        <f>D1</f>
        <v>N_CA</v>
      </c>
      <c r="L1" s="135" t="s">
        <v>214</v>
      </c>
      <c r="M1" s="135" t="s">
        <v>215</v>
      </c>
      <c r="O1" s="134" t="s">
        <v>374</v>
      </c>
      <c r="P1" s="134" t="s">
        <v>29</v>
      </c>
      <c r="Q1" s="134" t="s">
        <v>69</v>
      </c>
      <c r="R1" s="134" t="str">
        <f>K1</f>
        <v>N_CA</v>
      </c>
      <c r="S1" s="135" t="s">
        <v>214</v>
      </c>
      <c r="T1" s="135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12.643905948312714</v>
      </c>
      <c r="C2" s="29">
        <f ca="1">Plantilla!AB4+Plantilla!N4+Plantilla!J4</f>
        <v>1.7689059483127136</v>
      </c>
      <c r="D2" s="82">
        <f ca="1">(C2*2+B2)/8</f>
        <v>2.0227147306172677</v>
      </c>
      <c r="E2" s="29">
        <f ca="1">D2*Plantilla!R4</f>
        <v>1.709505960683229</v>
      </c>
      <c r="F2" s="29">
        <f ca="1">D2*Plantilla!S4</f>
        <v>1.8711087446416803</v>
      </c>
      <c r="H2" s="32" t="str">
        <f>A6</f>
        <v>Berto Abandero</v>
      </c>
      <c r="I2" s="29">
        <f t="shared" ref="I2:M2" ca="1" si="0">B6</f>
        <v>14.535016220220852</v>
      </c>
      <c r="J2" s="29">
        <f t="shared" ca="1" si="0"/>
        <v>11.841834402039034</v>
      </c>
      <c r="K2" s="82">
        <f ca="1">(J2*2+I2)/8</f>
        <v>4.7773356280373651</v>
      </c>
      <c r="L2" s="32">
        <f t="shared" ca="1" si="0"/>
        <v>4.4229533477965184</v>
      </c>
      <c r="M2" s="32">
        <f t="shared" ca="1" si="0"/>
        <v>4.7739220258665576</v>
      </c>
      <c r="O2" t="str">
        <f>A2</f>
        <v>Cosme Fonteboa</v>
      </c>
      <c r="P2" s="29">
        <f ca="1">I2</f>
        <v>14.535016220220852</v>
      </c>
      <c r="Q2" s="29">
        <f ca="1">J2</f>
        <v>11.841834402039034</v>
      </c>
      <c r="R2" s="82">
        <f ca="1">(Q2*2+P2)/8</f>
        <v>4.7773356280373651</v>
      </c>
      <c r="S2" s="32">
        <f ca="1">E2</f>
        <v>1.709505960683229</v>
      </c>
      <c r="T2" s="32">
        <f ca="1">F2</f>
        <v>1.8711087446416803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0.94806401783911909</v>
      </c>
      <c r="F3" s="29">
        <f ca="1">D3*Plantilla!S5</f>
        <v>0.94806401783911909</v>
      </c>
      <c r="H3" s="32" t="str">
        <f>A7</f>
        <v>Guillermo Pedrajas</v>
      </c>
      <c r="I3" s="29">
        <f t="shared" ref="I3:M3" ca="1" si="2">B7</f>
        <v>12.514173576676319</v>
      </c>
      <c r="J3" s="29">
        <f t="shared" ca="1" si="2"/>
        <v>10.879252941755682</v>
      </c>
      <c r="K3" s="82">
        <f t="shared" ref="K3:K6" ca="1" si="3">(J3*2+I3)/8</f>
        <v>4.2840849325234602</v>
      </c>
      <c r="L3" s="32">
        <f t="shared" ca="1" si="2"/>
        <v>3.9662919396629541</v>
      </c>
      <c r="M3" s="32">
        <f t="shared" ca="1" si="2"/>
        <v>4.2810237781972376</v>
      </c>
      <c r="O3" t="str">
        <f>A7</f>
        <v>Guillermo Pedrajas</v>
      </c>
      <c r="P3" s="29">
        <f t="shared" ref="P3:P5" ca="1" si="4">I3</f>
        <v>12.514173576676319</v>
      </c>
      <c r="Q3" s="29">
        <f t="shared" ref="Q3:Q5" ca="1" si="5">J3</f>
        <v>10.879252941755682</v>
      </c>
      <c r="R3" s="82">
        <f t="shared" ref="R3:R5" ca="1" si="6">(Q3*2+P3)/8</f>
        <v>4.2840849325234602</v>
      </c>
      <c r="S3" s="32">
        <f ca="1">E7</f>
        <v>3.9662919396629541</v>
      </c>
      <c r="T3" s="32">
        <f ca="1">F7</f>
        <v>4.2810237781972376</v>
      </c>
    </row>
    <row r="4" spans="1:20" x14ac:dyDescent="0.25">
      <c r="A4" t="str">
        <f>Plantilla!D6</f>
        <v>Miguel Fernández</v>
      </c>
      <c r="B4" s="29">
        <f ca="1">Plantilla!Y6+Plantilla!N6+Plantilla!J6</f>
        <v>16.277516433541344</v>
      </c>
      <c r="C4" s="29">
        <f ca="1">Plantilla!AB6+Plantilla!N6+Plantilla!J6</f>
        <v>7.4650164335413427</v>
      </c>
      <c r="D4" s="82">
        <f t="shared" ca="1" si="1"/>
        <v>3.9009436625780038</v>
      </c>
      <c r="E4" s="29">
        <f ca="1">D4*Plantilla!R6</f>
        <v>2.9488362313299596</v>
      </c>
      <c r="F4" s="29">
        <f ca="1">D4*Plantilla!S6</f>
        <v>3.2936005846500787</v>
      </c>
      <c r="H4" t="str">
        <f>A10</f>
        <v>Will Duffill</v>
      </c>
      <c r="I4" s="29">
        <f t="shared" ref="I4:M4" ca="1" si="7">B10</f>
        <v>13.093172240589347</v>
      </c>
      <c r="J4" s="29">
        <f t="shared" ca="1" si="7"/>
        <v>9.1209500183671253</v>
      </c>
      <c r="K4" s="82">
        <f t="shared" ca="1" si="3"/>
        <v>3.9168840346654497</v>
      </c>
      <c r="L4" s="32">
        <f t="shared" ca="1" si="7"/>
        <v>3.6263299677714804</v>
      </c>
      <c r="M4" s="32">
        <f t="shared" ca="1" si="7"/>
        <v>3.9140852604355074</v>
      </c>
      <c r="O4" t="str">
        <f t="shared" ref="O4" si="8">A4</f>
        <v>Miguel Fernández</v>
      </c>
      <c r="P4" s="29">
        <f t="shared" ca="1" si="4"/>
        <v>13.093172240589347</v>
      </c>
      <c r="Q4" s="29">
        <f t="shared" ca="1" si="5"/>
        <v>9.1209500183671253</v>
      </c>
      <c r="R4" s="82">
        <f t="shared" ca="1" si="6"/>
        <v>3.9168840346654497</v>
      </c>
      <c r="S4" s="32">
        <f ca="1">E4</f>
        <v>2.9488362313299596</v>
      </c>
      <c r="T4" s="32">
        <f ca="1">F4</f>
        <v>3.2936005846500787</v>
      </c>
    </row>
    <row r="5" spans="1:20" x14ac:dyDescent="0.25">
      <c r="A5" t="str">
        <f>Plantilla!D7</f>
        <v>Iván Real Figueroa</v>
      </c>
      <c r="B5" s="29">
        <f ca="1">Plantilla!Y7+Plantilla!N7+Plantilla!J7</f>
        <v>16.3820983156503</v>
      </c>
      <c r="C5" s="29">
        <f ca="1">Plantilla!AB7+Plantilla!N7+Plantilla!J7</f>
        <v>6.8820983156502979</v>
      </c>
      <c r="D5" s="82">
        <f t="shared" ca="1" si="1"/>
        <v>3.768286868368862</v>
      </c>
      <c r="E5" s="29">
        <f ca="1">D5*Plantilla!R7</f>
        <v>3.488755724444855</v>
      </c>
      <c r="F5" s="29">
        <f ca="1">D5*Plantilla!S7</f>
        <v>3.7655942729065299</v>
      </c>
      <c r="H5" s="32" t="str">
        <f>A5</f>
        <v>Iván Real Figueroa</v>
      </c>
      <c r="I5" s="29">
        <f t="shared" ref="I5:M5" ca="1" si="9">B5</f>
        <v>16.3820983156503</v>
      </c>
      <c r="J5" s="29">
        <f t="shared" ca="1" si="9"/>
        <v>6.8820983156502979</v>
      </c>
      <c r="K5" s="82">
        <f t="shared" ca="1" si="3"/>
        <v>3.768286868368862</v>
      </c>
      <c r="L5" s="32">
        <f t="shared" ca="1" si="9"/>
        <v>3.488755724444855</v>
      </c>
      <c r="M5" s="32">
        <f t="shared" ca="1" si="9"/>
        <v>3.7655942729065299</v>
      </c>
      <c r="O5" s="32" t="str">
        <f>H5</f>
        <v>Iván Real Figueroa</v>
      </c>
      <c r="P5" s="29">
        <f t="shared" ca="1" si="4"/>
        <v>16.3820983156503</v>
      </c>
      <c r="Q5" s="29">
        <f t="shared" ca="1" si="5"/>
        <v>6.8820983156502979</v>
      </c>
      <c r="R5" s="82">
        <f t="shared" ca="1" si="6"/>
        <v>3.768286868368862</v>
      </c>
      <c r="S5" s="32">
        <f ca="1">L5</f>
        <v>3.488755724444855</v>
      </c>
      <c r="T5" s="32">
        <f ca="1">M5</f>
        <v>3.7655942729065299</v>
      </c>
    </row>
    <row r="6" spans="1:20" x14ac:dyDescent="0.25">
      <c r="A6" t="str">
        <f>Plantilla!D8</f>
        <v>Berto Abandero</v>
      </c>
      <c r="B6" s="29">
        <f ca="1">Plantilla!Y8+Plantilla!N8+Plantilla!J8</f>
        <v>14.535016220220852</v>
      </c>
      <c r="C6" s="29">
        <f ca="1">Plantilla!AB8+Plantilla!N8+Plantilla!J8</f>
        <v>11.841834402039034</v>
      </c>
      <c r="D6" s="82">
        <f t="shared" ca="1" si="1"/>
        <v>4.7773356280373651</v>
      </c>
      <c r="E6" s="29">
        <f ca="1">D6*Plantilla!R8</f>
        <v>4.4229533477965184</v>
      </c>
      <c r="F6" s="29">
        <f ca="1">D6*Plantilla!S8</f>
        <v>4.7739220258665576</v>
      </c>
      <c r="H6" t="str">
        <f>A4</f>
        <v>Miguel Fernández</v>
      </c>
      <c r="I6" s="29">
        <f t="shared" ref="I6:M6" ca="1" si="10">B4</f>
        <v>16.277516433541344</v>
      </c>
      <c r="J6" s="29">
        <f t="shared" ca="1" si="10"/>
        <v>7.4650164335413427</v>
      </c>
      <c r="K6" s="82">
        <f t="shared" ca="1" si="3"/>
        <v>3.9009436625780038</v>
      </c>
      <c r="L6" s="32">
        <f t="shared" ca="1" si="10"/>
        <v>2.9488362313299596</v>
      </c>
      <c r="M6" s="32">
        <f t="shared" ca="1" si="10"/>
        <v>3.2936005846500787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12.514173576676319</v>
      </c>
      <c r="C7" s="29">
        <f ca="1">Plantilla!AB9+Plantilla!N9+Plantilla!J9</f>
        <v>10.879252941755682</v>
      </c>
      <c r="D7" s="82">
        <f t="shared" ca="1" si="1"/>
        <v>4.2840849325234602</v>
      </c>
      <c r="E7" s="29">
        <f ca="1">D7*Plantilla!R9</f>
        <v>3.9662919396629541</v>
      </c>
      <c r="F7" s="29">
        <f ca="1">D7*Plantilla!S9</f>
        <v>4.2810237781972376</v>
      </c>
      <c r="K7" s="136">
        <f ca="1">SUM(K2:K6)</f>
        <v>20.647535126173143</v>
      </c>
      <c r="L7" s="136">
        <f t="shared" ref="L7:M7" ca="1" si="11">SUM(L2:L6)</f>
        <v>18.45316721100577</v>
      </c>
      <c r="M7" s="136">
        <f t="shared" ca="1" si="11"/>
        <v>20.028225922055913</v>
      </c>
      <c r="N7" s="136"/>
      <c r="O7" s="136"/>
      <c r="P7" s="136"/>
      <c r="Q7" s="136"/>
      <c r="R7" s="136">
        <f ca="1">SUM(R2:R6)</f>
        <v>16.746591463595138</v>
      </c>
      <c r="S7" s="136">
        <f t="shared" ref="S7:T7" ca="1" si="12">SUM(S2:S6)</f>
        <v>12.113389856120998</v>
      </c>
      <c r="T7" s="136">
        <f t="shared" ca="1" si="12"/>
        <v>13.211327380395526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0.10627747582256233</v>
      </c>
      <c r="M8" s="64">
        <f ca="1">(K7-M7)/K7</f>
        <v>2.9994340744924224E-2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13.957936901981583</v>
      </c>
      <c r="C9" s="29">
        <f ca="1">Plantilla!AB11+Plantilla!N11+Plantilla!J11</f>
        <v>6.3579369019815832</v>
      </c>
      <c r="D9" s="82">
        <f t="shared" ca="1" si="1"/>
        <v>3.3342263382430937</v>
      </c>
      <c r="E9" s="29">
        <f ca="1">D9*Plantilla!R11</f>
        <v>3.3342263382430937</v>
      </c>
      <c r="F9" s="29">
        <f ca="1">D9*Plantilla!S11</f>
        <v>3.3342263382430937</v>
      </c>
    </row>
    <row r="10" spans="1:20" x14ac:dyDescent="0.25">
      <c r="A10" t="str">
        <f>Plantilla!D12</f>
        <v>Will Duffill</v>
      </c>
      <c r="B10" s="29">
        <f ca="1">Plantilla!Y12+Plantilla!N12+Plantilla!J12</f>
        <v>13.093172240589347</v>
      </c>
      <c r="C10" s="29">
        <f ca="1">Plantilla!AB12+Plantilla!N12+Plantilla!J12</f>
        <v>9.1209500183671253</v>
      </c>
      <c r="D10" s="82">
        <f t="shared" ca="1" si="1"/>
        <v>3.9168840346654497</v>
      </c>
      <c r="E10" s="29">
        <f ca="1">D10*Plantilla!R12</f>
        <v>3.6263299677714804</v>
      </c>
      <c r="F10" s="29">
        <f ca="1">D10*Plantilla!S12</f>
        <v>3.9140852604355074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12.715079759124441</v>
      </c>
      <c r="C11" s="29">
        <f ca="1">Plantilla!AB13+Plantilla!N13+Plantilla!J13</f>
        <v>8.0579369019815843</v>
      </c>
      <c r="D11" s="82">
        <f t="shared" ca="1" si="1"/>
        <v>3.6038691953859514</v>
      </c>
      <c r="E11" s="29">
        <f ca="1">D11*Plantilla!R13</f>
        <v>3.0458253839654725</v>
      </c>
      <c r="F11" s="29">
        <f ca="1">D11*Plantilla!S13</f>
        <v>3.3337529331057039</v>
      </c>
    </row>
    <row r="12" spans="1:20" x14ac:dyDescent="0.25">
      <c r="A12" t="str">
        <f>Plantilla!D14</f>
        <v>Enrique Cubas</v>
      </c>
      <c r="B12" s="29">
        <f>Plantilla!Y14+Plantilla!N14+Plantilla!J14</f>
        <v>11.860531434352787</v>
      </c>
      <c r="C12" s="29">
        <f>Plantilla!AB14+Plantilla!N14+Plantilla!J14</f>
        <v>8.6319600057813588</v>
      </c>
      <c r="D12" s="82">
        <f t="shared" si="1"/>
        <v>3.640556430739438</v>
      </c>
      <c r="E12" s="29">
        <f>D12*Plantilla!R14</f>
        <v>3.3705003179347903</v>
      </c>
      <c r="F12" s="29">
        <f>D12*Plantilla!S14</f>
        <v>3.6379551039115752</v>
      </c>
      <c r="H12" s="137" t="s">
        <v>374</v>
      </c>
      <c r="I12" s="137" t="s">
        <v>29</v>
      </c>
      <c r="J12" s="137" t="s">
        <v>69</v>
      </c>
      <c r="K12" s="138" t="s">
        <v>373</v>
      </c>
      <c r="L12" s="138" t="s">
        <v>214</v>
      </c>
      <c r="M12" s="138" t="s">
        <v>215</v>
      </c>
      <c r="O12" s="137" t="s">
        <v>374</v>
      </c>
      <c r="P12" s="137" t="s">
        <v>29</v>
      </c>
      <c r="Q12" s="137" t="s">
        <v>69</v>
      </c>
      <c r="R12" s="137" t="str">
        <f>K12</f>
        <v>N_CA</v>
      </c>
      <c r="S12" s="138" t="s">
        <v>214</v>
      </c>
      <c r="T12" s="138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11.701767464582307</v>
      </c>
      <c r="C13" s="29">
        <f ca="1">Plantilla!AB15+Plantilla!N15+Plantilla!J15</f>
        <v>7.0946246074394486</v>
      </c>
      <c r="D13" s="82">
        <f t="shared" ca="1" si="1"/>
        <v>3.2363770849326503</v>
      </c>
      <c r="E13" s="29">
        <f ca="1">D13*Plantilla!R15</f>
        <v>2.7352378632367031</v>
      </c>
      <c r="F13" s="29">
        <f ca="1">D13*Plantilla!S15</f>
        <v>2.9938049952933565</v>
      </c>
      <c r="H13" s="32" t="str">
        <f>H2</f>
        <v>Berto Abandero</v>
      </c>
      <c r="I13" s="29">
        <f ca="1">I2</f>
        <v>14.535016220220852</v>
      </c>
      <c r="J13" s="29">
        <f ca="1">J2</f>
        <v>11.841834402039034</v>
      </c>
      <c r="K13" s="82">
        <f ca="1">(J13*2+I13)/8</f>
        <v>4.7773356280373651</v>
      </c>
      <c r="L13" s="32">
        <f ca="1">K13*(1-$L$8)</f>
        <v>4.269612456332359</v>
      </c>
      <c r="M13" s="32">
        <f ca="1">K13*(1-$M$8)</f>
        <v>4.6340425953571458</v>
      </c>
      <c r="O13" s="32" t="str">
        <f>H13</f>
        <v>Berto Abandero</v>
      </c>
      <c r="P13" s="32">
        <f t="shared" ref="P13:Q13" ca="1" si="13">I13</f>
        <v>14.535016220220852</v>
      </c>
      <c r="Q13" s="32">
        <f t="shared" ca="1" si="13"/>
        <v>11.841834402039034</v>
      </c>
      <c r="R13" s="82">
        <f ca="1">(Q13*2+P13)/8</f>
        <v>4.7773356280373651</v>
      </c>
      <c r="S13" s="32">
        <f ca="1">L13</f>
        <v>4.269612456332359</v>
      </c>
      <c r="T13" s="32">
        <f ca="1">M13</f>
        <v>4.6340425953571458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10.674003766572172</v>
      </c>
      <c r="C14" s="29">
        <f ca="1">Plantilla!AB16+Plantilla!N16+Plantilla!J16</f>
        <v>8.7057497983182035</v>
      </c>
      <c r="D14" s="82">
        <f t="shared" ca="1" si="1"/>
        <v>3.5106879204010726</v>
      </c>
      <c r="E14" s="29">
        <f ca="1">D14*Plantilla!R16</f>
        <v>3.5106879204010726</v>
      </c>
      <c r="F14" s="29">
        <f ca="1">D14*Plantilla!S16</f>
        <v>3.5106879204010726</v>
      </c>
      <c r="H14" s="32" t="str">
        <f t="shared" ref="H14:I17" si="14">H3</f>
        <v>Guillermo Pedrajas</v>
      </c>
      <c r="I14" s="29">
        <f t="shared" ca="1" si="14"/>
        <v>12.514173576676319</v>
      </c>
      <c r="J14" s="29">
        <f t="shared" ref="J14:J17" ca="1" si="15">J3</f>
        <v>10.879252941755682</v>
      </c>
      <c r="K14" s="82">
        <f t="shared" ref="K14:K17" ca="1" si="16">(J14*2+I14)/8</f>
        <v>4.2840849325234602</v>
      </c>
      <c r="L14" s="32">
        <f t="shared" ref="L14:L17" ca="1" si="17">K14*(1-$L$8)</f>
        <v>3.8287831996853949</v>
      </c>
      <c r="M14" s="32">
        <f t="shared" ref="M14:M17" ca="1" si="18">K14*(1-$M$8)</f>
        <v>4.1555866292771562</v>
      </c>
      <c r="O14" s="32" t="str">
        <f t="shared" ref="O14:O16" si="19">H14</f>
        <v>Guillermo Pedrajas</v>
      </c>
      <c r="P14" s="32">
        <f t="shared" ref="P14:P16" ca="1" si="20">I14</f>
        <v>12.514173576676319</v>
      </c>
      <c r="Q14" s="32">
        <f t="shared" ref="Q14:Q16" ca="1" si="21">J14</f>
        <v>10.879252941755682</v>
      </c>
      <c r="R14" s="82">
        <f t="shared" ref="R14:R16" ca="1" si="22">(Q14*2+P14)/8</f>
        <v>4.2840849325234602</v>
      </c>
      <c r="S14" s="32">
        <f t="shared" ref="S14:S16" ca="1" si="23">L14</f>
        <v>3.8287831996853949</v>
      </c>
      <c r="T14" s="32">
        <f t="shared" ref="T14:T16" ca="1" si="24">M14</f>
        <v>4.1555866292771562</v>
      </c>
    </row>
    <row r="15" spans="1:20" x14ac:dyDescent="0.25">
      <c r="A15" t="str">
        <f>Plantilla!D17</f>
        <v>Fabien Fabre</v>
      </c>
      <c r="B15" s="29">
        <f ca="1">Plantilla!Y17+Plantilla!N17+Plantilla!J17</f>
        <v>7.780604514056054</v>
      </c>
      <c r="C15" s="29">
        <f ca="1">Plantilla!AB17+Plantilla!N17+Plantilla!J17</f>
        <v>5.822271180722721</v>
      </c>
      <c r="D15" s="82">
        <f t="shared" ca="1" si="1"/>
        <v>2.4281433594376871</v>
      </c>
      <c r="E15" s="29">
        <f ca="1">D15*Plantilla!R17</f>
        <v>2.2480239272966576</v>
      </c>
      <c r="F15" s="29">
        <f ca="1">D15*Plantilla!S17</f>
        <v>2.4264083514566352</v>
      </c>
      <c r="H15" s="32" t="str">
        <f t="shared" si="14"/>
        <v>Will Duffill</v>
      </c>
      <c r="I15" s="29">
        <f t="shared" ca="1" si="14"/>
        <v>13.093172240589347</v>
      </c>
      <c r="J15" s="29">
        <f t="shared" ca="1" si="15"/>
        <v>9.1209500183671253</v>
      </c>
      <c r="K15" s="82">
        <f t="shared" ca="1" si="16"/>
        <v>3.9168840346654497</v>
      </c>
      <c r="L15" s="32">
        <f t="shared" ca="1" si="17"/>
        <v>3.500607486371512</v>
      </c>
      <c r="M15" s="32">
        <f t="shared" ca="1" si="18"/>
        <v>3.7993996802713403</v>
      </c>
      <c r="O15" s="32" t="str">
        <f t="shared" si="19"/>
        <v>Will Duffill</v>
      </c>
      <c r="P15" s="32">
        <f t="shared" ca="1" si="20"/>
        <v>13.093172240589347</v>
      </c>
      <c r="Q15" s="32">
        <f t="shared" ca="1" si="21"/>
        <v>9.1209500183671253</v>
      </c>
      <c r="R15" s="82">
        <f t="shared" ca="1" si="22"/>
        <v>3.9168840346654497</v>
      </c>
      <c r="S15" s="32">
        <f t="shared" ca="1" si="23"/>
        <v>3.500607486371512</v>
      </c>
      <c r="T15" s="32">
        <f t="shared" ca="1" si="24"/>
        <v>3.7993996802713403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16.3820983156503</v>
      </c>
      <c r="J16" s="29">
        <f t="shared" ca="1" si="15"/>
        <v>6.8820983156502979</v>
      </c>
      <c r="K16" s="82">
        <f t="shared" ca="1" si="16"/>
        <v>3.768286868368862</v>
      </c>
      <c r="L16" s="32">
        <f t="shared" ca="1" si="17"/>
        <v>3.3678028518233112</v>
      </c>
      <c r="M16" s="32">
        <f t="shared" ca="1" si="18"/>
        <v>3.655259588014383</v>
      </c>
      <c r="O16" s="32" t="str">
        <f t="shared" si="19"/>
        <v>Iván Real Figueroa</v>
      </c>
      <c r="P16" s="32">
        <f t="shared" ca="1" si="20"/>
        <v>16.3820983156503</v>
      </c>
      <c r="Q16" s="32">
        <f t="shared" ca="1" si="21"/>
        <v>6.8820983156502979</v>
      </c>
      <c r="R16" s="82">
        <f t="shared" ca="1" si="22"/>
        <v>3.768286868368862</v>
      </c>
      <c r="S16" s="32">
        <f t="shared" ca="1" si="23"/>
        <v>3.3678028518233112</v>
      </c>
      <c r="T16" s="32">
        <f t="shared" ca="1" si="24"/>
        <v>3.655259588014383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6.9395962489640555</v>
      </c>
      <c r="C17" s="29">
        <f ca="1">Plantilla!AB19+Plantilla!N19+Plantilla!J19</f>
        <v>9.1395962489640556</v>
      </c>
      <c r="D17" s="82">
        <f t="shared" ca="1" si="1"/>
        <v>3.1523485933615207</v>
      </c>
      <c r="E17" s="29">
        <f ca="1">D17*Plantilla!R19</f>
        <v>2.9185076892238251</v>
      </c>
      <c r="F17" s="29">
        <f ca="1">D17*Plantilla!S19</f>
        <v>3.1500961110493533</v>
      </c>
      <c r="H17" s="32" t="str">
        <f t="shared" si="14"/>
        <v>Miguel Fernández</v>
      </c>
      <c r="I17" s="29">
        <f t="shared" ca="1" si="14"/>
        <v>16.277516433541344</v>
      </c>
      <c r="J17" s="29">
        <f t="shared" ca="1" si="15"/>
        <v>7.4650164335413427</v>
      </c>
      <c r="K17" s="82">
        <f t="shared" ca="1" si="16"/>
        <v>3.9009436625780038</v>
      </c>
      <c r="L17" s="32">
        <f t="shared" ca="1" si="17"/>
        <v>3.4863612167931923</v>
      </c>
      <c r="M17" s="32">
        <f t="shared" ca="1" si="18"/>
        <v>3.7839374291358863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7.9193673929507744</v>
      </c>
      <c r="C18" s="29">
        <f ca="1">Plantilla!AB20+Plantilla!N20+Plantilla!J20</f>
        <v>11.030478504061884</v>
      </c>
      <c r="D18" s="82">
        <f t="shared" ca="1" si="1"/>
        <v>3.747540550134318</v>
      </c>
      <c r="E18" s="29">
        <f ca="1">D18*Plantilla!R20</f>
        <v>3.4695483660270363</v>
      </c>
      <c r="F18" s="29">
        <f ca="1">D18*Plantilla!S20</f>
        <v>3.7448627787669371</v>
      </c>
      <c r="K18" s="136">
        <f ca="1">SUM(K13:K17)</f>
        <v>20.647535126173143</v>
      </c>
      <c r="L18" s="136">
        <f t="shared" ref="L18:M18" ca="1" si="25">SUM(L13:L17)</f>
        <v>18.45316721100577</v>
      </c>
      <c r="M18" s="136">
        <f t="shared" ca="1" si="25"/>
        <v>20.028225922055913</v>
      </c>
      <c r="N18" s="136"/>
      <c r="O18" s="136"/>
      <c r="P18" s="136"/>
      <c r="Q18" s="136"/>
      <c r="R18" s="136">
        <f ca="1">SUM(R13:R17)</f>
        <v>16.746591463595138</v>
      </c>
      <c r="S18" s="136">
        <f t="shared" ref="S18:T18" ca="1" si="26">SUM(S13:S17)</f>
        <v>14.966805994212578</v>
      </c>
      <c r="T18" s="136">
        <f t="shared" ca="1" si="26"/>
        <v>16.244288492920028</v>
      </c>
    </row>
    <row r="19" spans="1:20" x14ac:dyDescent="0.25">
      <c r="A19" t="str">
        <f>Plantilla!D21</f>
        <v>Leo Hilpinen</v>
      </c>
      <c r="B19" s="29">
        <f ca="1">Plantilla!Y21+Plantilla!N21+Plantilla!J21</f>
        <v>6.4524613115739884</v>
      </c>
      <c r="C19" s="29">
        <f ca="1">Plantilla!AB21+Plantilla!N21+Plantilla!J21</f>
        <v>10.59531845443113</v>
      </c>
      <c r="D19" s="82">
        <f t="shared" ca="1" si="1"/>
        <v>3.4553872775545309</v>
      </c>
      <c r="E19" s="29">
        <f ca="1">D19*Plantilla!R21</f>
        <v>3.4553872775545309</v>
      </c>
      <c r="F19" s="29">
        <f ca="1">D19*Plantilla!S21</f>
        <v>3.4553872775545309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30"/>
  <sheetViews>
    <sheetView workbookViewId="0">
      <selection activeCell="P8" sqref="P8"/>
    </sheetView>
  </sheetViews>
  <sheetFormatPr baseColWidth="10" defaultRowHeight="15" x14ac:dyDescent="0.25"/>
  <cols>
    <col min="1" max="1" width="12.5703125" style="133" customWidth="1"/>
    <col min="2" max="2" width="17.7109375" style="133" bestFit="1" customWidth="1"/>
    <col min="3" max="3" width="27.140625" style="133" bestFit="1" customWidth="1"/>
    <col min="4" max="4" width="17.28515625" style="133" bestFit="1" customWidth="1"/>
    <col min="5" max="5" width="4.28515625" style="133" bestFit="1" customWidth="1"/>
    <col min="6" max="6" width="13.5703125" style="133" bestFit="1" customWidth="1"/>
    <col min="7" max="7" width="11.7109375" style="133" bestFit="1" customWidth="1"/>
    <col min="8" max="8" width="16.85546875" style="133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385</v>
      </c>
      <c r="E1" s="48" t="s">
        <v>386</v>
      </c>
      <c r="F1" s="48" t="s">
        <v>387</v>
      </c>
      <c r="G1" s="48" t="s">
        <v>388</v>
      </c>
      <c r="H1" s="48" t="s">
        <v>389</v>
      </c>
      <c r="J1" s="440" t="s">
        <v>680</v>
      </c>
      <c r="K1" t="s">
        <v>688</v>
      </c>
      <c r="L1" t="s">
        <v>682</v>
      </c>
      <c r="M1" t="s">
        <v>683</v>
      </c>
      <c r="N1" s="133" t="s">
        <v>89</v>
      </c>
    </row>
    <row r="2" spans="1:14" x14ac:dyDescent="0.25">
      <c r="A2" s="149">
        <v>43617</v>
      </c>
      <c r="B2" s="133" t="s">
        <v>406</v>
      </c>
      <c r="C2" s="151" t="s">
        <v>390</v>
      </c>
      <c r="D2" s="133">
        <v>5</v>
      </c>
      <c r="E2" s="133">
        <v>3</v>
      </c>
      <c r="F2" s="43">
        <f t="shared" ref="F2:F30" si="0">E2/D2</f>
        <v>0.6</v>
      </c>
      <c r="G2" s="133">
        <v>16</v>
      </c>
      <c r="H2" s="34">
        <f>(15+10+14+10+11+10+13+14+13+10+12)/11</f>
        <v>12</v>
      </c>
      <c r="J2" s="441">
        <v>14</v>
      </c>
      <c r="K2" s="442">
        <v>1</v>
      </c>
      <c r="L2" s="442">
        <v>7</v>
      </c>
      <c r="M2" s="442">
        <v>2</v>
      </c>
      <c r="N2" s="65">
        <f>M2/L2</f>
        <v>0.2857142857142857</v>
      </c>
    </row>
    <row r="3" spans="1:14" x14ac:dyDescent="0.25">
      <c r="A3" s="149">
        <v>43624</v>
      </c>
      <c r="B3" s="151" t="s">
        <v>405</v>
      </c>
      <c r="C3" s="151" t="s">
        <v>390</v>
      </c>
      <c r="D3" s="133">
        <v>4</v>
      </c>
      <c r="E3" s="133">
        <v>2</v>
      </c>
      <c r="F3" s="43">
        <f t="shared" si="0"/>
        <v>0.5</v>
      </c>
      <c r="G3" s="133">
        <v>16</v>
      </c>
      <c r="H3" s="34">
        <f t="shared" ref="H3:H20" si="1">(15+10+14+14+11+10+13+14+13+10+10)/11</f>
        <v>12.181818181818182</v>
      </c>
      <c r="J3" s="441">
        <v>16</v>
      </c>
      <c r="K3" s="442">
        <v>13</v>
      </c>
      <c r="L3" s="442">
        <v>84</v>
      </c>
      <c r="M3" s="442">
        <v>31</v>
      </c>
      <c r="N3" s="65">
        <f t="shared" ref="N3:N8" si="2">M3/L3</f>
        <v>0.36904761904761907</v>
      </c>
    </row>
    <row r="4" spans="1:14" x14ac:dyDescent="0.25">
      <c r="A4" s="149">
        <v>43633</v>
      </c>
      <c r="B4" s="151" t="s">
        <v>390</v>
      </c>
      <c r="C4" s="133" t="s">
        <v>403</v>
      </c>
      <c r="D4" s="133">
        <v>10</v>
      </c>
      <c r="E4" s="133">
        <v>3</v>
      </c>
      <c r="F4" s="150">
        <f t="shared" si="0"/>
        <v>0.3</v>
      </c>
      <c r="G4" s="133">
        <v>16</v>
      </c>
      <c r="H4" s="34">
        <f t="shared" si="1"/>
        <v>12.181818181818182</v>
      </c>
      <c r="J4" s="441">
        <v>17</v>
      </c>
      <c r="K4" s="442">
        <v>7</v>
      </c>
      <c r="L4" s="442">
        <v>50</v>
      </c>
      <c r="M4" s="442">
        <v>17</v>
      </c>
      <c r="N4" s="65">
        <f t="shared" si="2"/>
        <v>0.34</v>
      </c>
    </row>
    <row r="5" spans="1:14" x14ac:dyDescent="0.25">
      <c r="A5" s="149">
        <v>43633</v>
      </c>
      <c r="B5" s="151" t="s">
        <v>390</v>
      </c>
      <c r="C5" s="133" t="s">
        <v>404</v>
      </c>
      <c r="D5" s="133">
        <v>7</v>
      </c>
      <c r="E5" s="133">
        <v>3</v>
      </c>
      <c r="F5" s="150">
        <f t="shared" si="0"/>
        <v>0.42857142857142855</v>
      </c>
      <c r="G5" s="133">
        <v>16</v>
      </c>
      <c r="H5" s="34">
        <f t="shared" si="1"/>
        <v>12.181818181818182</v>
      </c>
      <c r="J5" s="441">
        <v>18</v>
      </c>
      <c r="K5" s="442">
        <v>3</v>
      </c>
      <c r="L5" s="442">
        <v>14</v>
      </c>
      <c r="M5" s="442">
        <v>4</v>
      </c>
      <c r="N5" s="65">
        <f t="shared" si="2"/>
        <v>0.2857142857142857</v>
      </c>
    </row>
    <row r="6" spans="1:14" x14ac:dyDescent="0.25">
      <c r="A6" s="149">
        <v>43634</v>
      </c>
      <c r="B6" s="133" t="s">
        <v>401</v>
      </c>
      <c r="C6" s="151" t="s">
        <v>390</v>
      </c>
      <c r="D6" s="133">
        <v>9</v>
      </c>
      <c r="E6" s="133">
        <v>3</v>
      </c>
      <c r="F6" s="150">
        <f t="shared" si="0"/>
        <v>0.33333333333333331</v>
      </c>
      <c r="G6" s="133">
        <v>16</v>
      </c>
      <c r="H6" s="34">
        <f t="shared" si="1"/>
        <v>12.181818181818182</v>
      </c>
      <c r="J6" s="441">
        <v>19</v>
      </c>
      <c r="K6" s="442">
        <v>3</v>
      </c>
      <c r="L6" s="442">
        <v>26</v>
      </c>
      <c r="M6" s="442">
        <v>12</v>
      </c>
      <c r="N6" s="65">
        <f t="shared" si="2"/>
        <v>0.46153846153846156</v>
      </c>
    </row>
    <row r="7" spans="1:14" x14ac:dyDescent="0.25">
      <c r="A7" s="149">
        <v>43634</v>
      </c>
      <c r="B7" s="133" t="s">
        <v>402</v>
      </c>
      <c r="C7" s="151" t="s">
        <v>390</v>
      </c>
      <c r="D7" s="133">
        <v>6</v>
      </c>
      <c r="E7" s="133">
        <v>2</v>
      </c>
      <c r="F7" s="150">
        <f t="shared" si="0"/>
        <v>0.33333333333333331</v>
      </c>
      <c r="G7" s="133">
        <v>16</v>
      </c>
      <c r="H7" s="34">
        <f t="shared" si="1"/>
        <v>12.181818181818182</v>
      </c>
      <c r="J7" s="441">
        <v>20</v>
      </c>
      <c r="K7" s="442">
        <v>2</v>
      </c>
      <c r="L7" s="442">
        <v>12</v>
      </c>
      <c r="M7" s="442">
        <v>7</v>
      </c>
      <c r="N7" s="65">
        <f t="shared" si="2"/>
        <v>0.58333333333333337</v>
      </c>
    </row>
    <row r="8" spans="1:14" x14ac:dyDescent="0.25">
      <c r="A8" s="149">
        <v>43635</v>
      </c>
      <c r="B8" s="151" t="s">
        <v>390</v>
      </c>
      <c r="C8" s="133" t="s">
        <v>399</v>
      </c>
      <c r="D8" s="133">
        <v>7</v>
      </c>
      <c r="E8" s="133">
        <v>2</v>
      </c>
      <c r="F8" s="150">
        <f t="shared" si="0"/>
        <v>0.2857142857142857</v>
      </c>
      <c r="G8" s="133">
        <v>16</v>
      </c>
      <c r="H8" s="34">
        <f t="shared" si="1"/>
        <v>12.181818181818182</v>
      </c>
      <c r="J8" s="441" t="s">
        <v>681</v>
      </c>
      <c r="K8" s="442">
        <v>29</v>
      </c>
      <c r="L8" s="442">
        <v>193</v>
      </c>
      <c r="M8" s="442">
        <v>73</v>
      </c>
      <c r="N8" s="65"/>
    </row>
    <row r="9" spans="1:14" x14ac:dyDescent="0.25">
      <c r="A9" s="149">
        <v>43635</v>
      </c>
      <c r="B9" s="151" t="s">
        <v>390</v>
      </c>
      <c r="C9" s="133" t="s">
        <v>400</v>
      </c>
      <c r="D9" s="133">
        <v>5</v>
      </c>
      <c r="E9" s="133">
        <v>2</v>
      </c>
      <c r="F9" s="150">
        <f t="shared" si="0"/>
        <v>0.4</v>
      </c>
      <c r="G9" s="133">
        <v>16</v>
      </c>
      <c r="H9" s="34">
        <f t="shared" si="1"/>
        <v>12.181818181818182</v>
      </c>
    </row>
    <row r="10" spans="1:14" x14ac:dyDescent="0.25">
      <c r="A10" s="149">
        <v>43636</v>
      </c>
      <c r="B10" s="133" t="s">
        <v>397</v>
      </c>
      <c r="C10" s="151" t="s">
        <v>390</v>
      </c>
      <c r="D10" s="133">
        <v>8</v>
      </c>
      <c r="E10" s="133">
        <v>3</v>
      </c>
      <c r="F10" s="150">
        <f t="shared" si="0"/>
        <v>0.375</v>
      </c>
      <c r="G10" s="133">
        <v>17</v>
      </c>
      <c r="H10" s="34">
        <f t="shared" si="1"/>
        <v>12.181818181818182</v>
      </c>
    </row>
    <row r="11" spans="1:14" x14ac:dyDescent="0.25">
      <c r="A11" s="149">
        <v>43636</v>
      </c>
      <c r="B11" s="133" t="s">
        <v>398</v>
      </c>
      <c r="C11" s="151" t="s">
        <v>390</v>
      </c>
      <c r="D11" s="133">
        <v>9</v>
      </c>
      <c r="E11" s="133">
        <v>2</v>
      </c>
      <c r="F11" s="150">
        <f t="shared" si="0"/>
        <v>0.22222222222222221</v>
      </c>
      <c r="G11" s="133">
        <v>16</v>
      </c>
      <c r="H11" s="34">
        <f t="shared" si="1"/>
        <v>12.181818181818182</v>
      </c>
      <c r="I11" s="34"/>
    </row>
    <row r="12" spans="1:14" x14ac:dyDescent="0.25">
      <c r="A12" s="149">
        <v>43640</v>
      </c>
      <c r="B12" s="133" t="s">
        <v>396</v>
      </c>
      <c r="C12" s="151" t="s">
        <v>390</v>
      </c>
      <c r="D12" s="133">
        <v>3</v>
      </c>
      <c r="E12" s="133">
        <v>2</v>
      </c>
      <c r="F12" s="150">
        <f t="shared" si="0"/>
        <v>0.66666666666666663</v>
      </c>
      <c r="G12" s="133">
        <v>16</v>
      </c>
      <c r="H12" s="34">
        <f t="shared" si="1"/>
        <v>12.181818181818182</v>
      </c>
    </row>
    <row r="13" spans="1:14" x14ac:dyDescent="0.25">
      <c r="A13" s="149">
        <v>43641</v>
      </c>
      <c r="B13" s="151" t="s">
        <v>390</v>
      </c>
      <c r="C13" s="133" t="s">
        <v>393</v>
      </c>
      <c r="D13" s="133">
        <v>8</v>
      </c>
      <c r="E13" s="133">
        <v>3</v>
      </c>
      <c r="F13" s="150">
        <f t="shared" si="0"/>
        <v>0.375</v>
      </c>
      <c r="G13" s="133">
        <v>17</v>
      </c>
      <c r="H13" s="34">
        <f t="shared" si="1"/>
        <v>12.181818181818182</v>
      </c>
    </row>
    <row r="14" spans="1:14" x14ac:dyDescent="0.25">
      <c r="A14" s="149">
        <v>43641</v>
      </c>
      <c r="B14" s="133" t="s">
        <v>394</v>
      </c>
      <c r="C14" s="151" t="s">
        <v>390</v>
      </c>
      <c r="D14" s="133">
        <v>6</v>
      </c>
      <c r="E14" s="133">
        <v>2</v>
      </c>
      <c r="F14" s="150">
        <f t="shared" si="0"/>
        <v>0.33333333333333331</v>
      </c>
      <c r="G14" s="133">
        <v>16</v>
      </c>
      <c r="H14" s="34">
        <f t="shared" si="1"/>
        <v>12.181818181818182</v>
      </c>
    </row>
    <row r="15" spans="1:14" x14ac:dyDescent="0.25">
      <c r="A15" s="149">
        <v>43641</v>
      </c>
      <c r="B15" s="151" t="s">
        <v>390</v>
      </c>
      <c r="C15" s="133" t="s">
        <v>395</v>
      </c>
      <c r="D15" s="133">
        <v>4</v>
      </c>
      <c r="E15" s="133">
        <v>2</v>
      </c>
      <c r="F15" s="150">
        <f t="shared" si="0"/>
        <v>0.5</v>
      </c>
      <c r="G15" s="133">
        <v>16</v>
      </c>
      <c r="H15" s="34">
        <f t="shared" si="1"/>
        <v>12.181818181818182</v>
      </c>
    </row>
    <row r="16" spans="1:14" x14ac:dyDescent="0.25">
      <c r="A16" s="149">
        <v>43642</v>
      </c>
      <c r="B16" s="151" t="s">
        <v>390</v>
      </c>
      <c r="C16" s="133" t="s">
        <v>391</v>
      </c>
      <c r="D16" s="133">
        <v>9</v>
      </c>
      <c r="E16" s="133">
        <v>3</v>
      </c>
      <c r="F16" s="150">
        <f t="shared" si="0"/>
        <v>0.33333333333333331</v>
      </c>
      <c r="G16" s="133">
        <v>16</v>
      </c>
      <c r="H16" s="34">
        <f t="shared" si="1"/>
        <v>12.181818181818182</v>
      </c>
    </row>
    <row r="17" spans="1:8" x14ac:dyDescent="0.25">
      <c r="A17" s="149">
        <v>43642</v>
      </c>
      <c r="B17" s="133" t="s">
        <v>392</v>
      </c>
      <c r="C17" s="151" t="s">
        <v>390</v>
      </c>
      <c r="D17" s="133">
        <v>7</v>
      </c>
      <c r="E17" s="133">
        <v>1</v>
      </c>
      <c r="F17" s="150">
        <f t="shared" si="0"/>
        <v>0.14285714285714285</v>
      </c>
      <c r="G17" s="133">
        <v>17</v>
      </c>
      <c r="H17" s="34">
        <f t="shared" si="1"/>
        <v>12.181818181818182</v>
      </c>
    </row>
    <row r="18" spans="1:8" x14ac:dyDescent="0.25">
      <c r="A18" s="149">
        <v>43643</v>
      </c>
      <c r="B18" s="133" t="s">
        <v>407</v>
      </c>
      <c r="C18" s="151" t="s">
        <v>390</v>
      </c>
      <c r="D18" s="133">
        <v>4</v>
      </c>
      <c r="E18" s="133">
        <v>2</v>
      </c>
      <c r="F18" s="43">
        <f t="shared" si="0"/>
        <v>0.5</v>
      </c>
      <c r="G18" s="133">
        <v>17</v>
      </c>
      <c r="H18" s="34">
        <f t="shared" si="1"/>
        <v>12.181818181818182</v>
      </c>
    </row>
    <row r="19" spans="1:8" x14ac:dyDescent="0.25">
      <c r="A19" s="149">
        <v>43643</v>
      </c>
      <c r="B19" s="151" t="s">
        <v>390</v>
      </c>
      <c r="C19" s="133" t="s">
        <v>408</v>
      </c>
      <c r="D19" s="133">
        <v>6</v>
      </c>
      <c r="E19" s="133">
        <v>1</v>
      </c>
      <c r="F19" s="43">
        <f t="shared" si="0"/>
        <v>0.16666666666666666</v>
      </c>
      <c r="G19" s="133">
        <v>17</v>
      </c>
      <c r="H19" s="34">
        <f t="shared" si="1"/>
        <v>12.181818181818182</v>
      </c>
    </row>
    <row r="20" spans="1:8" x14ac:dyDescent="0.25">
      <c r="A20" s="149">
        <v>43643</v>
      </c>
      <c r="B20" s="133" t="s">
        <v>409</v>
      </c>
      <c r="C20" s="151" t="s">
        <v>390</v>
      </c>
      <c r="D20" s="133">
        <v>7</v>
      </c>
      <c r="E20" s="133">
        <v>3</v>
      </c>
      <c r="F20" s="43">
        <f t="shared" si="0"/>
        <v>0.42857142857142855</v>
      </c>
      <c r="G20" s="133">
        <v>17</v>
      </c>
      <c r="H20" s="34">
        <f t="shared" si="1"/>
        <v>12.181818181818182</v>
      </c>
    </row>
    <row r="21" spans="1:8" x14ac:dyDescent="0.25">
      <c r="A21" s="149">
        <v>43644</v>
      </c>
      <c r="B21" s="151" t="s">
        <v>390</v>
      </c>
      <c r="C21" s="133" t="s">
        <v>674</v>
      </c>
      <c r="D21" s="133">
        <v>10</v>
      </c>
      <c r="E21" s="133">
        <v>4</v>
      </c>
      <c r="F21" s="43">
        <f t="shared" si="0"/>
        <v>0.4</v>
      </c>
      <c r="G21" s="133">
        <v>17</v>
      </c>
      <c r="H21" s="34">
        <f>(15+10+10+14+11+10+13+14+13+10+10)/11</f>
        <v>11.818181818181818</v>
      </c>
    </row>
    <row r="22" spans="1:8" x14ac:dyDescent="0.25">
      <c r="A22" s="149">
        <v>43652</v>
      </c>
      <c r="B22" s="151" t="s">
        <v>390</v>
      </c>
      <c r="C22" s="133" t="s">
        <v>678</v>
      </c>
      <c r="D22" s="133">
        <v>9</v>
      </c>
      <c r="E22" s="133">
        <v>5</v>
      </c>
      <c r="F22" s="43">
        <f t="shared" si="0"/>
        <v>0.55555555555555558</v>
      </c>
      <c r="G22" s="133">
        <v>19</v>
      </c>
      <c r="H22" s="34">
        <f>(15+10+14+10+12+10+14+13+14+10+9)/11</f>
        <v>11.909090909090908</v>
      </c>
    </row>
    <row r="23" spans="1:8" x14ac:dyDescent="0.25">
      <c r="A23" s="149">
        <v>43655</v>
      </c>
      <c r="B23" s="151" t="s">
        <v>390</v>
      </c>
      <c r="C23" s="133" t="s">
        <v>679</v>
      </c>
      <c r="D23" s="133">
        <v>5</v>
      </c>
      <c r="E23" s="133">
        <v>1</v>
      </c>
      <c r="F23" s="43">
        <f t="shared" si="0"/>
        <v>0.2</v>
      </c>
      <c r="G23" s="133">
        <v>18</v>
      </c>
      <c r="H23" s="34">
        <f>(15+10+14+10+12+10+14+13+14+10+9)/11</f>
        <v>11.909090909090908</v>
      </c>
    </row>
    <row r="24" spans="1:8" x14ac:dyDescent="0.25">
      <c r="A24" s="149">
        <v>43656</v>
      </c>
      <c r="B24" s="133" t="s">
        <v>684</v>
      </c>
      <c r="C24" s="151" t="s">
        <v>390</v>
      </c>
      <c r="D24" s="133">
        <v>6</v>
      </c>
      <c r="E24" s="133">
        <v>2</v>
      </c>
      <c r="F24" s="43">
        <f t="shared" si="0"/>
        <v>0.33333333333333331</v>
      </c>
      <c r="G24" s="133">
        <v>18</v>
      </c>
      <c r="H24" s="34">
        <f>(12+10+14+13+14+10+12+10+14+10+15)/11</f>
        <v>12.181818181818182</v>
      </c>
    </row>
    <row r="25" spans="1:8" x14ac:dyDescent="0.25">
      <c r="A25" s="149">
        <v>43656</v>
      </c>
      <c r="B25" s="151" t="s">
        <v>390</v>
      </c>
      <c r="C25" s="133" t="s">
        <v>685</v>
      </c>
      <c r="D25" s="133">
        <v>3</v>
      </c>
      <c r="E25" s="133">
        <v>1</v>
      </c>
      <c r="F25" s="43">
        <f t="shared" si="0"/>
        <v>0.33333333333333331</v>
      </c>
      <c r="G25" s="133">
        <v>18</v>
      </c>
      <c r="H25" s="34">
        <f>(15+10+14+10+12+10+14+13+12+10+12)/11</f>
        <v>12</v>
      </c>
    </row>
    <row r="26" spans="1:8" x14ac:dyDescent="0.25">
      <c r="A26" s="149">
        <v>43657</v>
      </c>
      <c r="B26" s="151" t="s">
        <v>390</v>
      </c>
      <c r="C26" s="133" t="s">
        <v>686</v>
      </c>
      <c r="D26" s="133">
        <v>12</v>
      </c>
      <c r="E26" s="133">
        <v>5</v>
      </c>
      <c r="F26" s="150">
        <f t="shared" si="0"/>
        <v>0.41666666666666669</v>
      </c>
      <c r="G26" s="133">
        <v>19</v>
      </c>
      <c r="H26" s="34">
        <f>(15+10+14+10+12+10+14+13+14+10+9)/11</f>
        <v>11.909090909090908</v>
      </c>
    </row>
    <row r="27" spans="1:8" x14ac:dyDescent="0.25">
      <c r="A27" s="149">
        <v>43663</v>
      </c>
      <c r="B27" s="151" t="s">
        <v>390</v>
      </c>
      <c r="C27" s="133" t="s">
        <v>687</v>
      </c>
      <c r="D27" s="133">
        <v>7</v>
      </c>
      <c r="E27" s="133">
        <v>4</v>
      </c>
      <c r="F27" s="43">
        <f t="shared" si="0"/>
        <v>0.5714285714285714</v>
      </c>
      <c r="G27" s="133">
        <v>20</v>
      </c>
      <c r="H27" s="34">
        <f>(15+12+14.5+10+12+11+14+13+14+9+12)/11</f>
        <v>12.409090909090908</v>
      </c>
    </row>
    <row r="28" spans="1:8" x14ac:dyDescent="0.25">
      <c r="A28" s="149">
        <v>43666</v>
      </c>
      <c r="B28" s="133" t="s">
        <v>405</v>
      </c>
      <c r="C28" s="151" t="s">
        <v>390</v>
      </c>
      <c r="D28" s="133">
        <v>5</v>
      </c>
      <c r="E28" s="133">
        <v>2</v>
      </c>
      <c r="F28" s="43">
        <f t="shared" si="0"/>
        <v>0.4</v>
      </c>
      <c r="G28" s="133">
        <v>19</v>
      </c>
      <c r="H28" s="34">
        <f>(15+9+9+12+10+14+12+10+13+12+10)/11</f>
        <v>11.454545454545455</v>
      </c>
    </row>
    <row r="29" spans="1:8" x14ac:dyDescent="0.25">
      <c r="A29" s="149">
        <v>43670</v>
      </c>
      <c r="B29" s="151" t="s">
        <v>390</v>
      </c>
      <c r="C29" s="133" t="s">
        <v>691</v>
      </c>
      <c r="D29" s="133">
        <v>7</v>
      </c>
      <c r="E29" s="133">
        <v>2</v>
      </c>
      <c r="F29" s="43">
        <f t="shared" si="0"/>
        <v>0.2857142857142857</v>
      </c>
      <c r="G29" s="133">
        <v>14</v>
      </c>
      <c r="H29" s="34">
        <f>(7+11+14+11+10+12+14+11+13+14+10)/11</f>
        <v>11.545454545454545</v>
      </c>
    </row>
    <row r="30" spans="1:8" x14ac:dyDescent="0.25">
      <c r="A30" s="149">
        <v>43672</v>
      </c>
      <c r="B30" s="133" t="s">
        <v>692</v>
      </c>
      <c r="C30" s="151" t="s">
        <v>390</v>
      </c>
      <c r="D30" s="133">
        <v>5</v>
      </c>
      <c r="E30" s="133">
        <v>3</v>
      </c>
      <c r="F30" s="43">
        <f t="shared" si="0"/>
        <v>0.6</v>
      </c>
      <c r="G30" s="133">
        <v>20</v>
      </c>
      <c r="H30" s="34">
        <f>(15+12+12+10+14+10+13+13+14+10+12)/11</f>
        <v>12.272727272727273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8" t="s">
        <v>122</v>
      </c>
      <c r="B1" s="468"/>
      <c r="C1" s="468"/>
      <c r="D1" s="468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9" t="s">
        <v>123</v>
      </c>
      <c r="B2" s="470" t="s">
        <v>124</v>
      </c>
      <c r="C2" s="470" t="s">
        <v>125</v>
      </c>
      <c r="D2" s="470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9"/>
      <c r="B3" s="470"/>
      <c r="C3" s="470"/>
      <c r="D3" s="470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2019-07-29T13:35:33Z</dcterms:modified>
</cp:coreProperties>
</file>