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33D82AD7-5FC3-4F51-AF48-624F1048020D}" xr6:coauthVersionLast="33" xr6:coauthVersionMax="33" xr10:uidLastSave="{00000000-0000-0000-0000-000000000000}"/>
  <bookViews>
    <workbookView xWindow="240" yWindow="105" windowWidth="14805" windowHeight="7350" xr2:uid="{00000000-000D-0000-FFFF-FFFF00000000}"/>
  </bookViews>
  <sheets>
    <sheet name="Danger-OBIWAN" sheetId="459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79017"/>
  <fileRecoveryPr autoRecover="0"/>
</workbook>
</file>

<file path=xl/calcChain.xml><?xml version="1.0" encoding="utf-8"?>
<calcChain xmlns="http://schemas.openxmlformats.org/spreadsheetml/2006/main">
  <c r="BF48" i="459" l="1"/>
  <c r="BF47" i="459"/>
  <c r="BF46" i="459"/>
  <c r="BF45" i="459"/>
  <c r="BE45" i="459"/>
  <c r="BF44" i="459"/>
  <c r="BE44" i="459"/>
  <c r="BD44" i="459"/>
  <c r="BE43" i="459"/>
  <c r="BD43" i="459"/>
  <c r="BC43" i="459"/>
  <c r="BF42" i="459"/>
  <c r="BE42" i="459"/>
  <c r="BF43" i="459" s="1"/>
  <c r="BD42" i="459"/>
  <c r="BC42" i="459"/>
  <c r="BF41" i="459"/>
  <c r="BE41" i="459"/>
  <c r="BD41" i="459"/>
  <c r="BC41" i="459"/>
  <c r="BF40" i="459"/>
  <c r="BE40" i="459"/>
  <c r="BD40" i="459"/>
  <c r="BC40" i="459"/>
  <c r="BC39" i="459"/>
  <c r="AS38" i="459"/>
  <c r="AR38" i="459"/>
  <c r="AQ38" i="459"/>
  <c r="AP38" i="459"/>
  <c r="AO38" i="459"/>
  <c r="AN38" i="459"/>
  <c r="AM38" i="459"/>
  <c r="AL38" i="459"/>
  <c r="AK38" i="459"/>
  <c r="AJ38" i="459"/>
  <c r="AI38" i="459"/>
  <c r="AH38" i="459"/>
  <c r="AG38" i="459"/>
  <c r="AF38" i="459"/>
  <c r="AE38" i="459"/>
  <c r="AD38" i="459"/>
  <c r="AC38" i="459"/>
  <c r="AB38" i="459"/>
  <c r="AA38" i="459"/>
  <c r="Z38" i="459"/>
  <c r="Y38" i="459"/>
  <c r="X38" i="459"/>
  <c r="W38" i="459"/>
  <c r="V38" i="459"/>
  <c r="U38" i="459"/>
  <c r="T38" i="459"/>
  <c r="S38" i="459"/>
  <c r="R38" i="459"/>
  <c r="Q38" i="459"/>
  <c r="P38" i="459"/>
  <c r="O38" i="459"/>
  <c r="N38" i="459"/>
  <c r="M38" i="459"/>
  <c r="L38" i="459"/>
  <c r="K38" i="459"/>
  <c r="J38" i="459"/>
  <c r="I38" i="459"/>
  <c r="H38" i="459"/>
  <c r="G38" i="459"/>
  <c r="BF34" i="459"/>
  <c r="BF33" i="459"/>
  <c r="C33" i="459"/>
  <c r="B33" i="459"/>
  <c r="C32" i="459"/>
  <c r="B32" i="459"/>
  <c r="BE31" i="459"/>
  <c r="BF32" i="459" s="1"/>
  <c r="BH30" i="459"/>
  <c r="BH37" i="459" s="1"/>
  <c r="BH43" i="459" s="1"/>
  <c r="BH48" i="459" s="1"/>
  <c r="BH53" i="459" s="1"/>
  <c r="BH56" i="459" s="1"/>
  <c r="BH58" i="459" s="1"/>
  <c r="BH59" i="459" s="1"/>
  <c r="BE30" i="459"/>
  <c r="BF31" i="459" s="1"/>
  <c r="BD30" i="459"/>
  <c r="E30" i="459"/>
  <c r="D30" i="459"/>
  <c r="BH29" i="459"/>
  <c r="BH36" i="459" s="1"/>
  <c r="BH42" i="459" s="1"/>
  <c r="BH47" i="459" s="1"/>
  <c r="BH52" i="459" s="1"/>
  <c r="BH55" i="459" s="1"/>
  <c r="BH57" i="459" s="1"/>
  <c r="BE29" i="459"/>
  <c r="BD29" i="459"/>
  <c r="BC29" i="459"/>
  <c r="C29" i="459"/>
  <c r="B29" i="459"/>
  <c r="BH28" i="459"/>
  <c r="BH35" i="459" s="1"/>
  <c r="BH41" i="459" s="1"/>
  <c r="BH46" i="459" s="1"/>
  <c r="BH51" i="459" s="1"/>
  <c r="BH54" i="459" s="1"/>
  <c r="BE28" i="459"/>
  <c r="BF29" i="459" s="1"/>
  <c r="BD28" i="459"/>
  <c r="BC28" i="459"/>
  <c r="BH27" i="459"/>
  <c r="BH34" i="459" s="1"/>
  <c r="BH40" i="459" s="1"/>
  <c r="BH45" i="459" s="1"/>
  <c r="BH50" i="459" s="1"/>
  <c r="BF27" i="459"/>
  <c r="BE27" i="459"/>
  <c r="BF28" i="459" s="1"/>
  <c r="BD27" i="459"/>
  <c r="BC27" i="459"/>
  <c r="C27" i="459"/>
  <c r="B27" i="459"/>
  <c r="BH26" i="459"/>
  <c r="BH33" i="459" s="1"/>
  <c r="BH39" i="459" s="1"/>
  <c r="BH44" i="459" s="1"/>
  <c r="BF26" i="459"/>
  <c r="BE26" i="459"/>
  <c r="BD26" i="459"/>
  <c r="BC26" i="459"/>
  <c r="E26" i="459"/>
  <c r="E27" i="459" s="1"/>
  <c r="D26" i="459"/>
  <c r="D27" i="459" s="1"/>
  <c r="D23" i="459" s="1"/>
  <c r="C26" i="459"/>
  <c r="B26" i="459"/>
  <c r="BH25" i="459"/>
  <c r="BH32" i="459" s="1"/>
  <c r="BH38" i="459" s="1"/>
  <c r="BC25" i="459"/>
  <c r="E25" i="459"/>
  <c r="D25" i="459"/>
  <c r="C25" i="459"/>
  <c r="B25" i="459"/>
  <c r="BH24" i="459"/>
  <c r="BH31" i="459" s="1"/>
  <c r="BH23" i="459"/>
  <c r="B22" i="459"/>
  <c r="AK16" i="459" s="1"/>
  <c r="B20" i="459"/>
  <c r="B21" i="459" s="1"/>
  <c r="AO19" i="459"/>
  <c r="AL19" i="459"/>
  <c r="AK19" i="459"/>
  <c r="AH19" i="459"/>
  <c r="AG19" i="459"/>
  <c r="Z19" i="459"/>
  <c r="P19" i="459"/>
  <c r="AO18" i="459"/>
  <c r="AL18" i="459"/>
  <c r="AK18" i="459"/>
  <c r="AH18" i="459"/>
  <c r="AG18" i="459"/>
  <c r="AO17" i="459"/>
  <c r="AL17" i="459"/>
  <c r="AK17" i="459"/>
  <c r="AH17" i="459"/>
  <c r="AG17" i="459"/>
  <c r="AN17" i="459" s="1"/>
  <c r="Z17" i="459"/>
  <c r="P17" i="459"/>
  <c r="C16" i="459"/>
  <c r="B16" i="459"/>
  <c r="Z15" i="459"/>
  <c r="P15" i="459"/>
  <c r="AL14" i="459"/>
  <c r="AH14" i="459"/>
  <c r="AK14" i="459" s="1"/>
  <c r="Z14" i="459"/>
  <c r="P14" i="459"/>
  <c r="BL13" i="459"/>
  <c r="Z13" i="459"/>
  <c r="P13" i="459"/>
  <c r="BL12" i="459"/>
  <c r="BP47" i="459" s="1"/>
  <c r="AO12" i="459"/>
  <c r="AL12" i="459"/>
  <c r="AK12" i="459"/>
  <c r="AH12" i="459"/>
  <c r="AG12" i="459"/>
  <c r="AN12" i="459" s="1"/>
  <c r="Z12" i="459"/>
  <c r="P12" i="459"/>
  <c r="BL11" i="459"/>
  <c r="BP38" i="459" s="1"/>
  <c r="BP46" i="459" s="1"/>
  <c r="AO11" i="459"/>
  <c r="AL11" i="459"/>
  <c r="AK11" i="459"/>
  <c r="AH11" i="459"/>
  <c r="AG11" i="459"/>
  <c r="AN11" i="459" s="1"/>
  <c r="Z11" i="459"/>
  <c r="P11" i="459"/>
  <c r="BL10" i="459"/>
  <c r="BP30" i="459" s="1"/>
  <c r="BP37" i="459" s="1"/>
  <c r="BP45" i="459" s="1"/>
  <c r="AO10" i="459"/>
  <c r="AL10" i="459"/>
  <c r="AK10" i="459"/>
  <c r="AH10" i="459"/>
  <c r="AG10" i="459"/>
  <c r="AN10" i="459" s="1"/>
  <c r="Z10" i="459"/>
  <c r="P10" i="459"/>
  <c r="BL9" i="459"/>
  <c r="BP23" i="459" s="1"/>
  <c r="BP29" i="459" s="1"/>
  <c r="BP36" i="459" s="1"/>
  <c r="BP44" i="459" s="1"/>
  <c r="AL9" i="459"/>
  <c r="AK9" i="459"/>
  <c r="AH9" i="459"/>
  <c r="AG9" i="459"/>
  <c r="Z9" i="459"/>
  <c r="P9" i="459"/>
  <c r="BL8" i="459"/>
  <c r="BP18" i="459" s="1"/>
  <c r="BP22" i="459" s="1"/>
  <c r="BP28" i="459" s="1"/>
  <c r="BP35" i="459" s="1"/>
  <c r="BP43" i="459" s="1"/>
  <c r="AO8" i="459"/>
  <c r="AL8" i="459"/>
  <c r="AK8" i="459"/>
  <c r="AH8" i="459"/>
  <c r="AG8" i="459"/>
  <c r="Z8" i="459"/>
  <c r="P8" i="459"/>
  <c r="BL7" i="459"/>
  <c r="BP13" i="459" s="1"/>
  <c r="BP17" i="459" s="1"/>
  <c r="BP21" i="459" s="1"/>
  <c r="BP27" i="459" s="1"/>
  <c r="BP34" i="459" s="1"/>
  <c r="BP42" i="459" s="1"/>
  <c r="AL7" i="459"/>
  <c r="AK7" i="459"/>
  <c r="AH7" i="459"/>
  <c r="AG7" i="459"/>
  <c r="AN7" i="459" s="1"/>
  <c r="Z7" i="459"/>
  <c r="P7" i="459"/>
  <c r="BP6" i="459"/>
  <c r="BP8" i="459" s="1"/>
  <c r="BP11" i="459" s="1"/>
  <c r="BP15" i="459" s="1"/>
  <c r="BP19" i="459" s="1"/>
  <c r="BP25" i="459" s="1"/>
  <c r="BP32" i="459" s="1"/>
  <c r="BP40" i="459" s="1"/>
  <c r="BL6" i="459"/>
  <c r="BP9" i="459" s="1"/>
  <c r="BP12" i="459" s="1"/>
  <c r="BP16" i="459" s="1"/>
  <c r="BP20" i="459" s="1"/>
  <c r="BP26" i="459" s="1"/>
  <c r="BP33" i="459" s="1"/>
  <c r="BP41" i="459" s="1"/>
  <c r="AO6" i="459"/>
  <c r="AL6" i="459"/>
  <c r="AK6" i="459"/>
  <c r="AH6" i="459"/>
  <c r="AG6" i="459"/>
  <c r="AN6" i="459" s="1"/>
  <c r="Z6" i="459"/>
  <c r="P6" i="459"/>
  <c r="BP5" i="459"/>
  <c r="BP7" i="459" s="1"/>
  <c r="BP10" i="459" s="1"/>
  <c r="BP14" i="459" s="1"/>
  <c r="BH49" i="459" s="1"/>
  <c r="BP24" i="459" s="1"/>
  <c r="BP31" i="459" s="1"/>
  <c r="BP39" i="459" s="1"/>
  <c r="BL14" i="459" s="1"/>
  <c r="AO5" i="459"/>
  <c r="AL5" i="459"/>
  <c r="AK5" i="459"/>
  <c r="AH5" i="459"/>
  <c r="AG5" i="459"/>
  <c r="AN5" i="459" s="1"/>
  <c r="Z5" i="459"/>
  <c r="P5" i="459"/>
  <c r="AM3" i="459"/>
  <c r="D3" i="459"/>
  <c r="K2" i="459" s="1"/>
  <c r="E23" i="459" l="1"/>
  <c r="AG15" i="459"/>
  <c r="AN15" i="459" s="1"/>
  <c r="AG13" i="459"/>
  <c r="AN13" i="459" s="1"/>
  <c r="AN8" i="459"/>
  <c r="C31" i="459"/>
  <c r="W39" i="459" s="1"/>
  <c r="C22" i="459"/>
  <c r="AK13" i="459" s="1"/>
  <c r="AG14" i="459"/>
  <c r="AN14" i="459" s="1"/>
  <c r="G3" i="459"/>
  <c r="Z18" i="459"/>
  <c r="AN9" i="459"/>
  <c r="BF30" i="459"/>
  <c r="P18" i="459"/>
  <c r="B31" i="459"/>
  <c r="W25" i="459" s="1"/>
  <c r="K1" i="459"/>
  <c r="G2" i="459"/>
  <c r="AN18" i="459"/>
  <c r="AN19" i="459"/>
  <c r="K3" i="459"/>
  <c r="G1" i="459"/>
  <c r="B23" i="459" l="1"/>
  <c r="AG16" i="459"/>
  <c r="AN16" i="459" s="1"/>
  <c r="AN3" i="459" s="1"/>
  <c r="AK15" i="459"/>
  <c r="AL14" i="446"/>
  <c r="AH14" i="446"/>
  <c r="AK14" i="446" s="1"/>
  <c r="AI9" i="459" l="1"/>
  <c r="O9" i="459" s="1"/>
  <c r="Q9" i="459" s="1"/>
  <c r="R9" i="459" s="1"/>
  <c r="AI19" i="459"/>
  <c r="O19" i="459" s="1"/>
  <c r="Q19" i="459" s="1"/>
  <c r="R19" i="459" s="1"/>
  <c r="AI18" i="459"/>
  <c r="O18" i="459" s="1"/>
  <c r="Q18" i="459" s="1"/>
  <c r="R18" i="459" s="1"/>
  <c r="B34" i="459"/>
  <c r="T41" i="459"/>
  <c r="B24" i="459"/>
  <c r="T43" i="459"/>
  <c r="C23" i="459"/>
  <c r="T45" i="459"/>
  <c r="T42" i="459"/>
  <c r="T40" i="459"/>
  <c r="T46" i="459"/>
  <c r="T49" i="459"/>
  <c r="T44" i="459"/>
  <c r="T48" i="459"/>
  <c r="T47" i="459"/>
  <c r="T39" i="459"/>
  <c r="AI15" i="459"/>
  <c r="AI13" i="459"/>
  <c r="AI6" i="459"/>
  <c r="AI8" i="459"/>
  <c r="AI10" i="459"/>
  <c r="AI11" i="459"/>
  <c r="AI16" i="459"/>
  <c r="AI17" i="459"/>
  <c r="AI5" i="459"/>
  <c r="AI12" i="459"/>
  <c r="AI7" i="459"/>
  <c r="AI14" i="459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Y18" i="459" l="1"/>
  <c r="AA18" i="459" s="1"/>
  <c r="AB18" i="459" s="1"/>
  <c r="T37" i="459"/>
  <c r="Y19" i="459"/>
  <c r="AA19" i="459" s="1"/>
  <c r="AB19" i="459" s="1"/>
  <c r="AC19" i="459" s="1"/>
  <c r="T28" i="459"/>
  <c r="T26" i="459"/>
  <c r="T25" i="459"/>
  <c r="T29" i="459"/>
  <c r="T34" i="459"/>
  <c r="T35" i="459"/>
  <c r="T30" i="459"/>
  <c r="T31" i="459"/>
  <c r="T27" i="459"/>
  <c r="T32" i="459"/>
  <c r="T33" i="459"/>
  <c r="C24" i="459"/>
  <c r="C34" i="459"/>
  <c r="Y9" i="459"/>
  <c r="AA9" i="459" s="1"/>
  <c r="AB9" i="459" s="1"/>
  <c r="AC9" i="459" s="1"/>
  <c r="N26" i="459"/>
  <c r="N25" i="459"/>
  <c r="N28" i="459"/>
  <c r="P28" i="459" s="1"/>
  <c r="N27" i="459"/>
  <c r="P27" i="459" s="1"/>
  <c r="N30" i="459"/>
  <c r="P30" i="459" s="1"/>
  <c r="R35" i="459" s="1"/>
  <c r="N29" i="459"/>
  <c r="P29" i="459" s="1"/>
  <c r="S18" i="459"/>
  <c r="O14" i="459"/>
  <c r="Q14" i="459" s="1"/>
  <c r="R14" i="459" s="1"/>
  <c r="Y14" i="459"/>
  <c r="AA14" i="459" s="1"/>
  <c r="AB14" i="459" s="1"/>
  <c r="Y8" i="459"/>
  <c r="AA8" i="459" s="1"/>
  <c r="AB8" i="459" s="1"/>
  <c r="O8" i="459"/>
  <c r="Q8" i="459" s="1"/>
  <c r="R8" i="459" s="1"/>
  <c r="S19" i="459"/>
  <c r="O7" i="459"/>
  <c r="Q7" i="459" s="1"/>
  <c r="R7" i="459" s="1"/>
  <c r="Y7" i="459"/>
  <c r="AA7" i="459" s="1"/>
  <c r="AB7" i="459" s="1"/>
  <c r="S9" i="459"/>
  <c r="O11" i="459"/>
  <c r="Q11" i="459" s="1"/>
  <c r="R11" i="459" s="1"/>
  <c r="Y11" i="459"/>
  <c r="AA11" i="459" s="1"/>
  <c r="AB11" i="459" s="1"/>
  <c r="O6" i="459"/>
  <c r="Q6" i="459" s="1"/>
  <c r="R6" i="459" s="1"/>
  <c r="Y6" i="459"/>
  <c r="AA6" i="459" s="1"/>
  <c r="AB6" i="459" s="1"/>
  <c r="O13" i="459"/>
  <c r="Q13" i="459" s="1"/>
  <c r="R13" i="459" s="1"/>
  <c r="Y13" i="459"/>
  <c r="AA13" i="459" s="1"/>
  <c r="AB13" i="459" s="1"/>
  <c r="AI3" i="459"/>
  <c r="O5" i="459"/>
  <c r="Q5" i="459" s="1"/>
  <c r="R5" i="459" s="1"/>
  <c r="Y5" i="459"/>
  <c r="AA5" i="459" s="1"/>
  <c r="AB5" i="459" s="1"/>
  <c r="O15" i="459"/>
  <c r="Q15" i="459" s="1"/>
  <c r="R15" i="459" s="1"/>
  <c r="Y15" i="459"/>
  <c r="AA15" i="459" s="1"/>
  <c r="AB15" i="459" s="1"/>
  <c r="O10" i="459"/>
  <c r="Q10" i="459" s="1"/>
  <c r="R10" i="459" s="1"/>
  <c r="Y10" i="459"/>
  <c r="AA10" i="459" s="1"/>
  <c r="AB10" i="459" s="1"/>
  <c r="O12" i="459"/>
  <c r="Q12" i="459" s="1"/>
  <c r="R12" i="459" s="1"/>
  <c r="Y12" i="459"/>
  <c r="AA12" i="459" s="1"/>
  <c r="AB12" i="459" s="1"/>
  <c r="Y17" i="459"/>
  <c r="AA17" i="459" s="1"/>
  <c r="AB17" i="459" s="1"/>
  <c r="O17" i="459"/>
  <c r="Q17" i="459" s="1"/>
  <c r="R17" i="459" s="1"/>
  <c r="O16" i="459"/>
  <c r="Q16" i="459" s="1"/>
  <c r="R16" i="459" s="1"/>
  <c r="Y16" i="459"/>
  <c r="AA16" i="459" s="1"/>
  <c r="AB16" i="459" s="1"/>
  <c r="AC18" i="459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R33" i="459" l="1"/>
  <c r="N23" i="459"/>
  <c r="P25" i="459"/>
  <c r="P26" i="459"/>
  <c r="R31" i="459" s="1"/>
  <c r="R34" i="459"/>
  <c r="N43" i="459"/>
  <c r="P43" i="459" s="1"/>
  <c r="N41" i="459"/>
  <c r="P41" i="459" s="1"/>
  <c r="N44" i="459"/>
  <c r="P44" i="459" s="1"/>
  <c r="N40" i="459"/>
  <c r="P40" i="459" s="1"/>
  <c r="N39" i="459"/>
  <c r="N42" i="459"/>
  <c r="P42" i="459" s="1"/>
  <c r="T23" i="459"/>
  <c r="R32" i="459"/>
  <c r="AC6" i="459"/>
  <c r="S16" i="459"/>
  <c r="S15" i="459"/>
  <c r="AC11" i="459"/>
  <c r="AC14" i="459"/>
  <c r="AC10" i="459"/>
  <c r="S8" i="459"/>
  <c r="AC5" i="459"/>
  <c r="S11" i="459"/>
  <c r="S14" i="459"/>
  <c r="S17" i="459"/>
  <c r="AC17" i="459"/>
  <c r="AC7" i="459"/>
  <c r="AC12" i="459"/>
  <c r="AC13" i="459"/>
  <c r="S7" i="459"/>
  <c r="S5" i="459"/>
  <c r="S12" i="459"/>
  <c r="S13" i="459"/>
  <c r="AC16" i="459"/>
  <c r="S10" i="459"/>
  <c r="AC15" i="459"/>
  <c r="S6" i="459"/>
  <c r="AC8" i="459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AE8" i="459" l="1"/>
  <c r="U5" i="459"/>
  <c r="P39" i="459"/>
  <c r="R42" i="459" s="1"/>
  <c r="N37" i="459"/>
  <c r="R25" i="459"/>
  <c r="R30" i="459"/>
  <c r="R28" i="459"/>
  <c r="R27" i="459"/>
  <c r="R29" i="459"/>
  <c r="P23" i="459"/>
  <c r="AE7" i="459"/>
  <c r="U12" i="459"/>
  <c r="R46" i="459"/>
  <c r="R47" i="459"/>
  <c r="R44" i="459"/>
  <c r="R48" i="459"/>
  <c r="R49" i="459"/>
  <c r="R45" i="459"/>
  <c r="U13" i="459"/>
  <c r="AE17" i="459"/>
  <c r="AE11" i="459"/>
  <c r="U15" i="459"/>
  <c r="AD11" i="459"/>
  <c r="AE14" i="459"/>
  <c r="R26" i="459"/>
  <c r="R41" i="459"/>
  <c r="R43" i="459"/>
  <c r="U7" i="459"/>
  <c r="AE5" i="459"/>
  <c r="AD13" i="459"/>
  <c r="AE10" i="459"/>
  <c r="AE16" i="459"/>
  <c r="S20" i="459"/>
  <c r="U18" i="459"/>
  <c r="T18" i="459"/>
  <c r="T19" i="459"/>
  <c r="T9" i="459"/>
  <c r="AE13" i="459"/>
  <c r="U9" i="459"/>
  <c r="AD17" i="459"/>
  <c r="U14" i="459"/>
  <c r="AD15" i="459"/>
  <c r="T5" i="459"/>
  <c r="AE9" i="459"/>
  <c r="AD14" i="459"/>
  <c r="T16" i="459"/>
  <c r="T8" i="459"/>
  <c r="U16" i="459"/>
  <c r="AD8" i="459"/>
  <c r="AD7" i="459"/>
  <c r="U8" i="459"/>
  <c r="T10" i="459"/>
  <c r="T13" i="459"/>
  <c r="T7" i="459"/>
  <c r="T17" i="459"/>
  <c r="T11" i="459"/>
  <c r="AE15" i="459"/>
  <c r="U11" i="459"/>
  <c r="U6" i="459"/>
  <c r="U10" i="459"/>
  <c r="AD12" i="459"/>
  <c r="U17" i="459"/>
  <c r="AC20" i="459"/>
  <c r="AE18" i="459"/>
  <c r="AD19" i="459"/>
  <c r="AD18" i="459"/>
  <c r="AD9" i="459"/>
  <c r="AD10" i="459"/>
  <c r="T12" i="459"/>
  <c r="AE12" i="459"/>
  <c r="AD5" i="459"/>
  <c r="AD6" i="459"/>
  <c r="T6" i="459"/>
  <c r="AD16" i="459"/>
  <c r="T14" i="459"/>
  <c r="T15" i="459"/>
  <c r="AE6" i="459"/>
  <c r="B23" i="446"/>
  <c r="B34" i="446" s="1"/>
  <c r="AK13" i="446"/>
  <c r="AG16" i="446"/>
  <c r="AN16" i="446" s="1"/>
  <c r="AN3" i="446" s="1"/>
  <c r="W25" i="446"/>
  <c r="V26" i="459" l="1"/>
  <c r="AA25" i="459" s="1"/>
  <c r="V27" i="459"/>
  <c r="AC25" i="459" s="1"/>
  <c r="R40" i="459"/>
  <c r="U20" i="459"/>
  <c r="L27" i="459" s="1"/>
  <c r="AA26" i="459"/>
  <c r="AC26" i="459"/>
  <c r="V28" i="459"/>
  <c r="AC27" i="459"/>
  <c r="V34" i="459"/>
  <c r="V33" i="459"/>
  <c r="V25" i="459"/>
  <c r="R23" i="459"/>
  <c r="V32" i="459"/>
  <c r="V30" i="459"/>
  <c r="V29" i="459"/>
  <c r="V31" i="459"/>
  <c r="AE20" i="459"/>
  <c r="L41" i="459" s="1"/>
  <c r="R39" i="459"/>
  <c r="P37" i="459"/>
  <c r="L39" i="459"/>
  <c r="T20" i="459"/>
  <c r="L26" i="459" s="1"/>
  <c r="L25" i="459"/>
  <c r="AD20" i="459"/>
  <c r="L40" i="459" s="1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AA23" i="459" l="1"/>
  <c r="V41" i="459"/>
  <c r="AC39" i="459" s="1"/>
  <c r="V20" i="459"/>
  <c r="L28" i="459" s="1"/>
  <c r="L23" i="459" s="1"/>
  <c r="AC23" i="459"/>
  <c r="AC41" i="459"/>
  <c r="AC40" i="459"/>
  <c r="V23" i="459"/>
  <c r="V35" i="459" s="1"/>
  <c r="V22" i="459" s="1"/>
  <c r="Y25" i="459"/>
  <c r="V42" i="459"/>
  <c r="V48" i="459"/>
  <c r="V44" i="459"/>
  <c r="R37" i="459"/>
  <c r="V45" i="459"/>
  <c r="V39" i="459"/>
  <c r="V43" i="459"/>
  <c r="V40" i="459"/>
  <c r="V46" i="459"/>
  <c r="V47" i="459"/>
  <c r="AO29" i="459"/>
  <c r="AO25" i="459"/>
  <c r="AO26" i="459"/>
  <c r="AO32" i="459"/>
  <c r="AO33" i="459"/>
  <c r="AO30" i="459"/>
  <c r="AO31" i="459"/>
  <c r="AO28" i="459"/>
  <c r="AO27" i="459"/>
  <c r="AQ33" i="459"/>
  <c r="AQ32" i="459"/>
  <c r="AQ25" i="459"/>
  <c r="AQ30" i="459"/>
  <c r="AQ27" i="459"/>
  <c r="AQ34" i="459"/>
  <c r="AQ29" i="459"/>
  <c r="AQ26" i="459"/>
  <c r="AQ31" i="459"/>
  <c r="AQ28" i="459"/>
  <c r="AK27" i="459"/>
  <c r="AK31" i="459"/>
  <c r="AK30" i="459"/>
  <c r="AK25" i="459"/>
  <c r="AK29" i="459"/>
  <c r="AK26" i="459"/>
  <c r="AK28" i="459"/>
  <c r="AG27" i="459"/>
  <c r="AG28" i="459"/>
  <c r="AG26" i="459"/>
  <c r="AG29" i="459"/>
  <c r="AG25" i="459"/>
  <c r="AE26" i="459"/>
  <c r="AE28" i="459"/>
  <c r="AE25" i="459"/>
  <c r="AE27" i="459"/>
  <c r="AI26" i="459"/>
  <c r="AI27" i="459"/>
  <c r="AI28" i="459"/>
  <c r="AI30" i="459"/>
  <c r="AI25" i="459"/>
  <c r="AI29" i="459"/>
  <c r="AM25" i="459"/>
  <c r="AM26" i="459"/>
  <c r="AM30" i="459"/>
  <c r="AM32" i="459"/>
  <c r="AM31" i="459"/>
  <c r="AM27" i="459"/>
  <c r="AM28" i="459"/>
  <c r="AM29" i="459"/>
  <c r="AF20" i="459"/>
  <c r="L42" i="459" s="1"/>
  <c r="L37" i="459" s="1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I23" i="459" l="1"/>
  <c r="AO46" i="459"/>
  <c r="AO47" i="459"/>
  <c r="AO45" i="459"/>
  <c r="AO39" i="459"/>
  <c r="AO44" i="459"/>
  <c r="AO43" i="459"/>
  <c r="AO42" i="459"/>
  <c r="AO41" i="459"/>
  <c r="AO40" i="459"/>
  <c r="AQ41" i="459"/>
  <c r="AQ48" i="459"/>
  <c r="AQ46" i="459"/>
  <c r="AQ40" i="459"/>
  <c r="AQ45" i="459"/>
  <c r="AQ47" i="459"/>
  <c r="AQ39" i="459"/>
  <c r="AQ43" i="459"/>
  <c r="AQ44" i="459"/>
  <c r="AQ42" i="459"/>
  <c r="AG23" i="459"/>
  <c r="AK23" i="459"/>
  <c r="AM40" i="459"/>
  <c r="AM41" i="459"/>
  <c r="AM39" i="459"/>
  <c r="AM44" i="459"/>
  <c r="AM45" i="459"/>
  <c r="AM46" i="459"/>
  <c r="AM43" i="459"/>
  <c r="AM42" i="459"/>
  <c r="AE40" i="459"/>
  <c r="AE41" i="459"/>
  <c r="AE42" i="459"/>
  <c r="AE39" i="459"/>
  <c r="AA40" i="459"/>
  <c r="AA39" i="459"/>
  <c r="Y23" i="459"/>
  <c r="AG42" i="459"/>
  <c r="AG43" i="459"/>
  <c r="AG41" i="459"/>
  <c r="AG40" i="459"/>
  <c r="AG39" i="459"/>
  <c r="AS28" i="459"/>
  <c r="J28" i="459" s="1"/>
  <c r="AS34" i="459"/>
  <c r="J34" i="459" s="1"/>
  <c r="AS33" i="459"/>
  <c r="J33" i="459" s="1"/>
  <c r="AS32" i="459"/>
  <c r="J32" i="459" s="1"/>
  <c r="AS26" i="459"/>
  <c r="J26" i="459" s="1"/>
  <c r="AS31" i="459"/>
  <c r="J31" i="459" s="1"/>
  <c r="AS27" i="459"/>
  <c r="J27" i="459" s="1"/>
  <c r="AS25" i="459"/>
  <c r="AS35" i="459"/>
  <c r="J35" i="459" s="1"/>
  <c r="AS30" i="459"/>
  <c r="J30" i="459" s="1"/>
  <c r="AS29" i="459"/>
  <c r="J29" i="459" s="1"/>
  <c r="Y39" i="459"/>
  <c r="Y37" i="459" s="1"/>
  <c r="V37" i="459"/>
  <c r="V49" i="459" s="1"/>
  <c r="AK43" i="459"/>
  <c r="AK44" i="459"/>
  <c r="AK41" i="459"/>
  <c r="AK42" i="459"/>
  <c r="AK40" i="459"/>
  <c r="AK39" i="459"/>
  <c r="AK45" i="459"/>
  <c r="AM23" i="459"/>
  <c r="AE23" i="459"/>
  <c r="AO23" i="459"/>
  <c r="AC37" i="459"/>
  <c r="AQ23" i="459"/>
  <c r="AI42" i="459"/>
  <c r="AI44" i="459"/>
  <c r="AI40" i="459"/>
  <c r="AI41" i="459"/>
  <c r="AI39" i="459"/>
  <c r="AI43" i="459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AA37" i="459" l="1"/>
  <c r="H33" i="459"/>
  <c r="AS23" i="459"/>
  <c r="AS22" i="459" s="1"/>
  <c r="AG37" i="459"/>
  <c r="AI37" i="459"/>
  <c r="H29" i="459"/>
  <c r="AK37" i="459"/>
  <c r="AQ37" i="459"/>
  <c r="H34" i="459"/>
  <c r="H32" i="459"/>
  <c r="H35" i="459"/>
  <c r="H30" i="459"/>
  <c r="H31" i="459"/>
  <c r="AS40" i="459"/>
  <c r="J40" i="459" s="1"/>
  <c r="AS39" i="459"/>
  <c r="AS46" i="459"/>
  <c r="J46" i="459" s="1"/>
  <c r="AS47" i="459"/>
  <c r="J47" i="459" s="1"/>
  <c r="AS44" i="459"/>
  <c r="J44" i="459" s="1"/>
  <c r="AS49" i="459"/>
  <c r="J49" i="459" s="1"/>
  <c r="AS48" i="459"/>
  <c r="J48" i="459" s="1"/>
  <c r="AS42" i="459"/>
  <c r="J42" i="459" s="1"/>
  <c r="V36" i="459"/>
  <c r="AS41" i="459"/>
  <c r="J41" i="459" s="1"/>
  <c r="AS43" i="459"/>
  <c r="J43" i="459" s="1"/>
  <c r="AS45" i="459"/>
  <c r="J45" i="459" s="1"/>
  <c r="AE37" i="459"/>
  <c r="AO37" i="459"/>
  <c r="AM37" i="459"/>
  <c r="J25" i="459"/>
  <c r="H26" i="459" s="1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H43" i="459" l="1"/>
  <c r="BR28" i="459" s="1"/>
  <c r="H49" i="459"/>
  <c r="BJ56" i="459" s="1"/>
  <c r="J23" i="459"/>
  <c r="H25" i="459"/>
  <c r="H46" i="459"/>
  <c r="BJ45" i="459" s="1"/>
  <c r="H45" i="459"/>
  <c r="BJ18" i="459" s="1"/>
  <c r="H44" i="459"/>
  <c r="BJ17" i="459" s="1"/>
  <c r="H47" i="459"/>
  <c r="H48" i="459"/>
  <c r="BJ55" i="459" s="1"/>
  <c r="H27" i="459"/>
  <c r="J39" i="459"/>
  <c r="H41" i="459" s="1"/>
  <c r="AS37" i="459"/>
  <c r="AS36" i="459" s="1"/>
  <c r="H28" i="459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BN14" i="459" l="1"/>
  <c r="BJ22" i="459"/>
  <c r="BJ58" i="459"/>
  <c r="BN11" i="459"/>
  <c r="BJ59" i="459"/>
  <c r="BR35" i="459"/>
  <c r="BN8" i="459"/>
  <c r="BJ16" i="459"/>
  <c r="BR22" i="459"/>
  <c r="BR43" i="459"/>
  <c r="BR18" i="459"/>
  <c r="BJ52" i="459"/>
  <c r="BJ19" i="459"/>
  <c r="BJ50" i="459"/>
  <c r="BR46" i="459"/>
  <c r="BN9" i="459"/>
  <c r="BR26" i="459"/>
  <c r="BJ14" i="459"/>
  <c r="BJ47" i="459"/>
  <c r="H40" i="459"/>
  <c r="BR6" i="459" s="1"/>
  <c r="BJ48" i="459"/>
  <c r="BJ43" i="459"/>
  <c r="BJ53" i="459"/>
  <c r="H23" i="459"/>
  <c r="BJ11" i="459"/>
  <c r="BJ12" i="459"/>
  <c r="BJ10" i="459"/>
  <c r="BJ8" i="459"/>
  <c r="BJ13" i="459"/>
  <c r="BJ7" i="459"/>
  <c r="BJ5" i="459"/>
  <c r="BJ9" i="459"/>
  <c r="BJ39" i="459"/>
  <c r="BR37" i="459"/>
  <c r="BN10" i="459"/>
  <c r="BR30" i="459"/>
  <c r="BJ44" i="459"/>
  <c r="BR20" i="459"/>
  <c r="BR12" i="459"/>
  <c r="BR33" i="459"/>
  <c r="BR41" i="459"/>
  <c r="BJ42" i="459"/>
  <c r="BJ57" i="459"/>
  <c r="BJ28" i="459"/>
  <c r="BJ41" i="459"/>
  <c r="BJ51" i="459"/>
  <c r="BR47" i="459"/>
  <c r="BJ46" i="459"/>
  <c r="BJ54" i="459"/>
  <c r="BN12" i="459"/>
  <c r="BJ34" i="459"/>
  <c r="BJ36" i="459"/>
  <c r="BR9" i="459"/>
  <c r="BJ33" i="459"/>
  <c r="BJ32" i="459"/>
  <c r="BJ37" i="459"/>
  <c r="BJ35" i="459"/>
  <c r="BJ31" i="459"/>
  <c r="BR45" i="459"/>
  <c r="BR16" i="459"/>
  <c r="BJ21" i="459"/>
  <c r="BR36" i="459"/>
  <c r="BR29" i="459"/>
  <c r="BR44" i="459"/>
  <c r="BJ38" i="459"/>
  <c r="BR23" i="459"/>
  <c r="BN13" i="459"/>
  <c r="J37" i="459"/>
  <c r="H39" i="459"/>
  <c r="BR7" i="459" s="1"/>
  <c r="BN6" i="459"/>
  <c r="BJ29" i="459"/>
  <c r="BJ27" i="459"/>
  <c r="BJ24" i="459"/>
  <c r="BJ30" i="459"/>
  <c r="BJ26" i="459"/>
  <c r="BJ25" i="459"/>
  <c r="H42" i="459"/>
  <c r="BJ20" i="459"/>
  <c r="BJ40" i="459"/>
  <c r="BR38" i="459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R11" i="459" l="1"/>
  <c r="BJ4" i="459"/>
  <c r="BR25" i="459"/>
  <c r="BR32" i="459"/>
  <c r="BN5" i="459"/>
  <c r="BR5" i="459"/>
  <c r="BR8" i="459"/>
  <c r="BR15" i="459"/>
  <c r="BR40" i="459"/>
  <c r="BR19" i="459"/>
  <c r="BN4" i="459"/>
  <c r="BR34" i="459"/>
  <c r="BR42" i="459"/>
  <c r="BR13" i="459"/>
  <c r="BR27" i="459"/>
  <c r="BR17" i="459"/>
  <c r="BR21" i="459"/>
  <c r="BJ15" i="459"/>
  <c r="BJ6" i="459"/>
  <c r="BJ23" i="459"/>
  <c r="BR39" i="459"/>
  <c r="BJ49" i="459"/>
  <c r="BR10" i="459"/>
  <c r="BR31" i="459"/>
  <c r="H37" i="459"/>
  <c r="BR24" i="459"/>
  <c r="BR4" i="459"/>
  <c r="BR14" i="459"/>
  <c r="BN7" i="459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7" i="459" l="1"/>
  <c r="B39" i="459"/>
  <c r="B38" i="459"/>
  <c r="AK37" i="446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B36" i="459" l="1"/>
  <c r="H44" i="446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348406E4-E6BA-47DB-B100-37DC34A84D0F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13619DF7-7225-4F07-ACAF-41D387CC8835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950620F2-ADEA-4A3A-96D2-421BC52040D1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BC67DA8-99FE-41E8-B683-5988F99B031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1BFED455-29F8-4747-97A9-6A836A72A0C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28E3545A-3C24-4C5D-8918-90D8C066D9F9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291A4DD1-39D8-4D57-A55D-F2D689F19E4B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34BC0381-D2F9-4B71-8DF7-BD0729C6B5E1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E9B73E43-E8BC-49AE-AC03-D31575DF8A56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F6256942-D21D-4BCB-9991-0CEACEE1D093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92D73754-4A41-407E-8D4C-9077A080A191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B861A6B5-5BDF-4B94-AAD9-500ADADA8197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7A2F8C20-6AB6-48A3-9626-6392AA6428D2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40C84945-DDCC-47FD-B487-57313380FECD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D5EE9F6F-CF30-4217-AFB2-824E07DD535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3C9F1EE5-23E7-4FAF-AC4B-EAE629D1F83E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DCF55583-5B5C-4648-BF11-75A5763912B9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DA7C2CA-7918-4373-87F1-FDF6CF199C57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27CEDD1-CD6D-4D78-8269-3A5A2026F8A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7C9DA1AF-1DB3-4EB2-A072-07914C793FA1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<sst xmlns="http://schemas.openxmlformats.org/spreadsheetml/2006/main" count="1323" uniqueCount="164">
  <si>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</si>
  <si>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</si>
  <si>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</si>
  <si>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</si>
  <si>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</si>
  <si>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</si>
  <si>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</si>
  <si>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</si>
  <si>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</si>
  <si>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</si>
  <si>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</si>
  <si>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</si>
  <si>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</si>
  <si>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</si>
  <si>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</si>
  <si>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</si>
  <si>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</si>
  <si>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</si>
  <si>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</si>
  <si>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</si>
  <si>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</si>
  <si>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</si>
  <si>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</si>
  <si>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</si>
  <si>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</si>
  <si>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</si>
  <si>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</si>
  <si>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</si>
  <si>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</si>
  <si>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</si>
  <si>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</si>
  <si>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</si>
  <si>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</si>
  <si>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</si>
  <si>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</si>
  <si>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</si>
  <si>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</si>
  <si>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</si>
  <si>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</si>
  <si>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</si>
  <si>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</si>
  <si>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</si>
  <si>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</si>
  <si>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</si>
  <si>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</si>
  <si>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</si>
  <si>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</si>
  <si>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</si>
  <si>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</si>
  <si>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</si>
  <si>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</si>
  <si>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</si>
  <si>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</si>
  <si>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</si>
  <si>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</si>
  <si>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</si>
  <si>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</si>
  <si>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</si>
  <si>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</si>
  <si>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</si>
  <si>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</si>
  <si>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</si>
  <si>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</si>
  <si>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</si>
  <si>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</si>
  <si>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</si>
  <si>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</si>
  <si>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</si>
  <si>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</si>
  <si>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</si>
  <si>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</si>
  <si>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</si>
  <si>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</si>
  <si>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</si>
  <si>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</si>
  <si>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</si>
  <si>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</si>
  <si>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</si>
  <si>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</si>
  <si>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</si>
  <si>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</si>
  <si>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</si>
  <si>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</si>
  <si>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</si>
  <si>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</si>
  <si>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</si>
  <si>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</si>
  <si>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</si>
  <si>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</si>
  <si>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</si>
  <si>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</si>
  <si>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</si>
  <si>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</si>
  <si>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</si>
  <si>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</si>
  <si>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</si>
  <si>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</si>
  <si>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</si>
  <si>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</si>
  <si>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</si>
  <si>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</si>
  <si>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</si>
  <si>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</si>
  <si>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</si>
  <si>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</si>
  <si>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</si>
  <si>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</si>
  <si>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</si>
  <si>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</si>
  <si>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</si>
  <si>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</si>
  <si>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</si>
  <si>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</si>
  <si>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</si>
  <si>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</si>
  <si>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</si>
  <si>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</si>
  <si>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</si>
  <si>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</si>
  <si>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</si>
  <si>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</si>
  <si>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</si>
  <si>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</si>
  <si>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</si>
  <si>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</si>
  <si>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</si>
  <si>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</si>
  <si>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</si>
  <si>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</si>
  <si>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</si>
  <si>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</si>
  <si>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</si>
  <si>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</si>
  <si>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</si>
  <si>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</si>
  <si>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</si>
  <si>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</si>
  <si>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</si>
  <si>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</si>
  <si>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</si>
  <si>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</si>
  <si>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</si>
  <si>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</si>
  <si>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</si>
  <si>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</si>
  <si>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</si>
  <si>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</si>
  <si>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</si>
  <si>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</si>
  <si>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</si>
  <si>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</si>
  <si>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</si>
  <si>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</si>
  <si>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</si>
  <si>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</si>
  <si>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</si>
  <si>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</si>
  <si>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</si>
  <si>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</si>
  <si>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</si>
  <si>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</si>
  <si>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</si>
  <si>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Danger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</si>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</sst>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'Danger-OBIWAN'!$G$25:$G$35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'Danger-OBIWAN'!$H$25:$H$35</c:f>
              <c:numCache>
                <c:formatCode>0.0%</c:formatCode>
                <c:ptCount val="11"/>
                <c:pt idx="0">
                  <c:v>0.20687895151103949</c:v>
                </c:pt>
                <c:pt idx="1">
                  <c:v>0.34780066463728926</c:v>
                </c:pt>
                <c:pt idx="2">
                  <c:v>0.26840137644494466</c:v>
                </c:pt>
                <c:pt idx="3">
                  <c:v>0.12591705143086104</c:v>
                </c:pt>
                <c:pt idx="4">
                  <c:v>4.0086858444242653E-2</c:v>
                </c:pt>
                <c:pt idx="5">
                  <c:v>9.1541940340988514E-3</c:v>
                </c:pt>
                <c:pt idx="6">
                  <c:v>1.5451596962176325E-3</c:v>
                </c:pt>
                <c:pt idx="7">
                  <c:v>1.9568037867910855E-4</c:v>
                </c:pt>
                <c:pt idx="8">
                  <c:v>1.8661180595237491E-5</c:v>
                </c:pt>
                <c:pt idx="9">
                  <c:v>1.3303078374455717E-6</c:v>
                </c:pt>
                <c:pt idx="10">
                  <c:v>6.9352845103070019E-8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7A3-9A2E-185C71B350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'Danger-OBIWAN'!$H$39:$H$49</c:f>
              <c:numCache>
                <c:formatCode>0.0%</c:formatCode>
                <c:ptCount val="11"/>
                <c:pt idx="0">
                  <c:v>0.12699555382624356</c:v>
                </c:pt>
                <c:pt idx="1">
                  <c:v>0.28122307024376914</c:v>
                </c:pt>
                <c:pt idx="2">
                  <c:v>0.29012280557179915</c:v>
                </c:pt>
                <c:pt idx="3">
                  <c:v>0.18527930333612563</c:v>
                </c:pt>
                <c:pt idx="4">
                  <c:v>8.1944401819937077E-2</c:v>
                </c:pt>
                <c:pt idx="5">
                  <c:v>2.6548734427154566E-2</c:v>
                </c:pt>
                <c:pt idx="6">
                  <c:v>6.4855805729870462E-3</c:v>
                </c:pt>
                <c:pt idx="7">
                  <c:v>1.2089339089115482E-3</c:v>
                </c:pt>
                <c:pt idx="8">
                  <c:v>1.7175589033812831E-4</c:v>
                </c:pt>
                <c:pt idx="9">
                  <c:v>1.8348105091157559E-5</c:v>
                </c:pt>
                <c:pt idx="10">
                  <c:v>1.4321487830327103E-6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7A3-9A2E-185C71B35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445C-4967-8B44-40867E573C2B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445C-4967-8B44-40867E573C2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445C-4967-8B44-40867E573C2B}"/>
              </c:ext>
            </c:extLst>
          </c:dPt>
          <c:val>
            <c:numRef>
              <c:f>'Danger-OBIWAN'!$B$37:$B$39</c:f>
              <c:numCache>
                <c:formatCode>0.0%</c:formatCode>
                <c:ptCount val="3"/>
                <c:pt idx="0">
                  <c:v>0.22881964863943663</c:v>
                </c:pt>
                <c:pt idx="1">
                  <c:v>0.48369883695159366</c:v>
                </c:pt>
                <c:pt idx="2">
                  <c:v>0.28748136232602001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967-8B44-40867E57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176C35-992C-4A40-B7CC-CE84B71A6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A026FE-98B7-4949-A07D-331FCD7D0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1CC8-98C2-4952-B075-1B5A2ABB531F}">
  <sheetPr>
    <tabColor rgb="FF00B0F0"/>
  </sheetPr>
  <dimension ref="A1:BR59"/>
  <sheetViews>
    <sheetView tabSelected="1" zoomScale="80" zoomScaleNormal="80" workbookViewId="0">
      <selection activeCell="M9" sqref="M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2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3.6837000000000009</v>
      </c>
      <c r="AM3" s="208">
        <f>SUM(AM5:AM19)</f>
        <v>3.6837000000000009</v>
      </c>
      <c r="AN3" s="208">
        <f>SUM(AN5:AN19)</f>
        <v>3.6798000000000002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5.8179133912746366E-2</v>
      </c>
      <c r="BL4">
        <v>0</v>
      </c>
      <c r="BM4">
        <v>0</v>
      </c>
      <c r="BN4" s="107">
        <f>H25*H39</f>
        <v>2.6272707022137048E-2</v>
      </c>
      <c r="BP4">
        <v>1</v>
      </c>
      <c r="BQ4">
        <v>0</v>
      </c>
      <c r="BR4" s="107">
        <f>$H$26*H39</f>
        <v>4.4169138026748149E-2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7.8933568400456566E-2</v>
      </c>
      <c r="Z5" s="69">
        <f>Z3</f>
        <v>0.56999999999999995</v>
      </c>
      <c r="AA5" s="69">
        <f>Z5*Y5</f>
        <v>4.4992133988260241E-2</v>
      </c>
      <c r="AB5" s="157">
        <f>IF($B$17="JC",IF($C$17="JC",$W$1,$V$1/0.9),IF($C$17="JC",$V$1*1.1,$U$1))*AA5/1.5</f>
        <v>4.4992133988260241E-2</v>
      </c>
      <c r="AC5" s="176">
        <f>(1-AB5)</f>
        <v>0.95500786601173981</v>
      </c>
      <c r="AD5" s="177">
        <f>AB5*PRODUCT(AC6:AC19)</f>
        <v>2.8385658312279533E-2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1.3731374061573466E-2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0.4736014104027394</v>
      </c>
      <c r="AK5" s="203">
        <f>IF(COUNTIF(F5:F10,"IMP")+COUNTIF(J5:J10,"IMP")=0,0,COUNTIF(J5:J10,"IMP")/(COUNTIF(F5:F10,"IMP")+COUNTIF(J5:J10,"IMP")))</f>
        <v>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6.0020301826134971E-2</v>
      </c>
      <c r="BL5">
        <v>1</v>
      </c>
      <c r="BM5">
        <v>1</v>
      </c>
      <c r="BN5" s="107">
        <f>$H$26*H40</f>
        <v>9.7809570742121987E-2</v>
      </c>
      <c r="BP5">
        <f>BP4+1</f>
        <v>2</v>
      </c>
      <c r="BQ5">
        <v>0</v>
      </c>
      <c r="BR5" s="107">
        <f>$H$27*H39</f>
        <v>3.4085781449351829E-2</v>
      </c>
    </row>
    <row r="6" spans="1:70" x14ac:dyDescent="0.25">
      <c r="A6" s="2" t="s">
        <v>1</v>
      </c>
      <c r="B6" s="168">
        <v>9.5</v>
      </c>
      <c r="C6" s="169">
        <v>8.5</v>
      </c>
      <c r="E6" s="192" t="s">
        <v>17</v>
      </c>
      <c r="F6" s="167"/>
      <c r="G6" s="167"/>
      <c r="H6" s="10"/>
      <c r="I6" s="10"/>
      <c r="J6" s="166" t="s">
        <v>154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5.1967518954834514E-2</v>
      </c>
      <c r="Z6" s="69">
        <f>Z3</f>
        <v>0.56999999999999995</v>
      </c>
      <c r="AA6" s="69">
        <f t="shared" ref="AA6:AA19" si="6">Z6*Y6</f>
        <v>2.9621485804255672E-2</v>
      </c>
      <c r="AB6" s="157">
        <f t="shared" ref="AB6:AB19" si="7">IF($B$17="JC",IF($C$17="JC",$W$1,$V$1/0.9),IF($C$17="JC",$V$1*1.1,$U$1))*AA6/1.5</f>
        <v>2.9621485804255675E-2</v>
      </c>
      <c r="AC6" s="176">
        <f t="shared" ref="AC6:AC19" si="8">(1-AB6)</f>
        <v>0.97037851419574428</v>
      </c>
      <c r="AD6" s="177">
        <f>AB6*AC5*PRODUCT(AC7:AC19)</f>
        <v>1.8392255606561339E-2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8.3356952190321645E-3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0.41574015163867611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3.833038801087351E-2</v>
      </c>
      <c r="BL6">
        <f>BH14+1</f>
        <v>2</v>
      </c>
      <c r="BM6">
        <v>2</v>
      </c>
      <c r="BN6" s="107">
        <f>$H$27*H41</f>
        <v>7.7869360353539946E-2</v>
      </c>
      <c r="BP6">
        <f>BL5+1</f>
        <v>2</v>
      </c>
      <c r="BQ6">
        <v>1</v>
      </c>
      <c r="BR6" s="107">
        <f>$H$27*H40</f>
        <v>7.5480659141500997E-2</v>
      </c>
    </row>
    <row r="7" spans="1:70" x14ac:dyDescent="0.25">
      <c r="A7" s="5" t="s">
        <v>2</v>
      </c>
      <c r="B7" s="168">
        <v>6</v>
      </c>
      <c r="C7" s="169">
        <v>11.75</v>
      </c>
      <c r="E7" s="192" t="s">
        <v>18</v>
      </c>
      <c r="F7" s="167" t="s">
        <v>16</v>
      </c>
      <c r="G7" s="167"/>
      <c r="H7" s="10"/>
      <c r="I7" s="10"/>
      <c r="J7" s="166" t="s">
        <v>146</v>
      </c>
      <c r="K7" s="166"/>
      <c r="L7" s="10"/>
      <c r="M7" s="10"/>
      <c r="O7" s="67">
        <f t="shared" si="1"/>
        <v>0</v>
      </c>
      <c r="P7" s="210">
        <f>P2</f>
        <v>0.45</v>
      </c>
      <c r="Q7" s="214">
        <f t="shared" si="2"/>
        <v>0</v>
      </c>
      <c r="R7" s="157">
        <f t="shared" si="3"/>
        <v>0</v>
      </c>
      <c r="S7" s="176">
        <f t="shared" si="4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0</v>
      </c>
      <c r="AH7">
        <f>COUNTIF(J14:J18,"IMP")</f>
        <v>0</v>
      </c>
      <c r="AI7" s="207">
        <f t="shared" si="9"/>
        <v>0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0</v>
      </c>
      <c r="AO7">
        <v>1</v>
      </c>
      <c r="BH7">
        <v>0</v>
      </c>
      <c r="BI7">
        <v>4</v>
      </c>
      <c r="BJ7" s="107">
        <f t="shared" si="0"/>
        <v>1.6952571930707899E-2</v>
      </c>
      <c r="BL7">
        <f>BH23+1</f>
        <v>3</v>
      </c>
      <c r="BM7">
        <v>3</v>
      </c>
      <c r="BN7" s="107">
        <f>$H$28*H42</f>
        <v>2.3329823567249035E-2</v>
      </c>
      <c r="BP7">
        <f>BP5+1</f>
        <v>3</v>
      </c>
      <c r="BQ7">
        <v>0</v>
      </c>
      <c r="BR7" s="107">
        <f>$H$28*H39</f>
        <v>1.5990905682629793E-2</v>
      </c>
    </row>
    <row r="8" spans="1:70" x14ac:dyDescent="0.25">
      <c r="A8" s="5" t="s">
        <v>3</v>
      </c>
      <c r="B8" s="168">
        <v>10.75</v>
      </c>
      <c r="C8" s="169">
        <v>13.75</v>
      </c>
      <c r="E8" s="192" t="s">
        <v>18</v>
      </c>
      <c r="F8" s="167"/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7.0844234845539283E-2</v>
      </c>
      <c r="Z8" s="69">
        <f>Z2</f>
        <v>0.45</v>
      </c>
      <c r="AA8" s="69">
        <f t="shared" si="6"/>
        <v>3.1879905680492676E-2</v>
      </c>
      <c r="AB8" s="157">
        <f t="shared" si="7"/>
        <v>3.1879905680492676E-2</v>
      </c>
      <c r="AC8" s="176">
        <f t="shared" si="8"/>
        <v>0.9681200943195073</v>
      </c>
      <c r="AD8" s="177">
        <f>AB8*PRODUCT(AC5:AC7)*PRODUCT(AC9:AC19)</f>
        <v>1.9840705939837146E-2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8.3388099798693896E-3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0.46048752649600533</v>
      </c>
      <c r="AK8" s="203">
        <f>IF(COUNTIF(F6:F18,"IMP")+COUNTIF(J6:J18,"IMP")=0,0,COUNTIF(J6:J18,"IMP")/(COUNTIF(F6:F18,"IMP")+COUNTIF(J6:J18,"IMP")))</f>
        <v>1</v>
      </c>
      <c r="AL8">
        <f>COUNTIF(J6:J18,"IMP")</f>
        <v>2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5.4923743422347748E-3</v>
      </c>
      <c r="BL8">
        <f>BH31+1</f>
        <v>4</v>
      </c>
      <c r="BM8">
        <v>4</v>
      </c>
      <c r="BN8" s="107">
        <f>$H$29*H43</f>
        <v>3.2848936360539574E-3</v>
      </c>
      <c r="BP8">
        <f>BP6+1</f>
        <v>3</v>
      </c>
      <c r="BQ8">
        <v>1</v>
      </c>
      <c r="BR8" s="107">
        <f>$H$28*H40</f>
        <v>3.5410779799429325E-2</v>
      </c>
    </row>
    <row r="9" spans="1:70" x14ac:dyDescent="0.25">
      <c r="A9" s="5" t="s">
        <v>4</v>
      </c>
      <c r="B9" s="168">
        <v>6.5</v>
      </c>
      <c r="C9" s="169">
        <v>11.5</v>
      </c>
      <c r="E9" s="192" t="s">
        <v>18</v>
      </c>
      <c r="F9" s="167" t="s">
        <v>16</v>
      </c>
      <c r="G9" s="167"/>
      <c r="H9" s="10"/>
      <c r="I9" s="10"/>
      <c r="J9" s="166" t="s">
        <v>16</v>
      </c>
      <c r="K9" s="166"/>
      <c r="L9" s="10"/>
      <c r="M9" s="10"/>
      <c r="O9" s="67">
        <f t="shared" si="1"/>
        <v>2.3024376324800262E-2</v>
      </c>
      <c r="P9" s="210">
        <f>P2</f>
        <v>0.45</v>
      </c>
      <c r="Q9" s="214">
        <f t="shared" si="2"/>
        <v>1.0360969346160119E-2</v>
      </c>
      <c r="R9" s="157">
        <f t="shared" si="3"/>
        <v>1.0360969346160119E-2</v>
      </c>
      <c r="S9" s="176">
        <f t="shared" si="4"/>
        <v>0.98963903065383985</v>
      </c>
      <c r="T9" s="177">
        <f>R9*PRODUCT(S5:S8)*PRODUCT(S10:S19)</f>
        <v>8.8006716926145034E-3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1.4610780967548734E-3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2</v>
      </c>
      <c r="AI9" s="207">
        <f t="shared" si="9"/>
        <v>1.1512188162400131E-2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1.341730108879927E-3</v>
      </c>
      <c r="BL9">
        <f>BH38+1</f>
        <v>5</v>
      </c>
      <c r="BM9">
        <v>5</v>
      </c>
      <c r="BN9" s="107">
        <f>$H$30*H44</f>
        <v>2.4303226630593313E-4</v>
      </c>
      <c r="BP9">
        <f>BL6+1</f>
        <v>3</v>
      </c>
      <c r="BQ9">
        <v>2</v>
      </c>
      <c r="BR9" s="107">
        <f>$H$28*H41</f>
        <v>3.6531408230449931E-2</v>
      </c>
    </row>
    <row r="10" spans="1:70" x14ac:dyDescent="0.25">
      <c r="A10" s="6" t="s">
        <v>5</v>
      </c>
      <c r="B10" s="168">
        <v>6.25</v>
      </c>
      <c r="C10" s="169">
        <v>6.5</v>
      </c>
      <c r="E10" s="192" t="s">
        <v>17</v>
      </c>
      <c r="F10" s="167"/>
      <c r="G10" s="167"/>
      <c r="H10" s="10"/>
      <c r="I10" s="10"/>
      <c r="J10" s="166" t="s">
        <v>21</v>
      </c>
      <c r="K10" s="166"/>
      <c r="L10" s="10"/>
      <c r="M10" s="10"/>
      <c r="O10" s="67">
        <f t="shared" si="1"/>
        <v>2.08554133376814E-2</v>
      </c>
      <c r="P10" s="210">
        <f>P3</f>
        <v>0.56999999999999995</v>
      </c>
      <c r="Q10" s="214">
        <f t="shared" si="2"/>
        <v>1.1887585602478396E-2</v>
      </c>
      <c r="R10" s="157">
        <f t="shared" si="3"/>
        <v>1.1887585602478398E-2</v>
      </c>
      <c r="S10" s="176">
        <f t="shared" si="4"/>
        <v>0.98811241439752162</v>
      </c>
      <c r="T10" s="177">
        <f>R10*PRODUCT(S5:S9)*PRODUCT(S11:S19)</f>
        <v>1.011298930728613E-2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1.5572823296735065E-3</v>
      </c>
      <c r="W10" s="186" t="s">
        <v>46</v>
      </c>
      <c r="X10" s="15" t="s">
        <v>47</v>
      </c>
      <c r="Y10" s="69">
        <f t="shared" si="5"/>
        <v>8.34216533507256E-2</v>
      </c>
      <c r="Z10" s="69">
        <f>Z3</f>
        <v>0.56999999999999995</v>
      </c>
      <c r="AA10" s="69">
        <f t="shared" si="6"/>
        <v>4.7550342409913585E-2</v>
      </c>
      <c r="AB10" s="157">
        <f t="shared" si="7"/>
        <v>4.7550342409913592E-2</v>
      </c>
      <c r="AC10" s="176">
        <f t="shared" si="8"/>
        <v>0.95244965759008637</v>
      </c>
      <c r="AD10" s="177">
        <f>AB10*PRODUCT(AC5:AC9)*PRODUCT(AC11:AC19)</f>
        <v>3.0080215666687657E-2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1.1140620267828982E-2</v>
      </c>
      <c r="AG10" s="203">
        <f>IF(COUNTIF(F11:F18,"RAP")+COUNTIF(J11:J18,"RAP")=0,0,COUNTIF(F11:F18,"RAP")/(COUNTIF(F11:F18,"RAP")+COUNTIF(J11:J18,"RAP")))</f>
        <v>0.33333333333333331</v>
      </c>
      <c r="AH10">
        <f>COUNTIF(F11:F18,"RAP")</f>
        <v>1</v>
      </c>
      <c r="AI10" s="207">
        <f t="shared" si="9"/>
        <v>0.5005299201043536</v>
      </c>
      <c r="AK10" s="203">
        <f>IF(COUNTIF(F11:F18,"RAP")+COUNTIF(J11:J18,"RAP")=0,0,COUNTIF(J11:J18,"RAP")/(COUNTIF(F11:F18,"RAP")+COUNTIF(J11:J18,"RAP")))</f>
        <v>0.66666666666666663</v>
      </c>
      <c r="AL10">
        <f>COUNTIF(J11:J18,"RAP")</f>
        <v>2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2.501029795217636E-4</v>
      </c>
      <c r="BL10">
        <f>BH44+1</f>
        <v>6</v>
      </c>
      <c r="BM10">
        <v>6</v>
      </c>
      <c r="BN10" s="107">
        <f>$H$31*H45</f>
        <v>1.0021257707951644E-5</v>
      </c>
      <c r="BP10">
        <f>BP7+1</f>
        <v>4</v>
      </c>
      <c r="BQ10">
        <v>0</v>
      </c>
      <c r="BR10" s="107">
        <f>$H$29*H39</f>
        <v>5.0908527892808237E-3</v>
      </c>
    </row>
    <row r="11" spans="1:70" x14ac:dyDescent="0.25">
      <c r="A11" s="6" t="s">
        <v>6</v>
      </c>
      <c r="B11" s="168">
        <v>10.25</v>
      </c>
      <c r="C11" s="169">
        <v>3.5</v>
      </c>
      <c r="E11" s="192" t="s">
        <v>19</v>
      </c>
      <c r="F11" s="167" t="s">
        <v>16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2.08554133376814E-2</v>
      </c>
      <c r="P11" s="210">
        <f>P3</f>
        <v>0.56999999999999995</v>
      </c>
      <c r="Q11" s="214">
        <f t="shared" si="2"/>
        <v>1.1887585602478396E-2</v>
      </c>
      <c r="R11" s="157">
        <f t="shared" si="3"/>
        <v>1.1887585602478398E-2</v>
      </c>
      <c r="S11" s="176">
        <f t="shared" si="4"/>
        <v>0.98811241439752162</v>
      </c>
      <c r="T11" s="177">
        <f>R11*PRODUCT(S5:S10)*PRODUCT(S12:S19)</f>
        <v>1.0112989307286128E-2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1.4356169965235195E-3</v>
      </c>
      <c r="W11" s="186" t="s">
        <v>48</v>
      </c>
      <c r="X11" s="15" t="s">
        <v>49</v>
      </c>
      <c r="Y11" s="69">
        <f t="shared" si="5"/>
        <v>8.34216533507256E-2</v>
      </c>
      <c r="Z11" s="69">
        <f>Z3</f>
        <v>0.56999999999999995</v>
      </c>
      <c r="AA11" s="69">
        <f t="shared" si="6"/>
        <v>4.7550342409913585E-2</v>
      </c>
      <c r="AB11" s="157">
        <f t="shared" si="7"/>
        <v>4.7550342409913592E-2</v>
      </c>
      <c r="AC11" s="176">
        <f t="shared" si="8"/>
        <v>0.95244965759008637</v>
      </c>
      <c r="AD11" s="177">
        <f>AB11*PRODUCT(AC5:AC10)*PRODUCT(AC12:AC19)</f>
        <v>3.008021566668765E-2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9.6388878210620955E-3</v>
      </c>
      <c r="AG11" s="203">
        <f>IF(COUNTIF(F11:F18,"RAP")+COUNTIF(J11:J18,"RAP")=0,0,COUNTIF(F11:F18,"RAP")/(COUNTIF(F11:F18,"RAP")+COUNTIF(J11:J18,"RAP")))</f>
        <v>0.33333333333333331</v>
      </c>
      <c r="AH11">
        <f>COUNTIF(F11:F18,"RAP")</f>
        <v>1</v>
      </c>
      <c r="AI11" s="207">
        <f t="shared" si="9"/>
        <v>0.5005299201043536</v>
      </c>
      <c r="AK11" s="203">
        <f>IF(COUNTIF(F11:F18,"RAP")+COUNTIF(J11:J18,"RAP")=0,0,COUNTIF(J11:J18,"RAP")/(COUNTIF(F11:F18,"RAP")+COUNTIF(J11:J18,"RAP")))</f>
        <v>0.66666666666666663</v>
      </c>
      <c r="AL11">
        <f>COUNTIF(J11:J18,"RAP")</f>
        <v>2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3.5532678508997066E-5</v>
      </c>
      <c r="BL11">
        <f>BH50+1</f>
        <v>7</v>
      </c>
      <c r="BM11">
        <v>7</v>
      </c>
      <c r="BN11" s="107">
        <f>$H$32*H46</f>
        <v>2.3656464509382667E-7</v>
      </c>
      <c r="BP11">
        <f>BP8+1</f>
        <v>4</v>
      </c>
      <c r="BQ11">
        <v>1</v>
      </c>
      <c r="BR11" s="107">
        <f>$H$29*H40</f>
        <v>1.1273349408117282E-2</v>
      </c>
    </row>
    <row r="12" spans="1:70" x14ac:dyDescent="0.25">
      <c r="A12" s="6" t="s">
        <v>7</v>
      </c>
      <c r="B12" s="168">
        <v>6.5</v>
      </c>
      <c r="C12" s="169">
        <v>6</v>
      </c>
      <c r="E12" s="192" t="s">
        <v>19</v>
      </c>
      <c r="F12" s="167" t="s">
        <v>16</v>
      </c>
      <c r="G12" s="167"/>
      <c r="H12" s="10"/>
      <c r="I12" s="10"/>
      <c r="J12" s="166" t="s">
        <v>154</v>
      </c>
      <c r="K12" s="166"/>
      <c r="L12" s="10"/>
      <c r="M12" s="10"/>
      <c r="O12" s="67">
        <f t="shared" si="1"/>
        <v>2.7409971815238405E-3</v>
      </c>
      <c r="P12" s="210">
        <f>P2</f>
        <v>0.45</v>
      </c>
      <c r="Q12" s="214">
        <f t="shared" si="2"/>
        <v>1.2334487316857283E-3</v>
      </c>
      <c r="R12" s="157">
        <f t="shared" si="3"/>
        <v>1.2334487316857283E-3</v>
      </c>
      <c r="S12" s="176">
        <f t="shared" si="4"/>
        <v>0.99876655126831426</v>
      </c>
      <c r="T12" s="177">
        <f>R12*PRODUCT(S5:S11)*PRODUCT(S13:S19)</f>
        <v>1.03812430679785E-3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1.4608771466352615E-4</v>
      </c>
      <c r="W12" s="187" t="s">
        <v>50</v>
      </c>
      <c r="X12" s="15" t="s">
        <v>51</v>
      </c>
      <c r="Y12" s="69">
        <f t="shared" si="5"/>
        <v>2.7409971815238405E-3</v>
      </c>
      <c r="Z12" s="69">
        <f>Z2</f>
        <v>0.45</v>
      </c>
      <c r="AA12" s="69">
        <f t="shared" si="6"/>
        <v>1.2334487316857283E-3</v>
      </c>
      <c r="AB12" s="157">
        <f t="shared" si="7"/>
        <v>1.2334487316857283E-3</v>
      </c>
      <c r="AC12" s="176">
        <f t="shared" si="8"/>
        <v>0.99876655126831426</v>
      </c>
      <c r="AD12" s="177">
        <f>AB12*PRODUCT(AC5:AC11)*PRODUCT(AC13:AC19)</f>
        <v>7.4409166611209073E-4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2.3751739326944308E-4</v>
      </c>
      <c r="AG12" s="203">
        <f>IF(COUNTA(F6:F10)+COUNTA(J6:J10)=0,0,COUNTA(F6:F10)/(COUNTA(F6:F10)+COUNTA(J6:J10)))</f>
        <v>0.2857142857142857</v>
      </c>
      <c r="AH12">
        <f>COUNTA(J6:J10)</f>
        <v>5</v>
      </c>
      <c r="AI12" s="207">
        <f t="shared" si="9"/>
        <v>1.1512188162400131E-2</v>
      </c>
      <c r="AK12" s="203">
        <f>IF(COUNTA(J6:J10)+COUNTA(F6:F10)=0,0,COUNTA(J6:J10)/(COUNTA(J6:J10)+COUNTA(F6:F10)))</f>
        <v>0.7142857142857143</v>
      </c>
      <c r="AL12">
        <f>COUNTA(F6:F10)</f>
        <v>2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3.7958367434730414E-6</v>
      </c>
      <c r="BL12">
        <f>BH54+1</f>
        <v>8</v>
      </c>
      <c r="BM12">
        <v>8</v>
      </c>
      <c r="BN12" s="107">
        <f>$H$33*H47</f>
        <v>3.2051676878956185E-9</v>
      </c>
      <c r="BP12">
        <f>BP9+1</f>
        <v>4</v>
      </c>
      <c r="BQ12">
        <v>2</v>
      </c>
      <c r="BR12" s="107">
        <f>$H$29*H41</f>
        <v>1.1630111838403246E-2</v>
      </c>
    </row>
    <row r="13" spans="1:70" x14ac:dyDescent="0.25">
      <c r="A13" s="7" t="s">
        <v>8</v>
      </c>
      <c r="B13" s="168">
        <v>5.75</v>
      </c>
      <c r="C13" s="169">
        <v>12.5</v>
      </c>
      <c r="E13" s="192" t="s">
        <v>19</v>
      </c>
      <c r="F13" s="167" t="s">
        <v>123</v>
      </c>
      <c r="G13" s="167"/>
      <c r="H13" s="10"/>
      <c r="I13" s="10"/>
      <c r="J13" s="166" t="s">
        <v>146</v>
      </c>
      <c r="K13" s="166"/>
      <c r="L13" s="10"/>
      <c r="M13" s="10"/>
      <c r="O13" s="67">
        <f t="shared" si="1"/>
        <v>7.782406041089189E-2</v>
      </c>
      <c r="P13" s="210">
        <f>P3</f>
        <v>0.56999999999999995</v>
      </c>
      <c r="Q13" s="214">
        <f t="shared" si="2"/>
        <v>4.4359714434208372E-2</v>
      </c>
      <c r="R13" s="157">
        <f t="shared" si="3"/>
        <v>4.4359714434208365E-2</v>
      </c>
      <c r="S13" s="176">
        <f t="shared" si="4"/>
        <v>0.95564028556579161</v>
      </c>
      <c r="T13" s="177">
        <f>R13*PRODUCT(S5:S12)*PRODUCT(S14:S19)</f>
        <v>3.9019934743797793E-2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3.6797326536620865E-3</v>
      </c>
      <c r="W13" s="186" t="s">
        <v>52</v>
      </c>
      <c r="X13" s="15" t="s">
        <v>53</v>
      </c>
      <c r="Y13" s="69">
        <f t="shared" si="5"/>
        <v>6.9632054051850648E-2</v>
      </c>
      <c r="Z13" s="69">
        <f>Z3</f>
        <v>0.56999999999999995</v>
      </c>
      <c r="AA13" s="69">
        <f t="shared" si="6"/>
        <v>3.9690270809554867E-2</v>
      </c>
      <c r="AB13" s="157">
        <f t="shared" si="7"/>
        <v>3.9690270809554867E-2</v>
      </c>
      <c r="AC13" s="176">
        <f t="shared" si="8"/>
        <v>0.9603097291904451</v>
      </c>
      <c r="AD13" s="177">
        <f>AB13*PRODUCT(AC5:AC12)*PRODUCT(AC14:AC19)</f>
        <v>2.4902449058100701E-2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6.9197377134242715E-3</v>
      </c>
      <c r="AG13" s="203">
        <f>B22</f>
        <v>0.52777777777777779</v>
      </c>
      <c r="AH13">
        <v>1</v>
      </c>
      <c r="AI13" s="207">
        <f t="shared" si="9"/>
        <v>0.14745611446274254</v>
      </c>
      <c r="AK13" s="203">
        <f>C22</f>
        <v>0.47222222222222221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2.9628143864161833E-7</v>
      </c>
      <c r="BL13">
        <f>BH57+1</f>
        <v>9</v>
      </c>
      <c r="BM13">
        <v>9</v>
      </c>
      <c r="BN13" s="107">
        <f>$H$34*H48</f>
        <v>2.4408628005041894E-11</v>
      </c>
      <c r="BP13">
        <f>BL7+1</f>
        <v>4</v>
      </c>
      <c r="BQ13">
        <v>3</v>
      </c>
      <c r="BR13" s="107">
        <f>$H$29*H42</f>
        <v>7.4272652054831641E-3</v>
      </c>
    </row>
    <row r="14" spans="1:70" x14ac:dyDescent="0.25">
      <c r="A14" s="7" t="s">
        <v>9</v>
      </c>
      <c r="B14" s="168">
        <v>5.75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0.20952182455568244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0.16761745964454597</v>
      </c>
      <c r="AB14" s="157">
        <f t="shared" si="7"/>
        <v>0.16761745964454597</v>
      </c>
      <c r="AC14" s="176">
        <f t="shared" si="8"/>
        <v>0.832382540355454</v>
      </c>
      <c r="AD14" s="177">
        <f>AB14*PRODUCT(AC5:AC13)*PRODUCT(AC15:AC19)</f>
        <v>0.12132927970303459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9.2820631920949581E-3</v>
      </c>
      <c r="AG14" s="203">
        <f>IF(AL14=0,1,B22)</f>
        <v>0.52777777777777779</v>
      </c>
      <c r="AH14">
        <f>IF(COUNTIF(F6:F18,"CAB")&gt;0,1,0)</f>
        <v>0</v>
      </c>
      <c r="AI14" s="207">
        <f t="shared" si="9"/>
        <v>0.20952182455568244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0.10090490460430679</v>
      </c>
      <c r="BL14">
        <f>BP39+1</f>
        <v>10</v>
      </c>
      <c r="BM14">
        <v>10</v>
      </c>
      <c r="BN14" s="107">
        <f>$H$35*H49</f>
        <v>9.9323592714217798E-14</v>
      </c>
      <c r="BP14">
        <f>BP10+1</f>
        <v>5</v>
      </c>
      <c r="BQ14">
        <v>0</v>
      </c>
      <c r="BR14" s="107">
        <f>$H$30*H39</f>
        <v>1.1625419411932783E-3</v>
      </c>
    </row>
    <row r="15" spans="1:70" x14ac:dyDescent="0.25">
      <c r="A15" s="189" t="s">
        <v>71</v>
      </c>
      <c r="B15" s="170">
        <v>4.75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2.0605148377629223E-2</v>
      </c>
      <c r="P15" s="210">
        <f>R3</f>
        <v>0.7</v>
      </c>
      <c r="Q15" s="214">
        <f t="shared" si="2"/>
        <v>1.4423603864340455E-2</v>
      </c>
      <c r="R15" s="157">
        <f t="shared" si="3"/>
        <v>1.4423603864340455E-2</v>
      </c>
      <c r="S15" s="176">
        <f t="shared" si="4"/>
        <v>0.9855763961356595</v>
      </c>
      <c r="T15" s="177">
        <f>R15*PRODUCT(S5:S14)*PRODUCT(S16:S19)</f>
        <v>1.2302000455835132E-2</v>
      </c>
      <c r="U15" s="177">
        <f>R15*R16*PRODUCT(S5:S14)*PRODUCT(S17:S19)+R15*R17*PRODUCT(S5:S14)*S16*PRODUCT(S18:S19)+R15*R18*PRODUCT(S5:S14)*S16*S17*S19+R15*R19*PRODUCT(S5:S14)*S16*S17*S18</f>
        <v>9.8009087075994774E-4</v>
      </c>
      <c r="W15" s="186" t="s">
        <v>56</v>
      </c>
      <c r="X15" s="15" t="s">
        <v>57</v>
      </c>
      <c r="Y15" s="69">
        <f t="shared" si="5"/>
        <v>1.8436185390510354E-2</v>
      </c>
      <c r="Z15" s="69">
        <f>AB3</f>
        <v>0.7</v>
      </c>
      <c r="AA15" s="69">
        <f t="shared" si="6"/>
        <v>1.2905329773357246E-2</v>
      </c>
      <c r="AB15" s="157">
        <f t="shared" si="7"/>
        <v>1.2905329773357246E-2</v>
      </c>
      <c r="AC15" s="176">
        <f t="shared" si="8"/>
        <v>0.98709467022664277</v>
      </c>
      <c r="AD15" s="177">
        <f>AB15*PRODUCT(AC5:AC14)*PRODUCT(AC16:AC19)</f>
        <v>7.87734065258173E-3</v>
      </c>
      <c r="AE15" s="177">
        <f>AB15*AB16*PRODUCT(AC5:AC14)*PRODUCT(AC17:AC19)+AB15*AB17*PRODUCT(AC5:AC14)*AC16*PRODUCT(AC18:AC19)+AB15*AB18*PRODUCT(AC5:AC14)*AC16*AC17*AC19+AB15*AB19*PRODUCT(AC5:AC14)*AC16*AC17*AC18</f>
        <v>4.996520131355011E-4</v>
      </c>
      <c r="AG15" s="203">
        <f>IF(AL15=0,1,B22)</f>
        <v>0.52777777777777779</v>
      </c>
      <c r="AH15">
        <v>1</v>
      </c>
      <c r="AI15" s="207">
        <f t="shared" si="9"/>
        <v>3.9041333768139577E-2</v>
      </c>
      <c r="AK15" s="203">
        <f>IF(AH15=0,1,C22)</f>
        <v>0.47222222222222221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6.4440264843838427E-2</v>
      </c>
      <c r="BP15">
        <f>BP11+1</f>
        <v>5</v>
      </c>
      <c r="BQ15">
        <v>1</v>
      </c>
      <c r="BR15" s="107">
        <f>$H$30*H40</f>
        <v>2.5743705518764736E-3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/>
      <c r="K16" s="166"/>
      <c r="L16" s="10"/>
      <c r="M16" s="10"/>
      <c r="O16" s="67">
        <f t="shared" si="1"/>
        <v>1.4748948312408285E-2</v>
      </c>
      <c r="P16" s="210">
        <v>0.15</v>
      </c>
      <c r="Q16" s="214">
        <f t="shared" si="2"/>
        <v>2.2123422468612428E-3</v>
      </c>
      <c r="R16" s="157">
        <f t="shared" si="3"/>
        <v>2.2123422468612428E-3</v>
      </c>
      <c r="S16" s="176">
        <f t="shared" si="4"/>
        <v>0.99778765775313871</v>
      </c>
      <c r="T16" s="177">
        <f>R16*PRODUCT(S5:S15)*PRODUCT(S17:S19)</f>
        <v>1.8638305739787004E-3</v>
      </c>
      <c r="U16" s="177">
        <f>R16*R17*PRODUCT(S5:S15)*PRODUCT(S18:S19)+R16*R18*PRODUCT(S5:S15)*S17*S19+R16*R19*PRODUCT(S5:S15)*S17*S18</f>
        <v>1.4435736788981319E-4</v>
      </c>
      <c r="W16" s="187" t="s">
        <v>58</v>
      </c>
      <c r="X16" s="15" t="s">
        <v>59</v>
      </c>
      <c r="Y16" s="69">
        <f t="shared" si="5"/>
        <v>1.6484118702103378E-2</v>
      </c>
      <c r="Z16" s="69">
        <v>0.15</v>
      </c>
      <c r="AA16" s="69">
        <f t="shared" si="6"/>
        <v>2.4726178053155064E-3</v>
      </c>
      <c r="AB16" s="157">
        <f t="shared" si="7"/>
        <v>2.4726178053155064E-3</v>
      </c>
      <c r="AC16" s="176">
        <f t="shared" si="8"/>
        <v>0.99752738219468451</v>
      </c>
      <c r="AD16" s="177">
        <f>AB16*PRODUCT(AC5:AC15)*PRODUCT(AC17:AC19)</f>
        <v>1.4934871607683014E-3</v>
      </c>
      <c r="AE16" s="177">
        <f>AB16*AB17*PRODUCT(AC5:AC15)*PRODUCT(AC18:AC19)+AB16*AB18*PRODUCT(AC5:AC15)*AC17*AC19+AB16*AB19*PRODUCT(AC5:AC15)*AC17*AC18</f>
        <v>9.1028453378945602E-5</v>
      </c>
      <c r="AG16" s="203">
        <f>C22</f>
        <v>0.47222222222222221</v>
      </c>
      <c r="AH16">
        <v>1</v>
      </c>
      <c r="AI16" s="207">
        <f t="shared" si="9"/>
        <v>3.1233067014511662E-2</v>
      </c>
      <c r="AK16" s="203">
        <f>B22</f>
        <v>0.52777777777777779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2.850031741627921E-2</v>
      </c>
      <c r="BP16">
        <f>BP12+1</f>
        <v>5</v>
      </c>
      <c r="BQ16">
        <v>2</v>
      </c>
      <c r="BR16" s="107">
        <f>$H$30*H41</f>
        <v>2.6558404559213849E-3</v>
      </c>
    </row>
    <row r="17" spans="1:70" x14ac:dyDescent="0.25">
      <c r="A17" s="188" t="s">
        <v>10</v>
      </c>
      <c r="B17" s="172" t="s">
        <v>163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 t="s">
        <v>123</v>
      </c>
      <c r="K17" s="166"/>
      <c r="L17" s="10"/>
      <c r="M17" s="10"/>
      <c r="O17" s="67">
        <f t="shared" si="1"/>
        <v>5.4507708299364105E-2</v>
      </c>
      <c r="P17" s="210">
        <f>P3</f>
        <v>0.56999999999999995</v>
      </c>
      <c r="Q17" s="214">
        <f t="shared" si="2"/>
        <v>3.1069393730637537E-2</v>
      </c>
      <c r="R17" s="157">
        <f t="shared" si="3"/>
        <v>3.1069393730637537E-2</v>
      </c>
      <c r="S17" s="176">
        <f t="shared" si="4"/>
        <v>0.96893060626936245</v>
      </c>
      <c r="T17" s="177">
        <f>R17*PRODUCT(S5:S16)*PRODUCT(S18:S19)</f>
        <v>2.6954566444648644E-2</v>
      </c>
      <c r="U17" s="177">
        <f>R17*R18*PRODUCT(S5:S16)*S19+R17*R19*PRODUCT(S5:S16)*S18</f>
        <v>1.2233687288958272E-3</v>
      </c>
      <c r="W17" s="186" t="s">
        <v>60</v>
      </c>
      <c r="X17" s="15" t="s">
        <v>61</v>
      </c>
      <c r="Y17" s="69">
        <f t="shared" si="5"/>
        <v>5.4507708299364105E-2</v>
      </c>
      <c r="Z17" s="69">
        <f>Z3</f>
        <v>0.56999999999999995</v>
      </c>
      <c r="AA17" s="69">
        <f t="shared" si="6"/>
        <v>3.1069393730637537E-2</v>
      </c>
      <c r="AB17" s="157">
        <f t="shared" si="7"/>
        <v>3.1069393730637537E-2</v>
      </c>
      <c r="AC17" s="176">
        <f t="shared" si="8"/>
        <v>0.96893060626936245</v>
      </c>
      <c r="AD17" s="177">
        <f>AB17*PRODUCT(AC5:AC16)*PRODUCT(AC18:AC19)</f>
        <v>1.9320102731236043E-2</v>
      </c>
      <c r="AE17" s="177">
        <f>AB17*AB18*PRODUCT(AC5:AC16)*AC19+AB17*AB19*PRODUCT(AC5:AC16)*AC18</f>
        <v>5.5805384474342883E-4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0.10901541659872821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9.2336674790432418E-3</v>
      </c>
      <c r="BP17">
        <f>BP13+1</f>
        <v>5</v>
      </c>
      <c r="BQ17">
        <v>3</v>
      </c>
      <c r="BR17" s="107">
        <f>$H$30*H42</f>
        <v>1.6960826932415527E-3</v>
      </c>
    </row>
    <row r="18" spans="1:70" x14ac:dyDescent="0.25">
      <c r="A18" s="188" t="s">
        <v>12</v>
      </c>
      <c r="B18" s="172">
        <v>13</v>
      </c>
      <c r="C18" s="173">
        <v>21</v>
      </c>
      <c r="E18" s="192" t="s">
        <v>22</v>
      </c>
      <c r="F18" s="167" t="s">
        <v>21</v>
      </c>
      <c r="G18" s="167"/>
      <c r="H18" s="10"/>
      <c r="I18" s="10"/>
      <c r="J18" s="166"/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4.1043453448556998E-2</v>
      </c>
      <c r="Z18" s="69">
        <f>Z17*1.2</f>
        <v>0.68399999999999994</v>
      </c>
      <c r="AA18" s="69">
        <f t="shared" si="6"/>
        <v>2.8073722158812982E-2</v>
      </c>
      <c r="AB18" s="157">
        <f t="shared" si="7"/>
        <v>2.8073722158812982E-2</v>
      </c>
      <c r="AC18" s="176">
        <f t="shared" si="8"/>
        <v>0.97192627784118701</v>
      </c>
      <c r="AD18" s="177">
        <f>AB18*PRODUCT(AC5:AC17)*PRODUCT(AC19:AC19)</f>
        <v>1.7403476064130584E-2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0.16417381379422799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2.2556892338435859E-3</v>
      </c>
      <c r="BP18">
        <f>BL8+1</f>
        <v>5</v>
      </c>
      <c r="BQ18">
        <v>4</v>
      </c>
      <c r="BR18" s="107">
        <f>$H$30*H43</f>
        <v>7.5013495426786705E-4</v>
      </c>
    </row>
    <row r="19" spans="1:70" x14ac:dyDescent="0.25">
      <c r="H19" s="13" t="s">
        <v>151</v>
      </c>
      <c r="L19" s="13" t="s">
        <v>151</v>
      </c>
      <c r="O19" s="67">
        <f t="shared" si="1"/>
        <v>7.6168140591880013E-2</v>
      </c>
      <c r="P19" s="210">
        <f>P3</f>
        <v>0.56999999999999995</v>
      </c>
      <c r="Q19" s="214">
        <f t="shared" si="2"/>
        <v>4.3415840137371604E-2</v>
      </c>
      <c r="R19" s="157">
        <f t="shared" si="3"/>
        <v>4.3415840137371604E-2</v>
      </c>
      <c r="S19" s="178">
        <f t="shared" si="4"/>
        <v>0.95658415986262835</v>
      </c>
      <c r="T19" s="179">
        <f>R19*PRODUCT(S5:S18)</f>
        <v>3.8151996606587461E-2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1</v>
      </c>
      <c r="AH19">
        <f>COUNTIF(F11:F18,"TEC")</f>
        <v>1</v>
      </c>
      <c r="AI19" s="207">
        <f t="shared" si="9"/>
        <v>0.6093451247350401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208">
        <v>0.60870000000000002</v>
      </c>
      <c r="AN19" s="209">
        <f t="shared" si="10"/>
        <v>0.60870000000000002</v>
      </c>
      <c r="AO19">
        <f>1/8</f>
        <v>0.125</v>
      </c>
      <c r="BH19">
        <v>1</v>
      </c>
      <c r="BI19">
        <v>7</v>
      </c>
      <c r="BJ19" s="107">
        <f t="shared" si="11"/>
        <v>4.2046801702199255E-4</v>
      </c>
      <c r="BP19">
        <f>BP15+1</f>
        <v>6</v>
      </c>
      <c r="BQ19">
        <v>1</v>
      </c>
      <c r="BR19" s="107">
        <f>$H$31*H40</f>
        <v>4.3453455378725226E-4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0.84060553718456177</v>
      </c>
      <c r="T20" s="181">
        <f>SUM(T5:T19)</f>
        <v>0.14835710343883235</v>
      </c>
      <c r="U20" s="181">
        <f>SUM(U5:U19)</f>
        <v>1.0627614758823102E-2</v>
      </c>
      <c r="V20" s="181">
        <f>1-S20-T20-U20</f>
        <v>4.0974461778277987E-4</v>
      </c>
      <c r="W20" s="21"/>
      <c r="X20" s="22"/>
      <c r="Y20" s="22"/>
      <c r="Z20" s="22"/>
      <c r="AA20" s="22"/>
      <c r="AB20" s="23"/>
      <c r="AC20" s="184">
        <f>PRODUCT(AC5:AC19)</f>
        <v>0.60251703058187656</v>
      </c>
      <c r="AD20" s="181">
        <f>SUM(AD5:AD19)</f>
        <v>0.31984927822801729</v>
      </c>
      <c r="AE20" s="181">
        <f>SUM(AE5:AE19)</f>
        <v>6.8773439959412638E-2</v>
      </c>
      <c r="AF20" s="181">
        <f>1-AC20-AD20-AE20</f>
        <v>8.8602512306935194E-3</v>
      </c>
      <c r="BH20">
        <v>1</v>
      </c>
      <c r="BI20">
        <v>8</v>
      </c>
      <c r="BJ20" s="107">
        <f t="shared" si="11"/>
        <v>5.9736812814970392E-5</v>
      </c>
      <c r="BP20">
        <f>BP16+1</f>
        <v>6</v>
      </c>
      <c r="BQ20">
        <v>2</v>
      </c>
      <c r="BR20" s="107">
        <f>$H$31*H41</f>
        <v>4.4828606612312845E-4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6.3814831455394295E-6</v>
      </c>
      <c r="BP21">
        <f>BP17+1</f>
        <v>6</v>
      </c>
      <c r="BQ21">
        <v>3</v>
      </c>
      <c r="BR21" s="107">
        <f>$H$31*H42</f>
        <v>2.8628611205826248E-4</v>
      </c>
    </row>
    <row r="22" spans="1:70" x14ac:dyDescent="0.25">
      <c r="A22" s="26" t="s">
        <v>77</v>
      </c>
      <c r="B22" s="62">
        <f>(B6)/((B6)+(C6))</f>
        <v>0.52777777777777779</v>
      </c>
      <c r="C22" s="63">
        <f>1-B22</f>
        <v>0.47222222222222221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11"/>
        <v>4.9810229859826161E-7</v>
      </c>
      <c r="BP22">
        <f>BP18+1</f>
        <v>6</v>
      </c>
      <c r="BQ22">
        <v>4</v>
      </c>
      <c r="BR22" s="107">
        <f>$H$31*H43</f>
        <v>1.2661718702282958E-4</v>
      </c>
    </row>
    <row r="23" spans="1:70" ht="15.75" thickBot="1" x14ac:dyDescent="0.3">
      <c r="A23" s="40" t="s">
        <v>67</v>
      </c>
      <c r="B23" s="56">
        <f>((B22^2.8)/((B22^2.8)+(C22^2.8)))*B21</f>
        <v>2.8861735172437304</v>
      </c>
      <c r="C23" s="57">
        <f>B21-B23</f>
        <v>2.1138264827562696</v>
      </c>
      <c r="D23" s="151">
        <f>SUM(D25:D30)</f>
        <v>1</v>
      </c>
      <c r="E23" s="151">
        <f>SUM(E25:E30)</f>
        <v>1</v>
      </c>
      <c r="H23" s="59">
        <f>SUM(H25:H35)</f>
        <v>0.99999999741865053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0.99999999999999989</v>
      </c>
      <c r="O23" s="34"/>
      <c r="P23" s="59">
        <f>SUM(P25:P35)</f>
        <v>0.99999999999999989</v>
      </c>
      <c r="R23" s="59">
        <f>SUM(R25:R35)</f>
        <v>1</v>
      </c>
      <c r="T23" s="59">
        <f>SUM(T25:T35)</f>
        <v>1</v>
      </c>
      <c r="V23" s="59">
        <f>SUM(V25:V34)</f>
        <v>0.99559048168678954</v>
      </c>
      <c r="Y23" s="80">
        <f>SUM(Y25:Y35)</f>
        <v>1.8056744963939263E-4</v>
      </c>
      <c r="Z23" s="81"/>
      <c r="AA23" s="80">
        <f>SUM(AA25:AA35)</f>
        <v>2.4672441270289628E-3</v>
      </c>
      <c r="AB23" s="81"/>
      <c r="AC23" s="80">
        <f>SUM(AC25:AC35)</f>
        <v>1.5172883441798247E-2</v>
      </c>
      <c r="AD23" s="81"/>
      <c r="AE23" s="80">
        <f>SUM(AE25:AE35)</f>
        <v>5.5306685941884204E-2</v>
      </c>
      <c r="AF23" s="81"/>
      <c r="AG23" s="80">
        <f>SUM(AG25:AG35)</f>
        <v>0.13234127253421527</v>
      </c>
      <c r="AH23" s="81"/>
      <c r="AI23" s="80">
        <f>SUM(AI25:AI35)</f>
        <v>0.21725216895530047</v>
      </c>
      <c r="AJ23" s="81"/>
      <c r="AK23" s="80">
        <f>SUM(AK25:AK35)</f>
        <v>0.24785772493213945</v>
      </c>
      <c r="AL23" s="81"/>
      <c r="AM23" s="80">
        <f>SUM(AM25:AM35)</f>
        <v>0.19416153948038714</v>
      </c>
      <c r="AN23" s="81"/>
      <c r="AO23" s="80">
        <f>SUM(AO25:AO35)</f>
        <v>0.10007965372276602</v>
      </c>
      <c r="AP23" s="81"/>
      <c r="AQ23" s="80">
        <f>SUM(AQ25:AQ35)</f>
        <v>3.0770741101630257E-2</v>
      </c>
      <c r="AR23" s="81"/>
      <c r="AS23" s="80">
        <f>SUM(AS25:AS35)</f>
        <v>4.4095183132104579E-3</v>
      </c>
      <c r="BH23">
        <f t="shared" ref="BH23:BH30" si="12">BH15+1</f>
        <v>2</v>
      </c>
      <c r="BI23">
        <v>3</v>
      </c>
      <c r="BJ23" s="107">
        <f t="shared" ref="BJ23:BJ30" si="13">$H$27*H42</f>
        <v>4.9729220042176545E-2</v>
      </c>
      <c r="BP23">
        <f>BL9+1</f>
        <v>6</v>
      </c>
      <c r="BQ23">
        <v>5</v>
      </c>
      <c r="BR23" s="107">
        <f>$H$31*H44</f>
        <v>4.1022034422424751E-5</v>
      </c>
    </row>
    <row r="24" spans="1:70" ht="15.75" thickBot="1" x14ac:dyDescent="0.3">
      <c r="A24" s="26" t="s">
        <v>76</v>
      </c>
      <c r="B24" s="64">
        <f>B23/B21</f>
        <v>0.57723470344874606</v>
      </c>
      <c r="C24" s="65">
        <f>C23/B21</f>
        <v>0.42276529655125394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2.1993990240428741E-2</v>
      </c>
      <c r="BP24">
        <f>BH49+1</f>
        <v>7</v>
      </c>
      <c r="BQ24">
        <v>0</v>
      </c>
      <c r="BR24" s="107">
        <f t="shared" ref="BR24:BR30" si="14">$H$32*H39</f>
        <v>2.4850538063282451E-5</v>
      </c>
    </row>
    <row r="25" spans="1:70" x14ac:dyDescent="0.25">
      <c r="A25" s="26" t="s">
        <v>69</v>
      </c>
      <c r="B25" s="117">
        <f>1/(1+EXP(-3.1416*4*((B11/(B11+C8))-(3.1416/6))))</f>
        <v>0.22919415442970489</v>
      </c>
      <c r="C25" s="118">
        <f>1/(1+EXP(-3.1416*4*((C11/(C11+B8))-(3.1416/6))))</f>
        <v>2.9503960032390836E-2</v>
      </c>
      <c r="D25" s="153">
        <f>IF(B17="AOW", 0.36-0.08, IF(B17="AIM", 0.36+0.08, IF(B17="TL",(0.361)-(0.36*B32),0.36)))</f>
        <v>0.44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0.20687895151103949</v>
      </c>
      <c r="I25" s="97">
        <v>0</v>
      </c>
      <c r="J25" s="98">
        <f t="shared" ref="J25:J35" si="15">Y25+AA25+AC25+AE25+AG25+AI25+AK25+AM25+AO25+AQ25+AS25</f>
        <v>0.24610705302268018</v>
      </c>
      <c r="K25" s="97">
        <v>0</v>
      </c>
      <c r="L25" s="98">
        <f>S20</f>
        <v>0.84060553718456177</v>
      </c>
      <c r="M25" s="84">
        <v>0</v>
      </c>
      <c r="N25" s="71">
        <f>(1-$B$24)^$B$21</f>
        <v>1.3505064144457556E-2</v>
      </c>
      <c r="O25" s="70">
        <v>0</v>
      </c>
      <c r="P25" s="71">
        <f>N25</f>
        <v>1.3505064144457556E-2</v>
      </c>
      <c r="Q25" s="12">
        <v>0</v>
      </c>
      <c r="R25" s="73">
        <f>P25*N25</f>
        <v>1.8238675754591311E-4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1.8056744963939263E-4</v>
      </c>
      <c r="W25" s="136">
        <f>B31</f>
        <v>0.22628243682933377</v>
      </c>
      <c r="X25" s="12">
        <v>0</v>
      </c>
      <c r="Y25" s="79">
        <f>V25</f>
        <v>1.8056744963939263E-4</v>
      </c>
      <c r="Z25" s="12">
        <v>0</v>
      </c>
      <c r="AA25" s="78">
        <f>((1-W25)^Z26)*V26</f>
        <v>1.9089501137119866E-3</v>
      </c>
      <c r="AB25" s="12">
        <v>0</v>
      </c>
      <c r="AC25" s="79">
        <f>(((1-$W$25)^AB27))*V27</f>
        <v>9.083077761199071E-3</v>
      </c>
      <c r="AD25" s="12">
        <v>0</v>
      </c>
      <c r="AE25" s="79">
        <f>(((1-$W$25)^AB28))*V28</f>
        <v>2.561680731943982E-2</v>
      </c>
      <c r="AF25" s="12">
        <v>0</v>
      </c>
      <c r="AG25" s="79">
        <f>(((1-$W$25)^AB29))*V29</f>
        <v>4.7426942499313257E-2</v>
      </c>
      <c r="AH25" s="12">
        <v>0</v>
      </c>
      <c r="AI25" s="79">
        <f>(((1-$W$25)^AB30))*V30</f>
        <v>6.0238811900213109E-2</v>
      </c>
      <c r="AJ25" s="12">
        <v>0</v>
      </c>
      <c r="AK25" s="79">
        <f>(((1-$W$25)^AB31))*V31</f>
        <v>5.317373795744107E-2</v>
      </c>
      <c r="AL25" s="12">
        <v>0</v>
      </c>
      <c r="AM25" s="79">
        <f>(((1-$W$25)^AB32))*V32</f>
        <v>3.2228522363472512E-2</v>
      </c>
      <c r="AN25" s="12">
        <v>0</v>
      </c>
      <c r="AO25" s="79">
        <f>(((1-$W$25)^AB33))*V33</f>
        <v>1.2853027497910056E-2</v>
      </c>
      <c r="AP25" s="12">
        <v>0</v>
      </c>
      <c r="AQ25" s="79">
        <f>(((1-$W$25)^AB34))*V34</f>
        <v>3.0575956664149204E-3</v>
      </c>
      <c r="AR25" s="12">
        <v>0</v>
      </c>
      <c r="AS25" s="79">
        <f>(((1-$W$25)^AB35))*V35</f>
        <v>3.390124939249885E-4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7.1257168631195748E-3</v>
      </c>
      <c r="BP25">
        <f>BP19+1</f>
        <v>7</v>
      </c>
      <c r="BQ25">
        <v>1</v>
      </c>
      <c r="BR25" s="107">
        <f t="shared" si="14"/>
        <v>5.502983687860229E-5</v>
      </c>
    </row>
    <row r="26" spans="1:70" x14ac:dyDescent="0.25">
      <c r="A26" s="40" t="s">
        <v>24</v>
      </c>
      <c r="B26" s="119">
        <f>1/(1+EXP(-3.1416*4*((B10/(B10+C9))-(3.1416/6))))</f>
        <v>0.1038669345924982</v>
      </c>
      <c r="C26" s="120">
        <f>1/(1+EXP(-3.1416*4*((C10/(C10+B9))-(3.1416/6))))</f>
        <v>0.42639691249266598</v>
      </c>
      <c r="D26" s="153">
        <f>IF(B17="AOW", 0.257+0.04, IF(B17="AIM", 0.257-0.04, IF(B17="TL",(0.257)-(0.257*B32),0.257)))</f>
        <v>0.217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0.34780066463728926</v>
      </c>
      <c r="I26" s="93">
        <v>1</v>
      </c>
      <c r="J26" s="86">
        <f t="shared" si="15"/>
        <v>0.37031511374238224</v>
      </c>
      <c r="K26" s="93">
        <v>1</v>
      </c>
      <c r="L26" s="86">
        <f>T20</f>
        <v>0.14835710343883235</v>
      </c>
      <c r="M26" s="85">
        <v>1</v>
      </c>
      <c r="N26" s="71">
        <f>(($B$24)^M26)*((1-($B$24))^($B$21-M26))*HLOOKUP($B$21,$AV$24:$BF$34,M26+1)</f>
        <v>9.2197630222673119E-2</v>
      </c>
      <c r="O26" s="72">
        <v>1</v>
      </c>
      <c r="P26" s="71">
        <f t="shared" ref="P26:P30" si="16">N26</f>
        <v>9.2197630222673119E-2</v>
      </c>
      <c r="Q26" s="28">
        <v>1</v>
      </c>
      <c r="R26" s="37">
        <f>N26*P25+P26*N25</f>
        <v>2.4902698202483582E-3</v>
      </c>
      <c r="S26" s="72">
        <v>1</v>
      </c>
      <c r="T26" s="135">
        <f t="shared" ref="T26:T35" si="17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2.4672441270289628E-3</v>
      </c>
      <c r="W26" s="137"/>
      <c r="X26" s="28">
        <v>1</v>
      </c>
      <c r="Y26" s="73"/>
      <c r="Z26" s="28">
        <v>1</v>
      </c>
      <c r="AA26" s="79">
        <f>(1-((1-W25)^Z26))*V26</f>
        <v>5.5829401331697608E-4</v>
      </c>
      <c r="AB26" s="28">
        <v>1</v>
      </c>
      <c r="AC26" s="79">
        <f>((($W$25)^M26)*((1-($W$25))^($U$27-M26))*HLOOKUP($U$27,$AV$24:$BF$34,M26+1))*V27</f>
        <v>5.3128972833232403E-3</v>
      </c>
      <c r="AD26" s="28">
        <v>1</v>
      </c>
      <c r="AE26" s="79">
        <f>((($W$25)^M26)*((1-($W$25))^($U$28-M26))*HLOOKUP($U$28,$AV$24:$BF$34,M26+1))*V28</f>
        <v>2.2475773563712179E-2</v>
      </c>
      <c r="AF26" s="28">
        <v>1</v>
      </c>
      <c r="AG26" s="79">
        <f>((($W$25)^M26)*((1-($W$25))^($U$29-M26))*HLOOKUP($U$29,$AV$24:$BF$34,M26+1))*V29</f>
        <v>5.548217918761171E-2</v>
      </c>
      <c r="AH26" s="28">
        <v>1</v>
      </c>
      <c r="AI26" s="79">
        <f>((($W$25)^M26)*((1-($W$25))^($U$30-M26))*HLOOKUP($U$30,$AV$24:$BF$34,M26+1))*V30</f>
        <v>8.8087603263294262E-2</v>
      </c>
      <c r="AJ26" s="28">
        <v>1</v>
      </c>
      <c r="AK26" s="79">
        <f>((($W$25)^M26)*((1-($W$25))^($U$31-M26))*HLOOKUP($U$31,$AV$24:$BF$34,M26+1))*V31</f>
        <v>9.3307560069023257E-2</v>
      </c>
      <c r="AL26" s="28">
        <v>1</v>
      </c>
      <c r="AM26" s="79">
        <f>((($W$25)^Q26)*((1-($W$25))^($U$32-Q26))*HLOOKUP($U$32,$AV$24:$BF$34,Q26+1))*V32</f>
        <v>6.5979166637382194E-2</v>
      </c>
      <c r="AN26" s="28">
        <v>1</v>
      </c>
      <c r="AO26" s="79">
        <f>((($W$25)^Q26)*((1-($W$25))^($U$33-Q26))*HLOOKUP($U$33,$AV$24:$BF$34,Q26+1))*V33</f>
        <v>3.0072104047300645E-2</v>
      </c>
      <c r="AP26" s="28">
        <v>1</v>
      </c>
      <c r="AQ26" s="79">
        <f>((($W$25)^Q26)*((1-($W$25))^($U$34-Q26))*HLOOKUP($U$34,$AV$24:$BF$34,Q26+1))*V34</f>
        <v>8.0480553635087632E-3</v>
      </c>
      <c r="AR26" s="28">
        <v>1</v>
      </c>
      <c r="AS26" s="79">
        <f>((($W$25)^Q26)*((1-($W$25))^($U$35-Q26))*HLOOKUP($U$35,$AV$24:$BF$34,Q26+1))*V35</f>
        <v>9.9148031390900327E-4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1.7407387528343161E-3</v>
      </c>
      <c r="BP26">
        <f>BP20+1</f>
        <v>7</v>
      </c>
      <c r="BQ26">
        <v>2</v>
      </c>
      <c r="BR26" s="107">
        <f t="shared" si="14"/>
        <v>5.6771340457735039E-5</v>
      </c>
    </row>
    <row r="27" spans="1:70" x14ac:dyDescent="0.25">
      <c r="A27" s="26" t="s">
        <v>25</v>
      </c>
      <c r="B27" s="119">
        <f>1/(1+EXP(-3.1416*4*((B12/(B12+C7))-(3.1416/6))))</f>
        <v>0.10870255259833697</v>
      </c>
      <c r="C27" s="120">
        <f>1/(1+EXP(-3.1416*4*((C12/(C12+B7))-(3.1416/6))))</f>
        <v>0.42639691249266598</v>
      </c>
      <c r="D27" s="153">
        <f>D26</f>
        <v>0.217</v>
      </c>
      <c r="E27" s="153">
        <f>E26</f>
        <v>0.25700000000000001</v>
      </c>
      <c r="G27" s="87">
        <v>2</v>
      </c>
      <c r="H27" s="128">
        <f>L25*J27+J26*L26+J25*L27</f>
        <v>0.26840137644494466</v>
      </c>
      <c r="I27" s="93">
        <v>2</v>
      </c>
      <c r="J27" s="86">
        <f t="shared" si="15"/>
        <v>0.25082747916191239</v>
      </c>
      <c r="K27" s="93">
        <v>2</v>
      </c>
      <c r="L27" s="86">
        <f>U20</f>
        <v>1.0627614758823102E-2</v>
      </c>
      <c r="M27" s="85">
        <v>2</v>
      </c>
      <c r="N27" s="71">
        <f>(($B$24)^M27)*((1-($B$24))^($B$21-M27))*HLOOKUP($B$21,$AV$24:$BF$34,M27+1)</f>
        <v>0.2517693489716688</v>
      </c>
      <c r="O27" s="72">
        <v>2</v>
      </c>
      <c r="P27" s="71">
        <f t="shared" si="16"/>
        <v>0.2517693489716688</v>
      </c>
      <c r="Q27" s="28">
        <v>2</v>
      </c>
      <c r="R27" s="37">
        <f>P25*N27+P26*N26+P27*N25</f>
        <v>1.5300725433618179E-2</v>
      </c>
      <c r="S27" s="72">
        <v>2</v>
      </c>
      <c r="T27" s="135">
        <f t="shared" si="17"/>
        <v>2.5000000000000001E-5</v>
      </c>
      <c r="U27" s="93">
        <v>2</v>
      </c>
      <c r="V27" s="86">
        <f>R27*T25+T26*R26+R25*T27</f>
        <v>1.5172883441798249E-2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7.769083972759362E-4</v>
      </c>
      <c r="AD27" s="28">
        <v>2</v>
      </c>
      <c r="AE27" s="79">
        <f>((($W$25)^M27)*((1-($W$25))^($U$28-M27))*HLOOKUP($U$28,$AV$24:$BF$34,M27+1))*V28</f>
        <v>6.5732937362561498E-3</v>
      </c>
      <c r="AF27" s="28">
        <v>2</v>
      </c>
      <c r="AG27" s="79">
        <f>((($W$25)^M27)*((1-($W$25))^($U$29-M27))*HLOOKUP($U$29,$AV$24:$BF$34,M27+1))*V29</f>
        <v>2.4339584568287539E-2</v>
      </c>
      <c r="AH27" s="28">
        <v>2</v>
      </c>
      <c r="AI27" s="79">
        <f>((($W$25)^M27)*((1-($W$25))^($U$30-M27))*HLOOKUP($U$30,$AV$24:$BF$34,M27+1))*V30</f>
        <v>5.1524428214322592E-2</v>
      </c>
      <c r="AJ27" s="28">
        <v>2</v>
      </c>
      <c r="AK27" s="79">
        <f>((($W$25)^M27)*((1-($W$25))^($U$31-M27))*HLOOKUP($U$31,$AV$24:$BF$34,M27+1))*V31</f>
        <v>6.8222123524294173E-2</v>
      </c>
      <c r="AL27" s="28">
        <v>2</v>
      </c>
      <c r="AM27" s="79">
        <f>((($W$25)^Q27)*((1-($W$25))^($U$32-Q27))*HLOOKUP($U$32,$AV$24:$BF$34,Q27+1))*V32</f>
        <v>5.7889056617093829E-2</v>
      </c>
      <c r="AN27" s="28">
        <v>2</v>
      </c>
      <c r="AO27" s="79">
        <f>((($W$25)^Q27)*((1-($W$25))^($U$33-Q27))*HLOOKUP($U$33,$AV$24:$BF$34,Q27+1))*V33</f>
        <v>3.0782242227809065E-2</v>
      </c>
      <c r="AP27" s="28">
        <v>2</v>
      </c>
      <c r="AQ27" s="79">
        <f>((($W$25)^Q27)*((1-($W$25))^($U$34-Q27))*HLOOKUP($U$34,$AV$24:$BF$34,Q27+1))*V34</f>
        <v>9.414978623099696E-3</v>
      </c>
      <c r="AR27" s="28">
        <v>2</v>
      </c>
      <c r="AS27" s="79">
        <f>((($W$25)^Q27)*((1-($W$25))^($U$35-Q27))*HLOOKUP($U$35,$AV$24:$BF$34,Q27+1))*V35</f>
        <v>1.3048632534734036E-3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3.2447952518282688E-4</v>
      </c>
      <c r="BP27">
        <f>BP21+1</f>
        <v>7</v>
      </c>
      <c r="BQ27">
        <v>3</v>
      </c>
      <c r="BR27" s="107">
        <f t="shared" si="14"/>
        <v>3.6255524238214482E-5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0.12591705143086104</v>
      </c>
      <c r="I28" s="93">
        <v>3</v>
      </c>
      <c r="J28" s="86">
        <f t="shared" si="15"/>
        <v>0.10072335002041241</v>
      </c>
      <c r="K28" s="93">
        <v>3</v>
      </c>
      <c r="L28" s="86">
        <f>V20</f>
        <v>4.0974461778277987E-4</v>
      </c>
      <c r="M28" s="85">
        <v>3</v>
      </c>
      <c r="N28" s="71">
        <f>(($B$24)^M28)*((1-($B$24))^($B$21-M28))*HLOOKUP($B$21,$AV$24:$BF$34,M28+1)</f>
        <v>0.34376048998507625</v>
      </c>
      <c r="O28" s="72">
        <v>3</v>
      </c>
      <c r="P28" s="71">
        <f t="shared" si="16"/>
        <v>0.34376048998507625</v>
      </c>
      <c r="Q28" s="28">
        <v>3</v>
      </c>
      <c r="R28" s="37">
        <f>P25*N28+P26*N27+P27*N26+P28*N25</f>
        <v>5.5710089610943356E-2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5.5306685941884211E-2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6.4081132247605587E-4</v>
      </c>
      <c r="AF28" s="28">
        <v>3</v>
      </c>
      <c r="AG28" s="79">
        <f>((($W$25)^M28)*((1-($W$25))^($U$29-M28))*HLOOKUP($U$29,$AV$24:$BF$34,M28+1))*V29</f>
        <v>4.745590871648931E-3</v>
      </c>
      <c r="AH28" s="28">
        <v>3</v>
      </c>
      <c r="AI28" s="79">
        <f>((($W$25)^M28)*((1-($W$25))^($U$30-M28))*HLOOKUP($U$30,$AV$24:$BF$34,M28+1))*V30</f>
        <v>1.5068900755976822E-2</v>
      </c>
      <c r="AJ28" s="28">
        <v>3</v>
      </c>
      <c r="AK28" s="79">
        <f>((($W$25)^M28)*((1-($W$25))^($U$31-M28))*HLOOKUP($U$31,$AV$24:$BF$34,M28+1))*V31</f>
        <v>2.6603107027818474E-2</v>
      </c>
      <c r="AL28" s="28">
        <v>3</v>
      </c>
      <c r="AM28" s="79">
        <f>((($W$25)^Q28)*((1-($W$25))^($U$32-Q28))*HLOOKUP($U$32,$AV$24:$BF$34,Q28+1))*V32</f>
        <v>2.8217180317899011E-2</v>
      </c>
      <c r="AN28" s="28">
        <v>3</v>
      </c>
      <c r="AO28" s="79">
        <f>((($W$25)^Q28)*((1-($W$25))^($U$33-Q28))*HLOOKUP($U$33,$AV$24:$BF$34,Q28+1))*V33</f>
        <v>1.8005228558687931E-2</v>
      </c>
      <c r="AP28" s="28">
        <v>3</v>
      </c>
      <c r="AQ28" s="79">
        <f>((($W$25)^Q28)*((1-($W$25))^($U$34-Q28))*HLOOKUP($U$34,$AV$24:$BF$34,Q28+1))*V34</f>
        <v>6.4248725239410866E-3</v>
      </c>
      <c r="AR28" s="28">
        <v>3</v>
      </c>
      <c r="AS28" s="79">
        <f>((($W$25)^Q28)*((1-($W$25))^($U$35-Q28))*HLOOKUP($U$35,$AV$24:$BF$34,Q28+1))*V35</f>
        <v>1.0176586419641074E-3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4.6099517379280613E-5</v>
      </c>
      <c r="BP28">
        <f>BP22+1</f>
        <v>7</v>
      </c>
      <c r="BQ28">
        <v>4</v>
      </c>
      <c r="BR28" s="107">
        <f t="shared" si="14"/>
        <v>1.6034911578758319E-5</v>
      </c>
    </row>
    <row r="29" spans="1:70" x14ac:dyDescent="0.25">
      <c r="A29" s="26" t="s">
        <v>27</v>
      </c>
      <c r="B29" s="123">
        <f>1/(1+EXP(-3.1416*4*((B14/(B14+C13))-(3.1416/6))))</f>
        <v>6.7831283489497657E-2</v>
      </c>
      <c r="C29" s="118">
        <f>1/(1+EXP(-3.1416*4*((C14/(C14+B13))-(3.1416/6))))</f>
        <v>0.83305468158299556</v>
      </c>
      <c r="D29" s="153">
        <v>0.04</v>
      </c>
      <c r="E29" s="153">
        <v>0.04</v>
      </c>
      <c r="G29" s="87">
        <v>4</v>
      </c>
      <c r="H29" s="128">
        <f>J29*L25+J28*L26+J27*L27+J26*L28</f>
        <v>4.0086858444242653E-2</v>
      </c>
      <c r="I29" s="93">
        <v>4</v>
      </c>
      <c r="J29" s="86">
        <f t="shared" si="15"/>
        <v>2.6559903016029712E-2</v>
      </c>
      <c r="K29" s="93">
        <v>4</v>
      </c>
      <c r="L29" s="86"/>
      <c r="M29" s="85">
        <v>4</v>
      </c>
      <c r="N29" s="71">
        <f>(($B$24)^M29)*((1-($B$24))^($B$21-M29))*HLOOKUP($B$21,$AV$24:$BF$34,M29+1)</f>
        <v>0.23468161425813053</v>
      </c>
      <c r="O29" s="72">
        <v>4</v>
      </c>
      <c r="P29" s="71">
        <f t="shared" si="16"/>
        <v>0.23468161425813053</v>
      </c>
      <c r="Q29" s="28">
        <v>4</v>
      </c>
      <c r="R29" s="37">
        <f>P25*N29+P26*N28+P27*N27+P28*N26+P29*N25</f>
        <v>0.13311439067139771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0.13234127253421527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3.4697540735381189E-4</v>
      </c>
      <c r="AH29" s="28">
        <v>4</v>
      </c>
      <c r="AI29" s="79">
        <f>((($W$25)^M29)*((1-($W$25))^($U$30-M29))*HLOOKUP($U$30,$AV$24:$BF$34,M29+1))*V30</f>
        <v>2.2035350790206164E-3</v>
      </c>
      <c r="AJ29" s="28">
        <v>4</v>
      </c>
      <c r="AK29" s="79">
        <f>((($W$25)^M29)*((1-($W$25))^($U$31-M29))*HLOOKUP($U$31,$AV$24:$BF$34,M29+1))*V31</f>
        <v>5.8352842549069415E-3</v>
      </c>
      <c r="AL29" s="28">
        <v>4</v>
      </c>
      <c r="AM29" s="79">
        <f>((($W$25)^Q29)*((1-($W$25))^($U$32-Q29))*HLOOKUP($U$32,$AV$24:$BF$34,Q29+1))*V32</f>
        <v>8.2524329635496347E-3</v>
      </c>
      <c r="AN29" s="28">
        <v>4</v>
      </c>
      <c r="AO29" s="79">
        <f>((($W$25)^Q29)*((1-($W$25))^($U$33-Q29))*HLOOKUP($U$33,$AV$24:$BF$34,Q29+1))*V33</f>
        <v>6.58229046984668E-3</v>
      </c>
      <c r="AP29" s="28">
        <v>4</v>
      </c>
      <c r="AQ29" s="79">
        <f>((($W$25)^Q29)*((1-($W$25))^($U$34-Q29))*HLOOKUP($U$34,$AV$24:$BF$34,Q29+1))*V34</f>
        <v>2.8185397622566338E-3</v>
      </c>
      <c r="AR29" s="28">
        <v>4</v>
      </c>
      <c r="AS29" s="79">
        <f>((($W$25)^Q29)*((1-($W$25))^($U$35-Q29))*HLOOKUP($U$35,$AV$24:$BF$34,Q29+1))*V35</f>
        <v>5.2084507909539281E-4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4.9246566616231857E-6</v>
      </c>
      <c r="BP29">
        <f>BP23+1</f>
        <v>7</v>
      </c>
      <c r="BQ29">
        <v>5</v>
      </c>
      <c r="BR29" s="107">
        <f t="shared" si="14"/>
        <v>5.1950664061566917E-6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9.1541940340988514E-3</v>
      </c>
      <c r="I30" s="93">
        <v>5</v>
      </c>
      <c r="J30" s="86">
        <f t="shared" si="15"/>
        <v>4.8067962979924644E-3</v>
      </c>
      <c r="K30" s="93">
        <v>5</v>
      </c>
      <c r="L30" s="86"/>
      <c r="M30" s="85">
        <v>5</v>
      </c>
      <c r="N30" s="71">
        <f>(($B$24)^M30)*((1-($B$24))^($B$21-M30))*HLOOKUP($B$21,$AV$24:$BF$34,M30+1)</f>
        <v>6.4085852417993694E-2</v>
      </c>
      <c r="O30" s="72">
        <v>5</v>
      </c>
      <c r="P30" s="71">
        <f t="shared" si="16"/>
        <v>6.4085852417993694E-2</v>
      </c>
      <c r="Q30" s="28">
        <v>5</v>
      </c>
      <c r="R30" s="37">
        <f>P25*N30+P26*N29+P27*N28+P28*N27+P29*N26+P30*N25</f>
        <v>0.21810185400962581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0.21725216895530047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1.2888974247304711E-4</v>
      </c>
      <c r="AJ30" s="28">
        <v>5</v>
      </c>
      <c r="AK30" s="79">
        <f>((($W$25)^M30)*((1-($W$25))^($U$31-M30))*HLOOKUP($U$31,$AV$24:$BF$34,M30+1))*V31</f>
        <v>6.8263790491255932E-4</v>
      </c>
      <c r="AL30" s="28">
        <v>5</v>
      </c>
      <c r="AM30" s="79">
        <f>((($W$25)^Q30)*((1-($W$25))^($U$32-Q30))*HLOOKUP($U$32,$AV$24:$BF$34,Q30+1))*V32</f>
        <v>1.4481103154310789E-3</v>
      </c>
      <c r="AN30" s="28">
        <v>5</v>
      </c>
      <c r="AO30" s="79">
        <f>((($W$25)^Q30)*((1-($W$25))^($U$33-Q30))*HLOOKUP($U$33,$AV$24:$BF$34,Q30+1))*V33</f>
        <v>1.5400521309938142E-3</v>
      </c>
      <c r="AP30" s="28">
        <v>5</v>
      </c>
      <c r="AQ30" s="79">
        <f>((($W$25)^Q30)*((1-($W$25))^($U$34-Q30))*HLOOKUP($U$34,$AV$24:$BF$34,Q30+1))*V34</f>
        <v>8.2431377554643894E-4</v>
      </c>
      <c r="AR30" s="28">
        <v>5</v>
      </c>
      <c r="AS30" s="79">
        <f>((($W$25)^Q30)*((1-($W$25))^($U$35-Q30))*HLOOKUP($U$35,$AV$24:$BF$34,Q30+1))*V35</f>
        <v>1.8279242863552603E-4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3.8439070463993189E-7</v>
      </c>
      <c r="BP30">
        <f>BL10+1</f>
        <v>7</v>
      </c>
      <c r="BQ30">
        <v>6</v>
      </c>
      <c r="BR30" s="107">
        <f t="shared" si="14"/>
        <v>1.2691008624759749E-6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0.22628243682933377</v>
      </c>
      <c r="C31" s="61">
        <f>(C25*E25)+(C26*E26)+(C27*E27)+(C28*E28)+(C29*E29)+(C30*E30)/(C25+C26+C27+C28+C29+C30)</f>
        <v>0.33966586852958641</v>
      </c>
      <c r="G31" s="87">
        <v>6</v>
      </c>
      <c r="H31" s="128">
        <f>J31*L25+J30*L26+J29*L27+J28*L28</f>
        <v>1.5451596962176325E-3</v>
      </c>
      <c r="I31" s="93">
        <v>6</v>
      </c>
      <c r="J31" s="86">
        <f t="shared" si="15"/>
        <v>6.0491875236522565E-4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0.24815967639703734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0.24785772493213948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3.3274193742971875E-5</v>
      </c>
      <c r="AL31" s="28">
        <v>6</v>
      </c>
      <c r="AM31" s="79">
        <f>((($W$25)^Q31)*((1-($W$25))^($U$32-Q31))*HLOOKUP($U$32,$AV$24:$BF$34,Q31+1))*V32</f>
        <v>1.4117207043468213E-4</v>
      </c>
      <c r="AN31" s="28">
        <v>6</v>
      </c>
      <c r="AO31" s="79">
        <f>((($W$25)^Q31)*((1-($W$25))^($U$33-Q31))*HLOOKUP($U$33,$AV$24:$BF$34,Q31+1))*V33</f>
        <v>2.252028166566381E-4</v>
      </c>
      <c r="AP31" s="28">
        <v>6</v>
      </c>
      <c r="AQ31" s="79">
        <f>((($W$25)^Q31)*((1-($W$25))^($U$34-Q31))*HLOOKUP($U$34,$AV$24:$BF$34,Q31+1))*V34</f>
        <v>1.6071991358901293E-4</v>
      </c>
      <c r="AR31" s="28">
        <v>6</v>
      </c>
      <c r="AS31" s="79">
        <f>((($W$25)^Q31)*((1-($W$25))^($U$35-Q31))*HLOOKUP($U$35,$AV$24:$BF$34,Q31+1))*V35</f>
        <v>4.4549757941920506E-5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1.031819745843216E-2</v>
      </c>
      <c r="BP31">
        <f t="shared" ref="BP31:BP37" si="21">BP24+1</f>
        <v>8</v>
      </c>
      <c r="BQ31">
        <v>0</v>
      </c>
      <c r="BR31" s="107">
        <f t="shared" ref="BR31:BR38" si="22">$H$33*H39</f>
        <v>2.3698869647437344E-6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1.9568037867910855E-4</v>
      </c>
      <c r="I32" s="93">
        <v>7</v>
      </c>
      <c r="J32" s="86">
        <f t="shared" si="15"/>
        <v>5.2306136741359457E-5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0.19361824009887266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0.19416153948038717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5.8981951241989505E-6</v>
      </c>
      <c r="AN32" s="28">
        <v>7</v>
      </c>
      <c r="AO32" s="79">
        <f>((($W$25)^Q32)*((1-($W$25))^($U$33-Q32))*HLOOKUP($U$33,$AV$24:$BF$34,Q32+1))*V33</f>
        <v>1.8818030380515383E-5</v>
      </c>
      <c r="AP32" s="28">
        <v>7</v>
      </c>
      <c r="AQ32" s="79">
        <f>((($W$25)^Q32)*((1-($W$25))^($U$34-Q32))*HLOOKUP($U$34,$AV$24:$BF$34,Q32+1))*V34</f>
        <v>2.0144722842986058E-5</v>
      </c>
      <c r="AR32" s="28">
        <v>7</v>
      </c>
      <c r="AS32" s="79">
        <f>((($W$25)^Q32)*((1-($W$25))^($U$35-Q32))*HLOOKUP($U$35,$AV$24:$BF$34,Q32+1))*V35</f>
        <v>7.4451883936590687E-6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3.3429383582882929E-3</v>
      </c>
      <c r="BP32">
        <f t="shared" si="21"/>
        <v>8</v>
      </c>
      <c r="BQ32">
        <v>1</v>
      </c>
      <c r="BR32" s="107">
        <f t="shared" si="22"/>
        <v>5.2479545013661347E-6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1.8661180595237491E-5</v>
      </c>
      <c r="I33" s="93">
        <v>8</v>
      </c>
      <c r="J33" s="86">
        <f t="shared" si="15"/>
        <v>2.9773671158417228E-6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9.9135828127443565E-2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0.10007965372276603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6.8794318067783531E-7</v>
      </c>
      <c r="AP33" s="28">
        <v>8</v>
      </c>
      <c r="AQ33" s="79">
        <f>((($W$25)^Q33)*((1-($W$25))^($U$34-Q33))*HLOOKUP($U$34,$AV$24:$BF$34,Q33+1))*V34</f>
        <v>1.4728879086970337E-6</v>
      </c>
      <c r="AR33" s="28">
        <v>8</v>
      </c>
      <c r="AS33" s="79">
        <f>((($W$25)^Q33)*((1-($W$25))^($U$35-Q33))*HLOOKUP($U$35,$AV$24:$BF$34,Q33+1))*V35</f>
        <v>8.1653602646685392E-7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8.1664518256780317E-4</v>
      </c>
      <c r="BP33">
        <f t="shared" si="21"/>
        <v>8</v>
      </c>
      <c r="BQ33">
        <v>2</v>
      </c>
      <c r="BR33" s="107">
        <f t="shared" si="22"/>
        <v>5.4140340695723181E-6</v>
      </c>
    </row>
    <row r="34" spans="1:70" x14ac:dyDescent="0.25">
      <c r="A34" s="40" t="s">
        <v>86</v>
      </c>
      <c r="B34" s="56">
        <f>B23*2</f>
        <v>5.7723470344874608</v>
      </c>
      <c r="C34" s="57">
        <f>C23*2</f>
        <v>4.2276529655125392</v>
      </c>
      <c r="G34" s="87">
        <v>9</v>
      </c>
      <c r="H34" s="128">
        <f>J34*L25+J33*L26+J32*L27+J31*L28</f>
        <v>1.3303078374455717E-6</v>
      </c>
      <c r="I34" s="93">
        <v>9</v>
      </c>
      <c r="J34" s="86">
        <f t="shared" si="15"/>
        <v>1.0093033976722297E-7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3.0079542593126157E-2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3.0770741101630261E-2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4.7862522022265442E-8</v>
      </c>
      <c r="AR34" s="28">
        <v>9</v>
      </c>
      <c r="AS34" s="79">
        <f>((($W$25)^Q34)*((1-($W$25))^($U$35-Q34))*HLOOKUP($U$35,$AV$24:$BF$34,Q34+1))*V35</f>
        <v>5.3067817744957523E-8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1.522253931849273E-4</v>
      </c>
      <c r="BP34">
        <f t="shared" si="21"/>
        <v>8</v>
      </c>
      <c r="BQ34">
        <v>3</v>
      </c>
      <c r="BR34" s="107">
        <f t="shared" si="22"/>
        <v>3.4575305401152288E-6</v>
      </c>
    </row>
    <row r="35" spans="1:70" ht="15.75" thickBot="1" x14ac:dyDescent="0.3">
      <c r="G35" s="88">
        <v>10</v>
      </c>
      <c r="H35" s="129">
        <f>J35*L25+J34*L26+J33*L27+J32*L28</f>
        <v>6.9352845103070019E-8</v>
      </c>
      <c r="I35" s="94">
        <v>10</v>
      </c>
      <c r="J35" s="89">
        <f t="shared" si="15"/>
        <v>1.5520282449495283E-9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4.1069964801408679E-3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4.4095183132104587E-3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1.5520282449495283E-9</v>
      </c>
      <c r="BH35">
        <f t="shared" si="19"/>
        <v>3</v>
      </c>
      <c r="BI35">
        <v>8</v>
      </c>
      <c r="BJ35" s="107">
        <f t="shared" si="20"/>
        <v>2.1626995277259431E-5</v>
      </c>
      <c r="BP35">
        <f t="shared" si="21"/>
        <v>8</v>
      </c>
      <c r="BQ35">
        <v>4</v>
      </c>
      <c r="BR35" s="107">
        <f t="shared" si="22"/>
        <v>1.5291792811305536E-6</v>
      </c>
    </row>
    <row r="36" spans="1:70" x14ac:dyDescent="0.25">
      <c r="A36" s="1"/>
      <c r="B36" s="108">
        <f>SUM(B37:B39)</f>
        <v>0.99999984791705021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1.0000000000000004</v>
      </c>
      <c r="BH36">
        <f t="shared" si="19"/>
        <v>3</v>
      </c>
      <c r="BI36">
        <v>9</v>
      </c>
      <c r="BJ36" s="107">
        <f t="shared" si="20"/>
        <v>2.3103392924221298E-6</v>
      </c>
      <c r="BP36">
        <f t="shared" si="21"/>
        <v>8</v>
      </c>
      <c r="BQ36">
        <v>5</v>
      </c>
      <c r="BR36" s="107">
        <f t="shared" si="22"/>
        <v>4.9543072772013029E-7</v>
      </c>
    </row>
    <row r="37" spans="1:70" ht="15.75" thickBot="1" x14ac:dyDescent="0.3">
      <c r="A37" s="109" t="s">
        <v>104</v>
      </c>
      <c r="B37" s="107">
        <f>SUM(BN4:BN14)</f>
        <v>0.22881964863943663</v>
      </c>
      <c r="G37" s="13"/>
      <c r="H37" s="59">
        <f>SUM(H39:H49)</f>
        <v>0.99999991985114001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0.99999999999999989</v>
      </c>
      <c r="S37" s="13"/>
      <c r="T37" s="59">
        <f>SUM(T39:T49)</f>
        <v>1</v>
      </c>
      <c r="U37" s="13"/>
      <c r="V37" s="59">
        <f>SUM(V39:V48)</f>
        <v>0.99976587247238002</v>
      </c>
      <c r="W37" s="13"/>
      <c r="X37" s="13"/>
      <c r="Y37" s="80">
        <f>SUM(Y39:Y49)</f>
        <v>4.025470549078705E-3</v>
      </c>
      <c r="Z37" s="81"/>
      <c r="AA37" s="80">
        <f>SUM(AA39:AA49)</f>
        <v>2.9563362632567022E-2</v>
      </c>
      <c r="AB37" s="81"/>
      <c r="AC37" s="80">
        <f>SUM(AC39:AC49)</f>
        <v>9.7761154370737818E-2</v>
      </c>
      <c r="AD37" s="81"/>
      <c r="AE37" s="80">
        <f>SUM(AE39:AE49)</f>
        <v>0.19173241458291879</v>
      </c>
      <c r="AF37" s="81"/>
      <c r="AG37" s="80">
        <f>SUM(AG39:AG49)</f>
        <v>0.24706288917845573</v>
      </c>
      <c r="AH37" s="81"/>
      <c r="AI37" s="80">
        <f>SUM(AI39:AI49)</f>
        <v>0.21869034291065576</v>
      </c>
      <c r="AJ37" s="81"/>
      <c r="AK37" s="80">
        <f>SUM(AK39:AK49)</f>
        <v>0.13480588570366575</v>
      </c>
      <c r="AL37" s="81"/>
      <c r="AM37" s="80">
        <f>SUM(AM39:AM49)</f>
        <v>5.7259281870619509E-2</v>
      </c>
      <c r="AN37" s="81"/>
      <c r="AO37" s="80">
        <f>SUM(AO39:AO49)</f>
        <v>1.6114447231121709E-2</v>
      </c>
      <c r="AP37" s="81"/>
      <c r="AQ37" s="80">
        <f>SUM(AQ39:AQ49)</f>
        <v>2.7506234425596315E-3</v>
      </c>
      <c r="AR37" s="81"/>
      <c r="AS37" s="80">
        <f>SUM(AS39:AS49)</f>
        <v>2.3412752761997621E-4</v>
      </c>
      <c r="BH37">
        <f t="shared" si="19"/>
        <v>3</v>
      </c>
      <c r="BI37">
        <v>10</v>
      </c>
      <c r="BJ37" s="107">
        <f t="shared" si="20"/>
        <v>1.8033195196977483E-7</v>
      </c>
      <c r="BP37">
        <f t="shared" si="21"/>
        <v>8</v>
      </c>
      <c r="BQ37">
        <v>6</v>
      </c>
      <c r="BR37" s="107">
        <f t="shared" si="22"/>
        <v>1.2102859033747512E-7</v>
      </c>
    </row>
    <row r="38" spans="1:70" ht="15.75" thickBot="1" x14ac:dyDescent="0.3">
      <c r="A38" s="110" t="s">
        <v>105</v>
      </c>
      <c r="B38" s="107">
        <f>SUM(BJ4:BJ59)</f>
        <v>0.48369883695159366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1.0642553588551366E-3</v>
      </c>
      <c r="BP38">
        <f>BL11+1</f>
        <v>8</v>
      </c>
      <c r="BQ38">
        <v>7</v>
      </c>
      <c r="BR38" s="107">
        <f t="shared" si="22"/>
        <v>2.2560134001904793E-8</v>
      </c>
    </row>
    <row r="39" spans="1:70" x14ac:dyDescent="0.25">
      <c r="A39" s="111" t="s">
        <v>0</v>
      </c>
      <c r="B39" s="107">
        <f>SUM(BR4:BR47)</f>
        <v>0.28748136232602001</v>
      </c>
      <c r="G39" s="130">
        <v>0</v>
      </c>
      <c r="H39" s="131">
        <f>L39*J39</f>
        <v>0.12699555382624356</v>
      </c>
      <c r="I39" s="97">
        <v>0</v>
      </c>
      <c r="J39" s="98">
        <f t="shared" ref="J39:J49" si="37">Y39+AA39+AC39+AE39+AG39+AI39+AK39+AM39+AO39+AQ39+AS39</f>
        <v>0.21077504432297708</v>
      </c>
      <c r="K39" s="102">
        <v>0</v>
      </c>
      <c r="L39" s="98">
        <f>AC20</f>
        <v>0.60251703058187656</v>
      </c>
      <c r="M39" s="84">
        <v>0</v>
      </c>
      <c r="N39" s="71">
        <f>(1-$C$24)^$B$21</f>
        <v>6.4085852417993694E-2</v>
      </c>
      <c r="O39" s="70">
        <v>0</v>
      </c>
      <c r="P39" s="71">
        <f>N39</f>
        <v>6.4085852417993694E-2</v>
      </c>
      <c r="Q39" s="12">
        <v>0</v>
      </c>
      <c r="R39" s="73">
        <f>P39*N39</f>
        <v>4.1069964801408679E-3</v>
      </c>
      <c r="S39" s="70">
        <v>0</v>
      </c>
      <c r="T39" s="135">
        <f>(1-$C$33)^(INT(B23*2*(1-B31)))</f>
        <v>0.98014950062500006</v>
      </c>
      <c r="U39" s="140">
        <v>0</v>
      </c>
      <c r="V39" s="86">
        <f>R39*T39</f>
        <v>4.025470549078705E-3</v>
      </c>
      <c r="W39" s="136">
        <f>C31</f>
        <v>0.33966586852958641</v>
      </c>
      <c r="X39" s="12">
        <v>0</v>
      </c>
      <c r="Y39" s="79">
        <f>V39</f>
        <v>4.025470549078705E-3</v>
      </c>
      <c r="Z39" s="12">
        <v>0</v>
      </c>
      <c r="AA39" s="78">
        <f>((1-W39)^Z40)*V40</f>
        <v>1.9521697387321027E-2</v>
      </c>
      <c r="AB39" s="12">
        <v>0</v>
      </c>
      <c r="AC39" s="79">
        <f>(((1-$W$39)^AB41))*V41</f>
        <v>4.2627887661626201E-2</v>
      </c>
      <c r="AD39" s="12">
        <v>0</v>
      </c>
      <c r="AE39" s="79">
        <f>(((1-$W$39)^AB42))*V42</f>
        <v>5.5206063271216396E-2</v>
      </c>
      <c r="AF39" s="12">
        <v>0</v>
      </c>
      <c r="AG39" s="79">
        <f>(((1-$W$39)^AB43))*V43</f>
        <v>4.6974535979566058E-2</v>
      </c>
      <c r="AH39" s="12">
        <v>0</v>
      </c>
      <c r="AI39" s="79">
        <f>(((1-$W$39)^AB44))*V44</f>
        <v>2.7456699733141996E-2</v>
      </c>
      <c r="AJ39" s="12">
        <v>0</v>
      </c>
      <c r="AK39" s="79">
        <f>(((1-$W$39)^AB45))*V45</f>
        <v>1.1176127010092725E-2</v>
      </c>
      <c r="AL39" s="12">
        <v>0</v>
      </c>
      <c r="AM39" s="79">
        <f>(((1-$W$39)^AB46))*V46</f>
        <v>3.1346720902019043E-3</v>
      </c>
      <c r="AN39" s="12">
        <v>0</v>
      </c>
      <c r="AO39" s="79">
        <f>(((1-$W$39)^AB47))*V47</f>
        <v>5.8253949984546957E-4</v>
      </c>
      <c r="AP39" s="12">
        <v>0</v>
      </c>
      <c r="AQ39" s="79">
        <f>(((1-$W$39)^AB48))*V48</f>
        <v>6.5660600719526319E-5</v>
      </c>
      <c r="AR39" s="12">
        <v>0</v>
      </c>
      <c r="AS39" s="79">
        <f>(((1-$W$39)^AB49))*V49</f>
        <v>3.6905401671149273E-6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2.5998655035806189E-4</v>
      </c>
      <c r="BP39">
        <f t="shared" ref="BP39:BP46" si="38">BP31+1</f>
        <v>9</v>
      </c>
      <c r="BQ39">
        <v>0</v>
      </c>
      <c r="BR39" s="107">
        <f t="shared" ref="BR39:BR47" si="39">$H$34*H39</f>
        <v>1.6894318057579277E-7</v>
      </c>
    </row>
    <row r="40" spans="1:70" x14ac:dyDescent="0.25">
      <c r="G40" s="91">
        <v>1</v>
      </c>
      <c r="H40" s="132">
        <f>L39*J40+L40*J39</f>
        <v>0.28122307024376914</v>
      </c>
      <c r="I40" s="93">
        <v>1</v>
      </c>
      <c r="J40" s="86">
        <f t="shared" si="37"/>
        <v>0.35485606812159998</v>
      </c>
      <c r="K40" s="95">
        <v>1</v>
      </c>
      <c r="L40" s="86">
        <f>AD20</f>
        <v>0.31984927822801729</v>
      </c>
      <c r="M40" s="85">
        <v>1</v>
      </c>
      <c r="N40" s="71">
        <f>(($C$24)^M26)*((1-($C$24))^($B$21-M26))*HLOOKUP($B$21,$AV$24:$BF$34,M26+1)</f>
        <v>0.23468161425813053</v>
      </c>
      <c r="O40" s="72">
        <v>1</v>
      </c>
      <c r="P40" s="71">
        <f t="shared" ref="P40:P44" si="40">N40</f>
        <v>0.23468161425813053</v>
      </c>
      <c r="Q40" s="28">
        <v>1</v>
      </c>
      <c r="R40" s="37">
        <f>P40*N39+P39*N40</f>
        <v>3.0079542593126157E-2</v>
      </c>
      <c r="S40" s="72">
        <v>1</v>
      </c>
      <c r="T40" s="135">
        <f t="shared" ref="T40:T49" si="41">(($C$33)^S40)*((1-($C$33))^(INT($B$23*2*(1-$B$31))-S40))*HLOOKUP(INT($B$23*2*(1-$B$31)),$AV$24:$BF$34,S40+1)</f>
        <v>1.9701497500000002E-2</v>
      </c>
      <c r="U40" s="93">
        <v>1</v>
      </c>
      <c r="V40" s="86">
        <f>R40*T39+T40*R39</f>
        <v>2.9563362632567026E-2</v>
      </c>
      <c r="W40" s="137"/>
      <c r="X40" s="28">
        <v>1</v>
      </c>
      <c r="Y40" s="73"/>
      <c r="Z40" s="28">
        <v>1</v>
      </c>
      <c r="AA40" s="79">
        <f>(1-((1-W39)^Z40))*V40</f>
        <v>1.0041665245245997E-2</v>
      </c>
      <c r="AB40" s="28">
        <v>1</v>
      </c>
      <c r="AC40" s="79">
        <f>((($W$39)^M40)*((1-($W$39))^($U$27-M40))*HLOOKUP($U$27,$AV$24:$BF$34,M40+1))*V41</f>
        <v>4.3854278602639962E-2</v>
      </c>
      <c r="AD40" s="28">
        <v>1</v>
      </c>
      <c r="AE40" s="79">
        <f>((($W$39)^M40)*((1-($W$39))^($U$28-M40))*HLOOKUP($U$28,$AV$24:$BF$34,M40+1))*V42</f>
        <v>8.519148656163561E-2</v>
      </c>
      <c r="AF40" s="28">
        <v>1</v>
      </c>
      <c r="AG40" s="79">
        <f>((($W$39)^M40)*((1-($W$39))^($U$29-M40))*HLOOKUP($U$29,$AV$24:$BF$34,M40+1))*V43</f>
        <v>9.6651957255300569E-2</v>
      </c>
      <c r="AH40" s="28">
        <v>1</v>
      </c>
      <c r="AI40" s="79">
        <f>((($W$39)^M40)*((1-($W$39))^($U$30-M40))*HLOOKUP($U$30,$AV$24:$BF$34,M40+1))*V44</f>
        <v>7.0616550904665731E-2</v>
      </c>
      <c r="AJ40" s="28">
        <v>1</v>
      </c>
      <c r="AK40" s="79">
        <f>((($W$39)^M40)*((1-($W$39))^($U$31-M40))*HLOOKUP($U$31,$AV$24:$BF$34,M40+1))*V45</f>
        <v>3.4492982023149009E-2</v>
      </c>
      <c r="AL40" s="28">
        <v>1</v>
      </c>
      <c r="AM40" s="79">
        <f>((($W$39)^Q40)*((1-($W$39))^($U$32-Q40))*HLOOKUP($U$32,$AV$24:$BF$34,Q40+1))*V46</f>
        <v>1.1286994676347618E-2</v>
      </c>
      <c r="AN40" s="28">
        <v>1</v>
      </c>
      <c r="AO40" s="79">
        <f>((($W$39)^Q40)*((1-($W$39))^($U$33-Q40))*HLOOKUP($U$33,$AV$24:$BF$34,Q40+1))*V47</f>
        <v>2.3971959132531116E-3</v>
      </c>
      <c r="AP40" s="28">
        <v>1</v>
      </c>
      <c r="AQ40" s="79">
        <f>((($W$39)^Q40)*((1-($W$39))^($U$34-Q40))*HLOOKUP($U$34,$AV$24:$BF$34,Q40+1))*V48</f>
        <v>3.0397336011873873E-4</v>
      </c>
      <c r="AR40" s="28">
        <v>1</v>
      </c>
      <c r="AS40" s="79">
        <f>((($W$39)^Q40)*((1-($W$39))^($U$35-Q40))*HLOOKUP($U$35,$AV$24:$BF$34,Q40+1))*V49</f>
        <v>1.8983579243663286E-5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4.846236247498217E-5</v>
      </c>
      <c r="BP40">
        <f t="shared" si="38"/>
        <v>9</v>
      </c>
      <c r="BQ40">
        <v>1</v>
      </c>
      <c r="BR40" s="107">
        <f t="shared" si="39"/>
        <v>3.741132544157926E-7</v>
      </c>
    </row>
    <row r="41" spans="1:70" x14ac:dyDescent="0.25">
      <c r="G41" s="91">
        <v>2</v>
      </c>
      <c r="H41" s="132">
        <f>L39*J41+J40*L40+J39*L41</f>
        <v>0.29012280557179915</v>
      </c>
      <c r="I41" s="93">
        <v>2</v>
      </c>
      <c r="J41" s="86">
        <f t="shared" si="37"/>
        <v>0.26908222543686749</v>
      </c>
      <c r="K41" s="95">
        <v>2</v>
      </c>
      <c r="L41" s="86">
        <f>AE20</f>
        <v>6.8773439959412638E-2</v>
      </c>
      <c r="M41" s="85">
        <v>2</v>
      </c>
      <c r="N41" s="71">
        <f>(($C$24)^M27)*((1-($C$24))^($B$21-M27))*HLOOKUP($B$21,$AV$24:$BF$34,M27+1)</f>
        <v>0.34376048998507625</v>
      </c>
      <c r="O41" s="72">
        <v>2</v>
      </c>
      <c r="P41" s="71">
        <f t="shared" si="40"/>
        <v>0.34376048998507625</v>
      </c>
      <c r="Q41" s="28">
        <v>2</v>
      </c>
      <c r="R41" s="37">
        <f>P41*N39+P40*N40+P39*N41</f>
        <v>9.9135828127443565E-2</v>
      </c>
      <c r="S41" s="72">
        <v>2</v>
      </c>
      <c r="T41" s="135">
        <f t="shared" si="41"/>
        <v>1.4850375000000001E-4</v>
      </c>
      <c r="U41" s="93">
        <v>2</v>
      </c>
      <c r="V41" s="86">
        <f>R41*T39+T40*R40+R39*T41</f>
        <v>9.7761154370737804E-2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1.1278988106471648E-2</v>
      </c>
      <c r="AD41" s="28">
        <v>2</v>
      </c>
      <c r="AE41" s="79">
        <f>((($W$39)^M41)*((1-($W$39))^($U$28-M41))*HLOOKUP($U$28,$AV$24:$BF$34,M41+1))*V42</f>
        <v>4.3821209438090439E-2</v>
      </c>
      <c r="AF41" s="28">
        <v>2</v>
      </c>
      <c r="AG41" s="79">
        <f>((($W$39)^M41)*((1-($W$39))^($U$29-M41))*HLOOKUP($U$29,$AV$24:$BF$34,M41+1))*V43</f>
        <v>7.4574452784462161E-2</v>
      </c>
      <c r="AH41" s="28">
        <v>2</v>
      </c>
      <c r="AI41" s="79">
        <f>((($W$39)^M41)*((1-($W$39))^($U$30-M41))*HLOOKUP($U$30,$AV$24:$BF$34,M41+1))*V44</f>
        <v>7.2648166897523861E-2</v>
      </c>
      <c r="AJ41" s="28">
        <v>2</v>
      </c>
      <c r="AK41" s="79">
        <f>((($W$39)^M41)*((1-($W$39))^($U$31-M41))*HLOOKUP($U$31,$AV$24:$BF$34,M41+1))*V45</f>
        <v>4.4356667854572575E-2</v>
      </c>
      <c r="AL41" s="28">
        <v>2</v>
      </c>
      <c r="AM41" s="79">
        <f>((($W$39)^Q41)*((1-($W$39))^($U$32-Q41))*HLOOKUP($U$32,$AV$24:$BF$34,Q41+1))*V46</f>
        <v>1.7417576952868167E-2</v>
      </c>
      <c r="AN41" s="28">
        <v>2</v>
      </c>
      <c r="AO41" s="79">
        <f>((($W$39)^Q41)*((1-($W$39))^($U$33-Q41))*HLOOKUP($U$33,$AV$24:$BF$34,Q41+1))*V47</f>
        <v>4.3157843519937974E-3</v>
      </c>
      <c r="AP41" s="28">
        <v>2</v>
      </c>
      <c r="AQ41" s="79">
        <f>((($W$39)^Q41)*((1-($W$39))^($U$34-Q41))*HLOOKUP($U$34,$AV$24:$BF$34,Q41+1))*V48</f>
        <v>6.2543715645699131E-4</v>
      </c>
      <c r="AR41" s="28">
        <v>2</v>
      </c>
      <c r="AS41" s="79">
        <f>((($W$39)^Q41)*((1-($W$39))^($U$35-Q41))*HLOOKUP($U$35,$AV$24:$BF$34,Q41+1))*V49</f>
        <v>4.3941894427875892E-5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6.885154062949414E-6</v>
      </c>
      <c r="BP41">
        <f t="shared" si="38"/>
        <v>9</v>
      </c>
      <c r="BQ41">
        <v>2</v>
      </c>
      <c r="BR41" s="107">
        <f t="shared" si="39"/>
        <v>3.8595264207386216E-7</v>
      </c>
    </row>
    <row r="42" spans="1:70" ht="15" customHeight="1" x14ac:dyDescent="0.25">
      <c r="G42" s="91">
        <v>3</v>
      </c>
      <c r="H42" s="132">
        <f>J42*L39+J41*L40+L42*J39+L41*J40</f>
        <v>0.18527930333612563</v>
      </c>
      <c r="I42" s="93">
        <v>3</v>
      </c>
      <c r="J42" s="86">
        <f t="shared" si="37"/>
        <v>0.12106106832309138</v>
      </c>
      <c r="K42" s="95">
        <v>3</v>
      </c>
      <c r="L42" s="86">
        <f>AF20</f>
        <v>8.8602512306935194E-3</v>
      </c>
      <c r="M42" s="85">
        <v>3</v>
      </c>
      <c r="N42" s="71">
        <f>(($C$24)^M28)*((1-($C$24))^($B$21-M28))*HLOOKUP($B$21,$AV$24:$BF$34,M28+1)</f>
        <v>0.2517693489716688</v>
      </c>
      <c r="O42" s="72">
        <v>3</v>
      </c>
      <c r="P42" s="71">
        <f t="shared" si="40"/>
        <v>0.2517693489716688</v>
      </c>
      <c r="Q42" s="28">
        <v>3</v>
      </c>
      <c r="R42" s="37">
        <f>P42*N39+P41*N40+P40*N41+P39*N42</f>
        <v>0.19361824009887266</v>
      </c>
      <c r="S42" s="72">
        <v>3</v>
      </c>
      <c r="T42" s="135">
        <f t="shared" si="41"/>
        <v>4.9750000000000011E-7</v>
      </c>
      <c r="U42" s="93">
        <v>3</v>
      </c>
      <c r="V42" s="86">
        <f>R42*T39+R41*T40+R40*T41+R39*T42</f>
        <v>0.19173241458291876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7.5136553119763555E-3</v>
      </c>
      <c r="AF42" s="28">
        <v>3</v>
      </c>
      <c r="AG42" s="79">
        <f>((($W$39)^M42)*((1-($W$39))^($U$29-M42))*HLOOKUP($U$29,$AV$24:$BF$34,M42+1))*V43</f>
        <v>2.5573312123816222E-2</v>
      </c>
      <c r="AH42" s="28">
        <v>3</v>
      </c>
      <c r="AI42" s="79">
        <f>((($W$39)^M42)*((1-($W$39))^($U$30-M42))*HLOOKUP($U$30,$AV$24:$BF$34,M42+1))*V44</f>
        <v>3.7369115922240362E-2</v>
      </c>
      <c r="AJ42" s="28">
        <v>3</v>
      </c>
      <c r="AK42" s="79">
        <f>((($W$39)^M42)*((1-($W$39))^($U$31-M42))*HLOOKUP($U$31,$AV$24:$BF$34,M42+1))*V45</f>
        <v>3.0421863505883481E-2</v>
      </c>
      <c r="AL42" s="28">
        <v>3</v>
      </c>
      <c r="AM42" s="79">
        <f>((($W$39)^Q42)*((1-($W$39))^($U$32-Q42))*HLOOKUP($U$32,$AV$24:$BF$34,Q42+1))*V46</f>
        <v>1.4932229309937737E-2</v>
      </c>
      <c r="AN42" s="28">
        <v>3</v>
      </c>
      <c r="AO42" s="79">
        <f>((($W$39)^Q42)*((1-($W$39))^($U$33-Q42))*HLOOKUP($U$33,$AV$24:$BF$34,Q42+1))*V47</f>
        <v>4.4399481124566169E-3</v>
      </c>
      <c r="AP42" s="28">
        <v>3</v>
      </c>
      <c r="AQ42" s="79">
        <f>((($W$39)^Q42)*((1-($W$39))^($U$34-Q42))*HLOOKUP($U$34,$AV$24:$BF$34,Q42+1))*V48</f>
        <v>7.5066925153941314E-4</v>
      </c>
      <c r="AR42" s="28">
        <v>3</v>
      </c>
      <c r="AS42" s="79">
        <f>((($W$39)^Q42)*((1-($W$39))^($U$35-Q42))*HLOOKUP($U$35,$AV$24:$BF$34,Q42+1))*V49</f>
        <v>6.0274785241199171E-5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7.35517891509321E-7</v>
      </c>
      <c r="BP42">
        <f t="shared" si="38"/>
        <v>9</v>
      </c>
      <c r="BQ42">
        <v>3</v>
      </c>
      <c r="BR42" s="107">
        <f t="shared" si="39"/>
        <v>2.464785093445034E-7</v>
      </c>
    </row>
    <row r="43" spans="1:70" ht="15" customHeight="1" x14ac:dyDescent="0.25">
      <c r="G43" s="91">
        <v>4</v>
      </c>
      <c r="H43" s="132">
        <f>J43*L39+J42*L40+J41*L41+J40*L42</f>
        <v>8.1944401819937077E-2</v>
      </c>
      <c r="I43" s="93">
        <v>4</v>
      </c>
      <c r="J43" s="86">
        <f t="shared" si="37"/>
        <v>3.5805265595444426E-2</v>
      </c>
      <c r="K43" s="95">
        <v>4</v>
      </c>
      <c r="L43" s="86"/>
      <c r="M43" s="85">
        <v>4</v>
      </c>
      <c r="N43" s="71">
        <f>(($C$24)^M29)*((1-($C$24))^($B$21-M29))*HLOOKUP($B$21,$AV$24:$BF$34,M29+1)</f>
        <v>9.2197630222673119E-2</v>
      </c>
      <c r="O43" s="72">
        <v>4</v>
      </c>
      <c r="P43" s="71">
        <f t="shared" si="40"/>
        <v>9.2197630222673119E-2</v>
      </c>
      <c r="Q43" s="28">
        <v>4</v>
      </c>
      <c r="R43" s="37">
        <f>P43*N39+P42*N40+P41*N41+P40*N42+P39*N43</f>
        <v>0.24815967639703734</v>
      </c>
      <c r="S43" s="72">
        <v>4</v>
      </c>
      <c r="T43" s="135">
        <f t="shared" si="41"/>
        <v>6.2500000000000001E-10</v>
      </c>
      <c r="U43" s="93">
        <v>4</v>
      </c>
      <c r="V43" s="86">
        <f>T43*R39+T42*R40+T41*R41+T40*R42+T39*R43</f>
        <v>0.2470628891784557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3.2886310353107328E-3</v>
      </c>
      <c r="AH43" s="28">
        <v>4</v>
      </c>
      <c r="AI43" s="79">
        <f>((($W$39)^M43)*((1-($W$39))^($U$30-M43))*HLOOKUP($U$30,$AV$24:$BF$34,M43+1))*V44</f>
        <v>9.6110534129487755E-3</v>
      </c>
      <c r="AJ43" s="28">
        <v>4</v>
      </c>
      <c r="AK43" s="79">
        <f>((($W$39)^M43)*((1-($W$39))^($U$31-M43))*HLOOKUP($U$31,$AV$24:$BF$34,M43+1))*V45</f>
        <v>1.1736409111934673E-2</v>
      </c>
      <c r="AL43" s="28">
        <v>4</v>
      </c>
      <c r="AM43" s="79">
        <f>((($W$39)^Q43)*((1-($W$39))^($U$32-Q43))*HLOOKUP($U$32,$AV$24:$BF$34,Q43+1))*V46</f>
        <v>7.6809124289075126E-3</v>
      </c>
      <c r="AN43" s="28">
        <v>4</v>
      </c>
      <c r="AO43" s="79">
        <f>((($W$39)^Q43)*((1-($W$39))^($U$33-Q43))*HLOOKUP($U$33,$AV$24:$BF$34,Q43+1))*V47</f>
        <v>2.8548025158219564E-3</v>
      </c>
      <c r="AP43" s="28">
        <v>4</v>
      </c>
      <c r="AQ43" s="79">
        <f>((($W$39)^Q43)*((1-($W$39))^($U$34-Q43))*HLOOKUP($U$34,$AV$24:$BF$34,Q43+1))*V48</f>
        <v>5.7919932762254983E-4</v>
      </c>
      <c r="AR43" s="28">
        <v>4</v>
      </c>
      <c r="AS43" s="79">
        <f>((($W$39)^Q43)*((1-($W$39))^($U$35-Q43))*HLOOKUP($U$35,$AV$24:$BF$34,Q43+1))*V49</f>
        <v>5.4257762898223231E-5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5.7410345536526647E-8</v>
      </c>
      <c r="BP43">
        <f t="shared" si="38"/>
        <v>9</v>
      </c>
      <c r="BQ43">
        <v>4</v>
      </c>
      <c r="BR43" s="107">
        <f t="shared" si="39"/>
        <v>1.0901127997585145E-7</v>
      </c>
    </row>
    <row r="44" spans="1:70" ht="15" customHeight="1" thickBot="1" x14ac:dyDescent="0.3">
      <c r="G44" s="91">
        <v>5</v>
      </c>
      <c r="H44" s="132">
        <f>J44*L39+J43*L40+J42*L41+J41*L42</f>
        <v>2.6548734427154566E-2</v>
      </c>
      <c r="I44" s="93">
        <v>5</v>
      </c>
      <c r="J44" s="86">
        <f t="shared" si="37"/>
        <v>7.280331698886121E-3</v>
      </c>
      <c r="K44" s="95">
        <v>5</v>
      </c>
      <c r="L44" s="86"/>
      <c r="M44" s="85">
        <v>5</v>
      </c>
      <c r="N44" s="71">
        <f>(($C$24)^M30)*((1-($C$24))^($B$21-M30))*HLOOKUP($B$21,$AV$24:$BF$34,M30+1)</f>
        <v>1.3505064144457556E-2</v>
      </c>
      <c r="O44" s="72">
        <v>5</v>
      </c>
      <c r="P44" s="71">
        <f t="shared" si="40"/>
        <v>1.3505064144457556E-2</v>
      </c>
      <c r="Q44" s="28">
        <v>5</v>
      </c>
      <c r="R44" s="37">
        <f>P44*N39+P43*N40+P42*N41+P41*N42+P40*N43+P39*N44</f>
        <v>0.21810185400962581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0.21869034291065573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9.8875604013504191E-4</v>
      </c>
      <c r="AJ44" s="28">
        <v>5</v>
      </c>
      <c r="AK44" s="79">
        <f>((($W$39)^M44)*((1-($W$39))^($U$31-M44))*HLOOKUP($U$31,$AV$24:$BF$34,M44+1))*V45</f>
        <v>2.4148123832683976E-3</v>
      </c>
      <c r="AL44" s="28">
        <v>5</v>
      </c>
      <c r="AM44" s="79">
        <f>((($W$39)^Q44)*((1-($W$39))^($U$32-Q44))*HLOOKUP($U$32,$AV$24:$BF$34,Q44+1))*V46</f>
        <v>2.3705669602039582E-3</v>
      </c>
      <c r="AN44" s="28">
        <v>5</v>
      </c>
      <c r="AO44" s="79">
        <f>((($W$39)^Q44)*((1-($W$39))^($U$33-Q44))*HLOOKUP($U$33,$AV$24:$BF$34,Q44+1))*V47</f>
        <v>1.1747737150679873E-3</v>
      </c>
      <c r="AP44" s="28">
        <v>5</v>
      </c>
      <c r="AQ44" s="79">
        <f>((($W$39)^Q44)*((1-($W$39))^($U$34-Q44))*HLOOKUP($U$34,$AV$24:$BF$34,Q44+1))*V48</f>
        <v>2.9793135519223205E-4</v>
      </c>
      <c r="AR44" s="28">
        <v>5</v>
      </c>
      <c r="AS44" s="79">
        <f>((($W$39)^Q44)*((1-($W$39))^($U$35-Q44))*HLOOKUP($U$35,$AV$24:$BF$34,Q44+1))*V49</f>
        <v>3.3491245018504267E-5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5.9370262988905429E-5</v>
      </c>
      <c r="BP44">
        <f t="shared" si="38"/>
        <v>9</v>
      </c>
      <c r="BQ44">
        <v>5</v>
      </c>
      <c r="BR44" s="107">
        <f t="shared" si="39"/>
        <v>3.5317989482704786E-8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6.4855805729870462E-3</v>
      </c>
      <c r="I45" s="93">
        <v>6</v>
      </c>
      <c r="J45" s="86">
        <f t="shared" si="37"/>
        <v>1.0321516886905551E-3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0.13311439067139771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0.13480588570366572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2.0702381476490721E-4</v>
      </c>
      <c r="AL45" s="28">
        <v>6</v>
      </c>
      <c r="AM45" s="79">
        <f>((($W$39)^Q45)*((1-($W$39))^($U$32-Q45))*HLOOKUP($U$32,$AV$24:$BF$34,Q45+1))*V46</f>
        <v>4.0646123786464524E-4</v>
      </c>
      <c r="AN45" s="28">
        <v>6</v>
      </c>
      <c r="AO45" s="79">
        <f>((($W$39)^Q45)*((1-($W$39))^($U$33-Q45))*HLOOKUP($U$33,$AV$24:$BF$34,Q45+1))*V47</f>
        <v>3.021428964801098E-4</v>
      </c>
      <c r="AP45" s="28">
        <v>6</v>
      </c>
      <c r="AQ45" s="79">
        <f>((($W$39)^Q45)*((1-($W$39))^($U$34-Q45))*HLOOKUP($U$34,$AV$24:$BF$34,Q45+1))*V48</f>
        <v>1.0216758223923525E-4</v>
      </c>
      <c r="AR45" s="28">
        <v>6</v>
      </c>
      <c r="AS45" s="79">
        <f>((($W$39)^Q45)*((1-($W$39))^($U$35-Q45))*HLOOKUP($U$35,$AV$24:$BF$34,Q45+1))*V49</f>
        <v>1.4356157341657791E-5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1.1066815576577899E-5</v>
      </c>
      <c r="BP45">
        <f t="shared" si="38"/>
        <v>9</v>
      </c>
      <c r="BQ45">
        <v>6</v>
      </c>
      <c r="BR45" s="107">
        <f t="shared" si="39"/>
        <v>8.6278186666294096E-9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1.2089339089115482E-3</v>
      </c>
      <c r="I46" s="93">
        <v>7</v>
      </c>
      <c r="J46" s="86">
        <f t="shared" si="37"/>
        <v>1.0101595413488654E-4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5.5710089610943356E-2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5.7259281870619488E-2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2.9868214287964254E-5</v>
      </c>
      <c r="AN46" s="28">
        <v>7</v>
      </c>
      <c r="AO46" s="79">
        <f>((($W$39)^Q46)*((1-($W$39))^($U$33-Q46))*HLOOKUP($U$33,$AV$24:$BF$34,Q46+1))*V47</f>
        <v>4.4405064675118369E-5</v>
      </c>
      <c r="AP46" s="28">
        <v>7</v>
      </c>
      <c r="AQ46" s="79">
        <f>((($W$39)^Q46)*((1-($W$39))^($U$34-Q46))*HLOOKUP($U$34,$AV$24:$BF$34,Q46+1))*V48</f>
        <v>2.2522909606112683E-5</v>
      </c>
      <c r="AR46" s="28">
        <v>7</v>
      </c>
      <c r="AS46" s="79">
        <f>((($W$39)^Q46)*((1-($W$39))^($U$35-Q46))*HLOOKUP($U$35,$AV$24:$BF$34,Q46+1))*V49</f>
        <v>4.2197655656912358E-6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1.5722867466546306E-6</v>
      </c>
      <c r="BP46">
        <f t="shared" si="38"/>
        <v>9</v>
      </c>
      <c r="BQ46">
        <v>7</v>
      </c>
      <c r="BR46" s="107">
        <f t="shared" si="39"/>
        <v>1.6082542539787433E-9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1.7175589033812831E-4</v>
      </c>
      <c r="I47" s="93">
        <v>8</v>
      </c>
      <c r="J47" s="86">
        <f t="shared" si="37"/>
        <v>6.5654911507995122E-6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1.5300725433618179E-2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1.6114447231121706E-2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2.8551615275437131E-6</v>
      </c>
      <c r="AP47" s="28">
        <v>8</v>
      </c>
      <c r="AQ47" s="79">
        <f>((($W$39)^Q47)*((1-($W$39))^($U$34-Q47))*HLOOKUP($U$34,$AV$24:$BF$34,Q47+1))*V48</f>
        <v>2.8963608302883858E-6</v>
      </c>
      <c r="AR47" s="28">
        <v>8</v>
      </c>
      <c r="AS47" s="79">
        <f>((($W$39)^Q47)*((1-($W$39))^($U$35-Q47))*HLOOKUP($U$35,$AV$24:$BF$34,Q47+1))*V49</f>
        <v>8.1396879296741395E-7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1.6796211416249329E-7</v>
      </c>
      <c r="BP47">
        <f>BL12+1</f>
        <v>9</v>
      </c>
      <c r="BQ47">
        <v>8</v>
      </c>
      <c r="BR47" s="107">
        <f t="shared" si="39"/>
        <v>2.2848820704425422E-10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1.8348105091157559E-5</v>
      </c>
      <c r="I48" s="93">
        <v>9</v>
      </c>
      <c r="J48" s="86">
        <f t="shared" si="37"/>
        <v>2.5858117004619033E-7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2.4902698202483582E-3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2.7506234425596307E-3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1.6553823454402654E-7</v>
      </c>
      <c r="AR48" s="28">
        <v>9</v>
      </c>
      <c r="AS48" s="79">
        <f>((($W$39)^Q48)*((1-($W$39))^($U$35-Q48))*HLOOKUP($U$35,$AV$24:$BF$34,Q48+1))*V49</f>
        <v>9.3042935502163811E-8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1.3110167845579968E-8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1.4321487830327103E-6</v>
      </c>
      <c r="I49" s="94">
        <v>10</v>
      </c>
      <c r="J49" s="89">
        <f t="shared" si="37"/>
        <v>4.7859875768515789E-9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1.8238675754591311E-4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2.3412752761997613E-4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4.7859875768515789E-9</v>
      </c>
      <c r="BH49">
        <f>BP14+1</f>
        <v>6</v>
      </c>
      <c r="BI49">
        <v>0</v>
      </c>
      <c r="BJ49" s="107">
        <f>$H$31*H39</f>
        <v>1.962284113711485E-4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1.8679959514409628E-6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2.6539027933845137E-7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2.8350752488822212E-8</v>
      </c>
    </row>
    <row r="53" spans="1:62" x14ac:dyDescent="0.25">
      <c r="BH53">
        <f>BH48+1</f>
        <v>6</v>
      </c>
      <c r="BI53">
        <v>10</v>
      </c>
      <c r="BJ53" s="107">
        <f>$H$31*H49</f>
        <v>2.2128985785292749E-9</v>
      </c>
    </row>
    <row r="54" spans="1:62" x14ac:dyDescent="0.25">
      <c r="BH54">
        <f>BH51+1</f>
        <v>7</v>
      </c>
      <c r="BI54">
        <v>8</v>
      </c>
      <c r="BJ54" s="107">
        <f>$H$32*H47</f>
        <v>3.3609257661732386E-8</v>
      </c>
    </row>
    <row r="55" spans="1:62" x14ac:dyDescent="0.25">
      <c r="BH55">
        <f>BH52+1</f>
        <v>7</v>
      </c>
      <c r="BI55">
        <v>9</v>
      </c>
      <c r="BJ55" s="107">
        <f>$H$32*H48</f>
        <v>3.5903641522817906E-9</v>
      </c>
    </row>
    <row r="56" spans="1:62" x14ac:dyDescent="0.25">
      <c r="BH56">
        <f>BH53+1</f>
        <v>7</v>
      </c>
      <c r="BI56">
        <v>10</v>
      </c>
      <c r="BJ56" s="107">
        <f>$H$32*H49</f>
        <v>2.8024341618866523E-10</v>
      </c>
    </row>
    <row r="57" spans="1:62" x14ac:dyDescent="0.25">
      <c r="BH57">
        <f>BH55+1</f>
        <v>8</v>
      </c>
      <c r="BI57">
        <v>9</v>
      </c>
      <c r="BJ57" s="107">
        <f>$H$33*H48</f>
        <v>3.4239730268648767E-10</v>
      </c>
    </row>
    <row r="58" spans="1:62" x14ac:dyDescent="0.25">
      <c r="BH58">
        <f>BH56+1</f>
        <v>8</v>
      </c>
      <c r="BI58">
        <v>10</v>
      </c>
      <c r="BJ58" s="107">
        <f>$H$33*H49</f>
        <v>2.6725587079423003E-11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1.9051987504565521E-12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Danger-OBIWAN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2019-07-26T13:57:30Z</dcterms:modified>
</cp:coreProperties>
</file>