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3.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defaultThemeVersion="124226"/>
  <xr:revisionPtr revIDLastSave="0" documentId="13_ncr:1_{C30F79EB-7C6B-46F2-AB45-014DA8714B9E}" xr6:coauthVersionLast="33" xr6:coauthVersionMax="33" xr10:uidLastSave="{00000000-0000-0000-0000-000000000000}"/>
  <bookViews>
    <workbookView xWindow="1680" yWindow="300" windowWidth="14880" windowHeight="7815" firstSheet="4" activeTab="6" xr2:uid="{00000000-000D-0000-FFFF-FFFF00000000}"/>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0" sheetId="9" r:id="rId20"/>
    <sheet name="A-P_T40" sheetId="10" r:id="rId21"/>
    <sheet name="EconomiaT41" sheetId="39" r:id="rId22"/>
    <sheet name="A-P_T41" sheetId="40" r:id="rId23"/>
    <sheet name="EconomiaT42" sheetId="42" r:id="rId24"/>
    <sheet name="A-P_T42" sheetId="43" r:id="rId25"/>
    <sheet name="EconomiaT43" sheetId="46" r:id="rId26"/>
    <sheet name="A-P_T43" sheetId="47" r:id="rId27"/>
    <sheet name="EconomiaT44" sheetId="69" r:id="rId28"/>
    <sheet name="A-P_T44" sheetId="70" r:id="rId29"/>
    <sheet name="EconomiaT45" sheetId="78" r:id="rId30"/>
    <sheet name="A-P_T45" sheetId="79" r:id="rId31"/>
    <sheet name="EconomiaT46" sheetId="81" r:id="rId32"/>
    <sheet name="A-P_T46" sheetId="82" r:id="rId33"/>
    <sheet name="EconomiaT47" sheetId="88" r:id="rId34"/>
    <sheet name="A-P_T47" sheetId="89" r:id="rId35"/>
    <sheet name="EconomiaT48" sheetId="91" r:id="rId36"/>
    <sheet name="A-P_T48" sheetId="92" r:id="rId37"/>
    <sheet name="EconomiaT49" sheetId="100" r:id="rId38"/>
    <sheet name="A-P_T49" sheetId="101" r:id="rId39"/>
    <sheet name="EconomiaT50" sheetId="103" r:id="rId40"/>
    <sheet name="A-P_T50" sheetId="104" r:id="rId41"/>
    <sheet name="TablasEntreno" sheetId="99" r:id="rId42"/>
    <sheet name="TSI-Sueldos" sheetId="38" r:id="rId43"/>
    <sheet name="Entrenamientos" sheetId="12" r:id="rId44"/>
    <sheet name="NUEVOENTRENADOR" sheetId="41" r:id="rId45"/>
    <sheet name="RiscLesió" sheetId="48" r:id="rId46"/>
    <sheet name="EMPLEADOS" sheetId="93" r:id="rId47"/>
  </sheets>
  <externalReferences>
    <externalReference r:id="rId48"/>
  </externalReferences>
  <definedNames>
    <definedName name="_xlnm._FilterDatabase" localSheetId="20" hidden="1">'A-P_T40'!$I$3:$T$49</definedName>
    <definedName name="_xlnm._FilterDatabase" localSheetId="22" hidden="1">'A-P_T41'!$I$3:$T$49</definedName>
    <definedName name="_xlnm._FilterDatabase" localSheetId="24" hidden="1">'A-P_T42'!$I$3:$T$48</definedName>
    <definedName name="_xlnm._FilterDatabase" localSheetId="26" hidden="1">'A-P_T43'!$I$3:$T$4</definedName>
    <definedName name="_xlnm._FilterDatabase" localSheetId="28" hidden="1">'A-P_T44'!$I$3:$T$4</definedName>
    <definedName name="_xlnm._FilterDatabase" localSheetId="30" hidden="1">'A-P_T45'!$I$3:$T$4</definedName>
    <definedName name="_xlnm._FilterDatabase" localSheetId="32" hidden="1">'A-P_T46'!$I$3:$T$3</definedName>
    <definedName name="_xlnm._FilterDatabase" localSheetId="34" hidden="1">'A-P_T47'!$I$3:$T$3</definedName>
    <definedName name="_xlnm._FilterDatabase" localSheetId="9" hidden="1">ENTRENAMIENTO_Rendimiento!$S$3:$Z$24</definedName>
    <definedName name="_xlnm._FilterDatabase" localSheetId="6" hidden="1">PLANTILLA!$A$4:$AN$25</definedName>
    <definedName name="_xlnm._FilterDatabase" localSheetId="0" hidden="1">RecienPromocionados!$A$4:$D$22</definedName>
  </definedNames>
  <calcPr calcId="179017"/>
</workbook>
</file>

<file path=xl/calcChain.xml><?xml version="1.0" encoding="utf-8"?>
<calcChain xmlns="http://schemas.openxmlformats.org/spreadsheetml/2006/main">
  <c r="D19" i="102" l="1"/>
  <c r="C19" i="102"/>
  <c r="A19" i="102"/>
  <c r="A20" i="83"/>
  <c r="A2" i="83"/>
  <c r="U32" i="49" l="1"/>
  <c r="U18" i="49"/>
  <c r="AD5" i="32" l="1"/>
  <c r="AA20" i="32" l="1"/>
  <c r="AA14" i="32"/>
  <c r="AD21" i="32" l="1"/>
  <c r="AD19" i="32"/>
  <c r="AD16" i="32"/>
  <c r="AD12" i="32"/>
  <c r="AD17" i="32"/>
  <c r="AD9" i="32"/>
  <c r="AD11" i="32" l="1"/>
  <c r="D24" i="83" l="1"/>
  <c r="D25" i="83"/>
  <c r="D26" i="83"/>
  <c r="D27" i="83"/>
  <c r="D23" i="83"/>
  <c r="Z20" i="32" l="1"/>
  <c r="Z13" i="32"/>
  <c r="Z14" i="32"/>
  <c r="Z12" i="32"/>
  <c r="Z11" i="32"/>
  <c r="Z7" i="32"/>
  <c r="Z5" i="32"/>
  <c r="AA22" i="32" l="1"/>
  <c r="AA23" i="32"/>
  <c r="AA21" i="32"/>
  <c r="AA15" i="32"/>
  <c r="AA13" i="32"/>
  <c r="AA11" i="32"/>
  <c r="AA10" i="32"/>
  <c r="AA9" i="32"/>
  <c r="AA5" i="32"/>
  <c r="R33" i="49" l="1"/>
  <c r="V32" i="49" l="1"/>
  <c r="V18" i="49"/>
  <c r="Y23" i="32"/>
  <c r="Y21" i="32"/>
  <c r="Y15" i="32"/>
  <c r="Y16" i="32"/>
  <c r="Y13" i="32"/>
  <c r="Y14" i="32"/>
  <c r="Y11" i="32"/>
  <c r="Y17" i="32"/>
  <c r="Y7" i="32"/>
  <c r="Y9" i="32"/>
  <c r="Y5" i="32"/>
  <c r="Y19" i="32" l="1"/>
  <c r="B21" i="3" l="1"/>
  <c r="B20" i="3"/>
  <c r="B19" i="3"/>
  <c r="B18" i="3"/>
  <c r="C16" i="3"/>
  <c r="C18" i="3" s="1"/>
  <c r="D16" i="3" l="1"/>
  <c r="C21" i="3"/>
  <c r="C19" i="3"/>
  <c r="C20" i="3"/>
  <c r="AA18" i="32"/>
  <c r="E16" i="3" l="1"/>
  <c r="D18" i="3"/>
  <c r="D20" i="3"/>
  <c r="D21" i="3"/>
  <c r="D19" i="3"/>
  <c r="P22" i="32"/>
  <c r="P20" i="32"/>
  <c r="C20" i="83" s="1"/>
  <c r="P7" i="32"/>
  <c r="P5" i="32"/>
  <c r="F16" i="3" l="1"/>
  <c r="E18" i="3"/>
  <c r="E20" i="3"/>
  <c r="E21" i="3"/>
  <c r="E19" i="3"/>
  <c r="AM20" i="32"/>
  <c r="AN20" i="32"/>
  <c r="G16" i="3" l="1"/>
  <c r="F21" i="3"/>
  <c r="F18" i="3"/>
  <c r="F20" i="3"/>
  <c r="F19" i="3"/>
  <c r="A19" i="76"/>
  <c r="B19" i="76"/>
  <c r="C19" i="76"/>
  <c r="G19" i="76" s="1"/>
  <c r="H19" i="76" s="1"/>
  <c r="D19" i="76"/>
  <c r="E19" i="76" s="1"/>
  <c r="A18" i="76"/>
  <c r="B18" i="76"/>
  <c r="C18" i="76"/>
  <c r="G18" i="76" s="1"/>
  <c r="D18" i="76"/>
  <c r="E18" i="76" s="1"/>
  <c r="F18" i="76" s="1"/>
  <c r="H16" i="3" l="1"/>
  <c r="G19" i="3"/>
  <c r="G21" i="3"/>
  <c r="G18" i="3"/>
  <c r="G20" i="3"/>
  <c r="I18" i="76"/>
  <c r="H18" i="76"/>
  <c r="J18" i="76" s="1"/>
  <c r="I19" i="76"/>
  <c r="F19" i="76"/>
  <c r="J19" i="76" s="1"/>
  <c r="L12" i="111"/>
  <c r="R12" i="111" s="1"/>
  <c r="A12" i="111"/>
  <c r="B12" i="111"/>
  <c r="C12" i="111"/>
  <c r="E12" i="111"/>
  <c r="F12" i="111"/>
  <c r="G12" i="111"/>
  <c r="H12" i="111"/>
  <c r="I12" i="111"/>
  <c r="J12" i="111"/>
  <c r="K12" i="111"/>
  <c r="S12" i="111"/>
  <c r="W12" i="111"/>
  <c r="L7" i="110"/>
  <c r="U7" i="110" s="1"/>
  <c r="N23" i="110"/>
  <c r="T23" i="110"/>
  <c r="U23" i="110"/>
  <c r="V23" i="110"/>
  <c r="W23" i="110"/>
  <c r="X23" i="110"/>
  <c r="T7" i="110"/>
  <c r="W7" i="110"/>
  <c r="Z7" i="110" s="1"/>
  <c r="A7" i="110"/>
  <c r="B7" i="110"/>
  <c r="C7" i="110"/>
  <c r="E7" i="110"/>
  <c r="F7" i="110"/>
  <c r="G7" i="110"/>
  <c r="H7" i="110"/>
  <c r="I7" i="110"/>
  <c r="J7" i="110"/>
  <c r="K7" i="110"/>
  <c r="L7" i="107"/>
  <c r="T7" i="107" s="1"/>
  <c r="M23" i="107"/>
  <c r="N23" i="107"/>
  <c r="P23" i="107"/>
  <c r="Q23" i="107"/>
  <c r="R23" i="107"/>
  <c r="S23" i="107"/>
  <c r="T23" i="107"/>
  <c r="U23" i="107"/>
  <c r="V23" i="107"/>
  <c r="W23" i="107"/>
  <c r="X23" i="107"/>
  <c r="M7" i="107"/>
  <c r="Q7" i="107"/>
  <c r="R7" i="107"/>
  <c r="S7" i="107"/>
  <c r="U7" i="107"/>
  <c r="Z7" i="107" s="1"/>
  <c r="V7" i="107"/>
  <c r="A7" i="107"/>
  <c r="B7" i="107"/>
  <c r="C7" i="107"/>
  <c r="E7" i="107"/>
  <c r="F7" i="107"/>
  <c r="G7" i="107"/>
  <c r="H7" i="107"/>
  <c r="I7" i="107"/>
  <c r="J7" i="107"/>
  <c r="K7" i="107"/>
  <c r="L9" i="108"/>
  <c r="P9" i="108" s="1"/>
  <c r="A9" i="108"/>
  <c r="B9" i="108"/>
  <c r="C9" i="108"/>
  <c r="E9" i="108"/>
  <c r="F9" i="108"/>
  <c r="G9" i="108"/>
  <c r="H9" i="108"/>
  <c r="I9" i="108"/>
  <c r="J9" i="108"/>
  <c r="K9" i="108"/>
  <c r="N9" i="108"/>
  <c r="T9" i="108"/>
  <c r="A19" i="113"/>
  <c r="C19" i="113"/>
  <c r="E19" i="113"/>
  <c r="H19" i="113"/>
  <c r="J19" i="113"/>
  <c r="K19" i="113"/>
  <c r="L19" i="113"/>
  <c r="M19" i="113"/>
  <c r="N19" i="113"/>
  <c r="Q19" i="113" s="1"/>
  <c r="O19" i="113"/>
  <c r="P19" i="113"/>
  <c r="S9" i="108" l="1"/>
  <c r="U12" i="111"/>
  <c r="Z12" i="111" s="1"/>
  <c r="BR19" i="113"/>
  <c r="R9" i="108"/>
  <c r="Q9" i="108"/>
  <c r="X7" i="107"/>
  <c r="P7" i="107"/>
  <c r="N12" i="111"/>
  <c r="O9" i="108"/>
  <c r="W7" i="107"/>
  <c r="N7" i="107"/>
  <c r="X7" i="110"/>
  <c r="V9" i="108"/>
  <c r="U9" i="108"/>
  <c r="Z9" i="108" s="1"/>
  <c r="N7" i="110"/>
  <c r="X12" i="111"/>
  <c r="AN19" i="113"/>
  <c r="M12" i="111"/>
  <c r="V12" i="111"/>
  <c r="I16" i="3"/>
  <c r="H19" i="3"/>
  <c r="H21" i="3"/>
  <c r="H18" i="3"/>
  <c r="H20" i="3"/>
  <c r="BF19" i="113"/>
  <c r="AW19" i="113"/>
  <c r="R19" i="113"/>
  <c r="Y12" i="111"/>
  <c r="AA12" i="111" s="1"/>
  <c r="Y7" i="110"/>
  <c r="AA7" i="110" s="1"/>
  <c r="V7" i="110"/>
  <c r="AA7" i="107"/>
  <c r="Y7" i="107"/>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0" i="32"/>
  <c r="W20" i="32"/>
  <c r="U20" i="32"/>
  <c r="R20" i="32"/>
  <c r="S20" i="32"/>
  <c r="N20" i="32"/>
  <c r="J20" i="32"/>
  <c r="K20" i="32"/>
  <c r="L20" i="32"/>
  <c r="AT20" i="32"/>
  <c r="L13" i="111"/>
  <c r="L12" i="110"/>
  <c r="L15" i="107"/>
  <c r="L19" i="108"/>
  <c r="N19" i="108" s="1"/>
  <c r="L15" i="111"/>
  <c r="L15" i="110"/>
  <c r="L17" i="107"/>
  <c r="L10" i="108"/>
  <c r="L17" i="111"/>
  <c r="L13" i="110"/>
  <c r="L18" i="107"/>
  <c r="L18" i="108"/>
  <c r="N18" i="108" s="1"/>
  <c r="L19" i="111"/>
  <c r="L18" i="110"/>
  <c r="L16" i="107"/>
  <c r="L4" i="108"/>
  <c r="L9" i="111"/>
  <c r="L9" i="110"/>
  <c r="L8" i="107"/>
  <c r="L13" i="108"/>
  <c r="N13" i="108" s="1"/>
  <c r="L6" i="111"/>
  <c r="L10" i="110"/>
  <c r="L10" i="107"/>
  <c r="L14" i="108"/>
  <c r="L16" i="111"/>
  <c r="L4" i="110"/>
  <c r="L6" i="107"/>
  <c r="L17" i="108"/>
  <c r="N17" i="108" s="1"/>
  <c r="L4" i="111"/>
  <c r="L16" i="110"/>
  <c r="L12" i="107"/>
  <c r="L6" i="108"/>
  <c r="L8" i="111"/>
  <c r="L11" i="110"/>
  <c r="L11" i="107"/>
  <c r="L5" i="108"/>
  <c r="N5" i="108" s="1"/>
  <c r="L7" i="108"/>
  <c r="L8" i="108"/>
  <c r="L11" i="111"/>
  <c r="L6" i="110"/>
  <c r="L4" i="107"/>
  <c r="L15" i="108"/>
  <c r="N15" i="108" s="1"/>
  <c r="Y14" i="111"/>
  <c r="L14" i="111"/>
  <c r="L5" i="110"/>
  <c r="L5" i="107"/>
  <c r="Z12" i="108"/>
  <c r="L12" i="108"/>
  <c r="L10" i="111"/>
  <c r="L8" i="110"/>
  <c r="L9" i="107"/>
  <c r="L16" i="108"/>
  <c r="N16" i="108" s="1"/>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12" i="108"/>
  <c r="N8" i="108"/>
  <c r="N6" i="108"/>
  <c r="N14" i="108"/>
  <c r="N4" i="108"/>
  <c r="N20" i="108"/>
  <c r="N21" i="108"/>
  <c r="N22" i="108"/>
  <c r="N10" i="108"/>
  <c r="N23" i="108"/>
  <c r="A19" i="108"/>
  <c r="A23" i="108"/>
  <c r="A22" i="108"/>
  <c r="A18" i="108"/>
  <c r="A17" i="108"/>
  <c r="A21" i="108"/>
  <c r="A20" i="108"/>
  <c r="A16" i="108"/>
  <c r="A15" i="108"/>
  <c r="A13" i="108"/>
  <c r="A14" i="108"/>
  <c r="A11" i="108"/>
  <c r="A12" i="108"/>
  <c r="A10" i="108"/>
  <c r="A8" i="108"/>
  <c r="A5" i="108"/>
  <c r="A6" i="108"/>
  <c r="A7" i="108"/>
  <c r="A4" i="108"/>
  <c r="B19" i="102" l="1"/>
  <c r="B20" i="83"/>
  <c r="D20" i="83" s="1"/>
  <c r="Y9" i="108"/>
  <c r="AA9" i="108" s="1"/>
  <c r="J16" i="3"/>
  <c r="I19" i="3"/>
  <c r="I21" i="3"/>
  <c r="I20" i="3"/>
  <c r="I18" i="3"/>
  <c r="AF20" i="32"/>
  <c r="AL20" i="32"/>
  <c r="H19" i="102" s="1"/>
  <c r="AI20" i="32"/>
  <c r="E19" i="102" s="1"/>
  <c r="AH20" i="32"/>
  <c r="AK20" i="32"/>
  <c r="G19" i="102" s="1"/>
  <c r="AG20" i="32"/>
  <c r="AJ20" i="32"/>
  <c r="F19" i="102" s="1"/>
  <c r="Z18" i="111"/>
  <c r="Q24" i="113"/>
  <c r="AN24" i="113" s="1"/>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AN25" i="113" s="1"/>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O25" i="113"/>
  <c r="AQ25" i="113" s="1"/>
  <c r="AP25" i="113"/>
  <c r="AR25" i="113"/>
  <c r="AS25" i="113"/>
  <c r="AU25" i="113" s="1"/>
  <c r="AT25" i="113"/>
  <c r="AV25" i="113"/>
  <c r="AX25" i="113" s="1"/>
  <c r="AW25" i="113"/>
  <c r="AY25" i="113"/>
  <c r="AZ25" i="113"/>
  <c r="BB25" i="113" s="1"/>
  <c r="BA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AA29" i="113" s="1"/>
  <c r="Z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AN31" i="113" s="1"/>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AN32" i="113" s="1"/>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AN33" i="113" s="1"/>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F20" i="83" l="1"/>
  <c r="E20" i="83"/>
  <c r="K16" i="3"/>
  <c r="J20" i="3"/>
  <c r="J19" i="3"/>
  <c r="J21" i="3"/>
  <c r="J18" i="3"/>
  <c r="AB22" i="32"/>
  <c r="AB19" i="32"/>
  <c r="AB18" i="32"/>
  <c r="AB13" i="32"/>
  <c r="AB17" i="32"/>
  <c r="AB7" i="32"/>
  <c r="AB9" i="32"/>
  <c r="AB5" i="32"/>
  <c r="L16" i="3" l="1"/>
  <c r="K18" i="3"/>
  <c r="K20" i="3"/>
  <c r="K19" i="3"/>
  <c r="K21" i="3"/>
  <c r="I6" i="110"/>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M16" i="3" l="1"/>
  <c r="L18" i="3"/>
  <c r="L20" i="3"/>
  <c r="L19" i="3"/>
  <c r="L21" i="3"/>
  <c r="I13" i="107"/>
  <c r="I19" i="110"/>
  <c r="I5" i="111"/>
  <c r="AB14" i="32"/>
  <c r="N16" i="3" l="1"/>
  <c r="M20" i="3"/>
  <c r="M18" i="3"/>
  <c r="M19" i="3"/>
  <c r="M21" i="3"/>
  <c r="I23" i="111"/>
  <c r="I23" i="110"/>
  <c r="I23" i="107"/>
  <c r="I10" i="107"/>
  <c r="I10" i="110"/>
  <c r="I6" i="111"/>
  <c r="AD23" i="32"/>
  <c r="O16" i="3" l="1"/>
  <c r="N19" i="3"/>
  <c r="N18" i="3"/>
  <c r="N20" i="3"/>
  <c r="N21" i="3"/>
  <c r="AM16" i="32"/>
  <c r="AN16" i="32"/>
  <c r="AM12" i="32"/>
  <c r="AN12" i="32"/>
  <c r="AN22" i="32"/>
  <c r="AM22" i="32"/>
  <c r="AM17" i="32"/>
  <c r="AN17" i="32"/>
  <c r="AM10" i="32"/>
  <c r="AN10" i="32"/>
  <c r="AM18" i="32"/>
  <c r="AN18" i="32"/>
  <c r="AM7" i="32"/>
  <c r="AN7" i="32"/>
  <c r="AM14" i="32"/>
  <c r="AN14" i="32"/>
  <c r="AM15" i="32"/>
  <c r="AN15" i="32"/>
  <c r="AM9" i="32"/>
  <c r="AN9" i="32"/>
  <c r="AM23" i="32"/>
  <c r="AN23" i="32"/>
  <c r="AN5" i="32"/>
  <c r="AM5" i="32"/>
  <c r="AM8" i="32"/>
  <c r="AN8" i="32"/>
  <c r="AM13" i="32"/>
  <c r="AN13" i="32"/>
  <c r="AN21" i="32"/>
  <c r="AM21"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P16" i="3" l="1"/>
  <c r="O19" i="3"/>
  <c r="O21" i="3"/>
  <c r="O18" i="3"/>
  <c r="O20" i="3"/>
  <c r="G22" i="49"/>
  <c r="O23" i="49" s="1"/>
  <c r="AT23" i="32"/>
  <c r="AT6" i="32"/>
  <c r="AT7" i="32"/>
  <c r="AT8" i="32"/>
  <c r="AT9" i="32"/>
  <c r="AT10" i="32"/>
  <c r="AT11" i="32"/>
  <c r="AT12" i="32"/>
  <c r="AT13" i="32"/>
  <c r="AT14" i="32"/>
  <c r="AT15" i="32"/>
  <c r="AT16" i="32"/>
  <c r="AT17" i="32"/>
  <c r="AT18" i="32"/>
  <c r="AT19" i="32"/>
  <c r="AT21" i="32"/>
  <c r="AT22" i="32"/>
  <c r="AT5" i="32"/>
  <c r="Q16" i="3" l="1"/>
  <c r="P19" i="3"/>
  <c r="P21" i="3"/>
  <c r="P18" i="3"/>
  <c r="P20" i="3"/>
  <c r="A18" i="85"/>
  <c r="AB8" i="32"/>
  <c r="R16" i="3" l="1"/>
  <c r="Q19" i="3"/>
  <c r="Q21" i="3"/>
  <c r="Q18" i="3"/>
  <c r="Q20" i="3"/>
  <c r="I4" i="111"/>
  <c r="I16" i="110"/>
  <c r="I12" i="107"/>
  <c r="I17" i="111"/>
  <c r="I13" i="110"/>
  <c r="I18" i="107"/>
  <c r="O13" i="85"/>
  <c r="S16" i="3" l="1"/>
  <c r="R19" i="3"/>
  <c r="R21" i="3"/>
  <c r="R18" i="3"/>
  <c r="R20" i="3"/>
  <c r="A4" i="76"/>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2" i="102"/>
  <c r="D2" i="102"/>
  <c r="N2" i="102" s="1"/>
  <c r="A4" i="102"/>
  <c r="C4" i="102"/>
  <c r="M4" i="102" s="1"/>
  <c r="D4" i="102"/>
  <c r="N4" i="102" s="1"/>
  <c r="A6" i="102"/>
  <c r="D6" i="102"/>
  <c r="N6" i="102" s="1"/>
  <c r="A15" i="83"/>
  <c r="A5" i="83"/>
  <c r="A7" i="83"/>
  <c r="A12" i="83"/>
  <c r="H5" i="83" s="1"/>
  <c r="M5" i="83" s="1"/>
  <c r="A16" i="83"/>
  <c r="A4" i="83"/>
  <c r="M4" i="83" s="1"/>
  <c r="A9" i="83"/>
  <c r="A13" i="83"/>
  <c r="A14" i="83"/>
  <c r="A3" i="83"/>
  <c r="A6" i="83"/>
  <c r="H6" i="83" s="1"/>
  <c r="A17" i="83"/>
  <c r="A18" i="83"/>
  <c r="A10" i="83"/>
  <c r="A11" i="83"/>
  <c r="A8" i="83"/>
  <c r="A19" i="83"/>
  <c r="T16" i="3" l="1"/>
  <c r="S18" i="3"/>
  <c r="S20" i="3"/>
  <c r="S19" i="3"/>
  <c r="S21" i="3"/>
  <c r="F7" i="11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U16" i="3" l="1"/>
  <c r="T18" i="3"/>
  <c r="T20" i="3"/>
  <c r="T21" i="3"/>
  <c r="T19" i="3"/>
  <c r="J20" i="76"/>
  <c r="J15" i="76"/>
  <c r="J5" i="76"/>
  <c r="Q6" i="76"/>
  <c r="X6" i="76" s="1"/>
  <c r="J14" i="76"/>
  <c r="S10" i="76"/>
  <c r="Z10" i="76" s="1"/>
  <c r="J21" i="76"/>
  <c r="S12" i="76"/>
  <c r="Z12" i="76" s="1"/>
  <c r="J16" i="76"/>
  <c r="S9" i="76"/>
  <c r="Z9" i="76" s="1"/>
  <c r="J10" i="76"/>
  <c r="J7" i="76"/>
  <c r="Q4" i="76"/>
  <c r="X4" i="76" s="1"/>
  <c r="J13" i="76"/>
  <c r="J11" i="76"/>
  <c r="Q11" i="76"/>
  <c r="X11" i="76" s="1"/>
  <c r="V24" i="32"/>
  <c r="V25" i="32" s="1"/>
  <c r="T24" i="32"/>
  <c r="V16" i="3" l="1"/>
  <c r="U18" i="3"/>
  <c r="U20" i="3"/>
  <c r="U21" i="3"/>
  <c r="U19" i="3"/>
  <c r="AM19" i="32"/>
  <c r="AN19" i="32"/>
  <c r="AM11" i="32"/>
  <c r="AN11" i="32"/>
  <c r="K22" i="110"/>
  <c r="K22" i="107"/>
  <c r="K22" i="111"/>
  <c r="D17" i="102"/>
  <c r="K21" i="110"/>
  <c r="K21" i="107"/>
  <c r="K21" i="111"/>
  <c r="D16" i="102"/>
  <c r="J7" i="111"/>
  <c r="J17" i="110"/>
  <c r="J14" i="107"/>
  <c r="C13" i="102"/>
  <c r="U10" i="49"/>
  <c r="W16" i="3" l="1"/>
  <c r="V21" i="3"/>
  <c r="V18" i="3"/>
  <c r="V20" i="3"/>
  <c r="V19" i="3"/>
  <c r="V4" i="49"/>
  <c r="V9" i="49"/>
  <c r="V15" i="49"/>
  <c r="V17" i="49"/>
  <c r="V16" i="49"/>
  <c r="V13" i="49"/>
  <c r="V23" i="49"/>
  <c r="V10" i="49"/>
  <c r="V5" i="49"/>
  <c r="V7" i="49"/>
  <c r="V12" i="49"/>
  <c r="V3" i="49"/>
  <c r="V6" i="49"/>
  <c r="V14" i="49"/>
  <c r="V8" i="49"/>
  <c r="V11" i="49"/>
  <c r="V20" i="49"/>
  <c r="X16" i="3" l="1"/>
  <c r="W19" i="3"/>
  <c r="W21" i="3"/>
  <c r="W18" i="3"/>
  <c r="W20" i="3"/>
  <c r="AB11" i="32"/>
  <c r="Y16" i="3" l="1"/>
  <c r="X19" i="3"/>
  <c r="X21" i="3"/>
  <c r="X18" i="3"/>
  <c r="X20" i="3"/>
  <c r="I20" i="107"/>
  <c r="I20" i="110"/>
  <c r="I20" i="111"/>
  <c r="I21" i="111"/>
  <c r="I21" i="110"/>
  <c r="I21" i="107"/>
  <c r="Z16" i="3" l="1"/>
  <c r="Y19" i="3"/>
  <c r="Y18" i="3"/>
  <c r="Y21" i="3"/>
  <c r="Y20" i="3"/>
  <c r="F20" i="107"/>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AA16" i="3" l="1"/>
  <c r="Z18" i="3"/>
  <c r="Z19" i="3"/>
  <c r="Z21" i="3"/>
  <c r="Z20" i="3"/>
  <c r="E14" i="110"/>
  <c r="E19" i="107"/>
  <c r="E18" i="111"/>
  <c r="H14" i="107"/>
  <c r="H7" i="111"/>
  <c r="H17" i="110"/>
  <c r="H6" i="107"/>
  <c r="H16" i="111"/>
  <c r="H4" i="110"/>
  <c r="N13" i="85"/>
  <c r="V2" i="85"/>
  <c r="AB16" i="3" l="1"/>
  <c r="AA18" i="3"/>
  <c r="AA20" i="3"/>
  <c r="AA19" i="3"/>
  <c r="AA21" i="3"/>
  <c r="AC23" i="32"/>
  <c r="AC14" i="32"/>
  <c r="AC5" i="32"/>
  <c r="AC16" i="3" l="1"/>
  <c r="AB21" i="3"/>
  <c r="AB18" i="3"/>
  <c r="AB20" i="3"/>
  <c r="AB19" i="3"/>
  <c r="J11" i="107"/>
  <c r="J8" i="111"/>
  <c r="J11" i="110"/>
  <c r="C3" i="102"/>
  <c r="M3" i="102" s="1"/>
  <c r="J13" i="107"/>
  <c r="J5" i="111"/>
  <c r="J19" i="110"/>
  <c r="C11" i="102"/>
  <c r="M11" i="102" s="1"/>
  <c r="J6" i="110"/>
  <c r="J4" i="107"/>
  <c r="J11" i="111"/>
  <c r="C9" i="102"/>
  <c r="M9" i="102" s="1"/>
  <c r="J9" i="111"/>
  <c r="J9" i="110"/>
  <c r="J8" i="107"/>
  <c r="C8" i="102"/>
  <c r="M8" i="102" s="1"/>
  <c r="J16" i="111"/>
  <c r="J4" i="110"/>
  <c r="J6" i="107"/>
  <c r="C2" i="102"/>
  <c r="M2" i="102" s="1"/>
  <c r="J18" i="111"/>
  <c r="J14" i="110"/>
  <c r="J19" i="107"/>
  <c r="J5" i="107"/>
  <c r="J5" i="110"/>
  <c r="J14" i="111"/>
  <c r="C5" i="102"/>
  <c r="M5" i="102" s="1"/>
  <c r="J6" i="111"/>
  <c r="J10" i="107"/>
  <c r="J10" i="110"/>
  <c r="C7" i="102"/>
  <c r="M7" i="102" s="1"/>
  <c r="J15" i="110"/>
  <c r="J17" i="107"/>
  <c r="J15" i="111"/>
  <c r="C20" i="102"/>
  <c r="J4" i="111"/>
  <c r="J16" i="110"/>
  <c r="J12" i="107"/>
  <c r="C14" i="102"/>
  <c r="J10" i="111"/>
  <c r="J9" i="107"/>
  <c r="J8" i="110"/>
  <c r="C10" i="102"/>
  <c r="M10" i="102" s="1"/>
  <c r="J13" i="110"/>
  <c r="J18" i="107"/>
  <c r="J17" i="111"/>
  <c r="C6" i="102"/>
  <c r="M6" i="102" s="1"/>
  <c r="AD16" i="3" l="1"/>
  <c r="AC18" i="3"/>
  <c r="AC20" i="3"/>
  <c r="AC19" i="3"/>
  <c r="AC21" i="3"/>
  <c r="H17" i="11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AD18" i="3" l="1"/>
  <c r="AD20" i="3"/>
  <c r="AD19" i="3"/>
  <c r="AD21" i="3"/>
  <c r="H22" i="111"/>
  <c r="H22" i="110"/>
  <c r="H22" i="107"/>
  <c r="J6" i="32"/>
  <c r="J7" i="32"/>
  <c r="B2" i="83" s="1"/>
  <c r="J8" i="32"/>
  <c r="J9" i="32"/>
  <c r="J10" i="32"/>
  <c r="J11" i="32"/>
  <c r="J12" i="32"/>
  <c r="J13" i="32"/>
  <c r="J14" i="32"/>
  <c r="J15" i="32"/>
  <c r="J16" i="32"/>
  <c r="J17" i="32"/>
  <c r="J18" i="32"/>
  <c r="J19" i="32"/>
  <c r="J21" i="32"/>
  <c r="J22" i="32"/>
  <c r="J23" i="32"/>
  <c r="J5" i="32"/>
  <c r="AG19" i="32" l="1"/>
  <c r="AH19" i="32"/>
  <c r="AF19" i="32"/>
  <c r="AL19" i="32"/>
  <c r="AH11" i="32"/>
  <c r="AF11" i="32"/>
  <c r="AG11" i="32"/>
  <c r="AL11" i="32"/>
  <c r="AK23" i="32"/>
  <c r="AG23" i="32"/>
  <c r="AL23" i="32"/>
  <c r="AJ23" i="32"/>
  <c r="F6" i="102" s="1"/>
  <c r="AI23" i="32"/>
  <c r="AH23" i="32"/>
  <c r="AF23" i="32"/>
  <c r="AK21" i="32"/>
  <c r="AG21" i="32"/>
  <c r="AJ21" i="32"/>
  <c r="F2" i="102" s="1"/>
  <c r="AH21" i="32"/>
  <c r="AI21" i="32"/>
  <c r="E2" i="102" s="1"/>
  <c r="AL21" i="32"/>
  <c r="AF21" i="32"/>
  <c r="AH15" i="32"/>
  <c r="AF15" i="32"/>
  <c r="AL15" i="32"/>
  <c r="AJ15" i="32"/>
  <c r="F9" i="102" s="1"/>
  <c r="AI15" i="32"/>
  <c r="AG15" i="32"/>
  <c r="AK15" i="32"/>
  <c r="AJ16" i="32"/>
  <c r="F10" i="102" s="1"/>
  <c r="AG16" i="32"/>
  <c r="AK16" i="32"/>
  <c r="AH16" i="32"/>
  <c r="AF16" i="32"/>
  <c r="AL16" i="32"/>
  <c r="AI16" i="32"/>
  <c r="AL8" i="32"/>
  <c r="AK8" i="32"/>
  <c r="AJ8" i="32"/>
  <c r="F14" i="102" s="1"/>
  <c r="AH8" i="32"/>
  <c r="AF8" i="32"/>
  <c r="AI8" i="32"/>
  <c r="AG8" i="32"/>
  <c r="AF6" i="32"/>
  <c r="AH6" i="32"/>
  <c r="AG6" i="32"/>
  <c r="AF22" i="32"/>
  <c r="AK22" i="32"/>
  <c r="AI22" i="32"/>
  <c r="AL22" i="32"/>
  <c r="AH22" i="32"/>
  <c r="AJ22" i="32"/>
  <c r="F4" i="102" s="1"/>
  <c r="AG22"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E11" i="102" s="1"/>
  <c r="AH9" i="32"/>
  <c r="AF9" i="32"/>
  <c r="AI9" i="32"/>
  <c r="AG9" i="32"/>
  <c r="AL9" i="32"/>
  <c r="AK9" i="32"/>
  <c r="AJ9" i="32"/>
  <c r="F13" i="102" s="1"/>
  <c r="AF5" i="32"/>
  <c r="AI5" i="32"/>
  <c r="AG5" i="32"/>
  <c r="AH5" i="32"/>
  <c r="AL5" i="32"/>
  <c r="AK5" i="32"/>
  <c r="AJ5" i="32"/>
  <c r="B12" i="102"/>
  <c r="C15" i="83"/>
  <c r="B15" i="83"/>
  <c r="B2" i="102"/>
  <c r="L2" i="102" s="1"/>
  <c r="B10" i="83"/>
  <c r="C10" i="83"/>
  <c r="C12" i="83"/>
  <c r="B12" i="83"/>
  <c r="B11" i="102"/>
  <c r="L11" i="102" s="1"/>
  <c r="C11" i="83"/>
  <c r="B4" i="102"/>
  <c r="L4" i="102" s="1"/>
  <c r="B11" i="83"/>
  <c r="B6" i="102"/>
  <c r="L6" i="102" s="1"/>
  <c r="B8" i="83"/>
  <c r="C8" i="83"/>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B20" i="102"/>
  <c r="C2" i="83"/>
  <c r="C7" i="83"/>
  <c r="B7" i="83"/>
  <c r="B13" i="102"/>
  <c r="B19" i="83"/>
  <c r="C19" i="83"/>
  <c r="D3" i="83" l="1"/>
  <c r="D5" i="83"/>
  <c r="D8" i="83"/>
  <c r="D15" i="83"/>
  <c r="D12" i="83"/>
  <c r="I5" i="83" s="1"/>
  <c r="N5" i="83" s="1"/>
  <c r="D18" i="83"/>
  <c r="D14" i="83"/>
  <c r="D9" i="83"/>
  <c r="D7" i="83"/>
  <c r="D10" i="83"/>
  <c r="F10" i="83" s="1"/>
  <c r="D13" i="83"/>
  <c r="D11" i="83"/>
  <c r="D17" i="83"/>
  <c r="D4" i="83"/>
  <c r="D16" i="83"/>
  <c r="D6" i="83"/>
  <c r="D2" i="83"/>
  <c r="I6" i="83" l="1"/>
  <c r="I3" i="83"/>
  <c r="N3" i="83"/>
  <c r="N4" i="83"/>
  <c r="I4" i="83"/>
  <c r="M25" i="96"/>
  <c r="M19" i="96"/>
  <c r="AA19" i="111"/>
  <c r="AA22" i="111"/>
  <c r="AA23" i="111"/>
  <c r="AH4" i="111"/>
  <c r="AA18" i="110"/>
  <c r="AA23" i="110"/>
  <c r="AA22" i="110"/>
  <c r="AH4" i="110"/>
  <c r="AA22" i="107"/>
  <c r="AA23" i="107"/>
  <c r="AH4" i="107"/>
  <c r="BP27" i="86"/>
  <c r="BQ27" i="86"/>
  <c r="BL8" i="86"/>
  <c r="BP24" i="86"/>
  <c r="BP8" i="86" s="1"/>
  <c r="BQ24" i="86"/>
  <c r="BQ8" i="86" s="1"/>
  <c r="BH24" i="86"/>
  <c r="BH8" i="86" s="1"/>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4" i="32"/>
  <c r="AD6" i="32"/>
  <c r="AM6" i="32" l="1"/>
  <c r="AN6" i="32"/>
  <c r="AL6" i="32"/>
  <c r="AI6" i="32"/>
  <c r="AJ6" i="32"/>
  <c r="AK6" i="32"/>
  <c r="K20" i="111"/>
  <c r="K20" i="110"/>
  <c r="K20" i="107"/>
  <c r="D12" i="102"/>
  <c r="K23" i="107"/>
  <c r="K23" i="110"/>
  <c r="K23" i="111"/>
  <c r="Z10" i="110"/>
  <c r="Y10" i="110"/>
  <c r="Z9" i="107"/>
  <c r="Y9" i="107"/>
  <c r="Z10" i="108"/>
  <c r="AA10" i="108" s="1"/>
  <c r="Y10" i="108"/>
  <c r="AC19" i="32"/>
  <c r="AC11" i="32"/>
  <c r="AK11" i="32" l="1"/>
  <c r="AI11" i="32"/>
  <c r="AJ11" i="32"/>
  <c r="F16" i="102" s="1"/>
  <c r="AI19" i="32"/>
  <c r="AK19" i="32"/>
  <c r="AJ19" i="32"/>
  <c r="F17" i="102" s="1"/>
  <c r="J23" i="111"/>
  <c r="J23" i="110"/>
  <c r="J23" i="107"/>
  <c r="J22" i="110"/>
  <c r="J22" i="107"/>
  <c r="J22" i="111"/>
  <c r="C17" i="102"/>
  <c r="J21" i="110"/>
  <c r="J21" i="107"/>
  <c r="J21" i="111"/>
  <c r="C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AN20" i="113" s="1"/>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1" i="32"/>
  <c r="U22" i="32"/>
  <c r="U23" i="32"/>
  <c r="U5" i="32"/>
  <c r="O19" i="49" l="1"/>
  <c r="O3" i="49" l="1"/>
  <c r="O17" i="49"/>
  <c r="O24" i="49"/>
  <c r="O10" i="49"/>
  <c r="O4" i="49"/>
  <c r="O18" i="49"/>
  <c r="O6" i="49"/>
  <c r="O15" i="49"/>
  <c r="O20" i="49"/>
  <c r="O12" i="49"/>
  <c r="O7" i="49"/>
  <c r="O5" i="49"/>
  <c r="O14" i="49"/>
  <c r="O8" i="49"/>
  <c r="O11" i="49"/>
  <c r="O13" i="49"/>
  <c r="O22" i="49"/>
  <c r="O21" i="49"/>
  <c r="O16"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4"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0" l="1"/>
  <c r="AA8" i="11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AA4" i="108" s="1"/>
  <c r="Z6" i="108"/>
  <c r="AA6" i="108" s="1"/>
  <c r="Z15" i="108"/>
  <c r="AA15" i="108" s="1"/>
  <c r="Y15" i="108"/>
  <c r="Q21" i="108"/>
  <c r="T19" i="108"/>
  <c r="U19" i="108"/>
  <c r="Q19" i="108"/>
  <c r="S19" i="108"/>
  <c r="V19" i="108"/>
  <c r="R19"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2" i="107"/>
  <c r="AA14" i="107"/>
  <c r="AA4" i="107"/>
  <c r="F3" i="107"/>
  <c r="G3" i="107"/>
  <c r="H3" i="107"/>
  <c r="I3" i="107"/>
  <c r="J3" i="107"/>
  <c r="K3" i="107"/>
  <c r="B3" i="107"/>
  <c r="C3" i="107"/>
  <c r="D3" i="107"/>
  <c r="E3" i="107"/>
  <c r="AA11" i="107" l="1"/>
  <c r="AA8" i="107"/>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U16" i="49" l="1"/>
  <c r="U20"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8" i="32"/>
  <c r="AQ19" i="32"/>
  <c r="AQ21" i="32"/>
  <c r="AQ22" i="32"/>
  <c r="AQ23" i="32"/>
  <c r="AQ6" i="32"/>
  <c r="AQ5" i="32"/>
  <c r="K4" i="104" l="1"/>
  <c r="G16" i="103"/>
  <c r="E14" i="103"/>
  <c r="F14" i="103" s="1"/>
  <c r="D16" i="103"/>
  <c r="D17" i="103"/>
  <c r="E17" i="103" s="1"/>
  <c r="F17" i="103" s="1"/>
  <c r="G17" i="103" s="1"/>
  <c r="D18" i="103"/>
  <c r="E18" i="103" s="1"/>
  <c r="F18" i="103" s="1"/>
  <c r="G18" i="103" s="1"/>
  <c r="H18" i="103" s="1"/>
  <c r="I18" i="103" s="1"/>
  <c r="J18" i="103" s="1"/>
  <c r="K18" i="103" s="1"/>
  <c r="L18" i="103" s="1"/>
  <c r="M18" i="103" s="1"/>
  <c r="N18" i="103" s="1"/>
  <c r="O18" i="103" s="1"/>
  <c r="P18" i="103" s="1"/>
  <c r="Q18" i="103" s="1"/>
  <c r="D19" i="103"/>
  <c r="E19" i="103" s="1"/>
  <c r="F19" i="103" s="1"/>
  <c r="G19" i="103" s="1"/>
  <c r="D20" i="103"/>
  <c r="E20" i="103" s="1"/>
  <c r="F20" i="103" s="1"/>
  <c r="G20" i="103" s="1"/>
  <c r="D22" i="103"/>
  <c r="E22" i="103" s="1"/>
  <c r="F22" i="103" s="1"/>
  <c r="G22" i="103" s="1"/>
  <c r="H22" i="103" s="1"/>
  <c r="I22" i="103" s="1"/>
  <c r="J22" i="103" s="1"/>
  <c r="K22" i="103" s="1"/>
  <c r="L22" i="103" s="1"/>
  <c r="M22" i="103" s="1"/>
  <c r="N22" i="103" s="1"/>
  <c r="O22" i="103" s="1"/>
  <c r="P22" i="103" s="1"/>
  <c r="Q22" i="103" s="1"/>
  <c r="C18" i="104"/>
  <c r="F16" i="104"/>
  <c r="F15" i="104"/>
  <c r="C15" i="104"/>
  <c r="C14" i="104"/>
  <c r="F13" i="104"/>
  <c r="C12" i="104"/>
  <c r="P4" i="104"/>
  <c r="C13" i="104" s="1"/>
  <c r="O4" i="104"/>
  <c r="F12" i="104" s="1"/>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Q26" i="103"/>
  <c r="O26" i="103"/>
  <c r="N26" i="103"/>
  <c r="M26" i="103"/>
  <c r="L26" i="103"/>
  <c r="J26" i="103"/>
  <c r="I26" i="103"/>
  <c r="G26" i="103"/>
  <c r="F26" i="103"/>
  <c r="E26" i="103"/>
  <c r="D26"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D31" i="103" l="1"/>
  <c r="R18" i="103"/>
  <c r="R22" i="103"/>
  <c r="S22" i="103" s="1"/>
  <c r="C22" i="103" s="1"/>
  <c r="F33" i="104" s="1"/>
  <c r="R4" i="103"/>
  <c r="S4" i="103" s="1"/>
  <c r="F30" i="103"/>
  <c r="F31"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E30" i="103"/>
  <c r="E31" i="103" s="1"/>
  <c r="C19" i="104"/>
  <c r="C11" i="104"/>
  <c r="K13" i="103"/>
  <c r="C29" i="103"/>
  <c r="H13" i="103"/>
  <c r="P13" i="103"/>
  <c r="R17" i="103" l="1"/>
  <c r="S18" i="103"/>
  <c r="C18" i="103" s="1"/>
  <c r="F31" i="104" s="1"/>
  <c r="R19" i="103"/>
  <c r="C20"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J16" i="103"/>
  <c r="I30" i="103"/>
  <c r="I31" i="103" s="1"/>
  <c r="Z9" i="103"/>
  <c r="Z10" i="103"/>
  <c r="Z12" i="103"/>
  <c r="Z7" i="103"/>
  <c r="Y14" i="103"/>
  <c r="Z6" i="103"/>
  <c r="Z11" i="103"/>
  <c r="K16" i="103" l="1"/>
  <c r="J30" i="103"/>
  <c r="J31" i="103" s="1"/>
  <c r="Z13" i="103"/>
  <c r="K30" i="103" l="1"/>
  <c r="K31" i="103" s="1"/>
  <c r="L16" i="103"/>
  <c r="S11" i="100"/>
  <c r="L30" i="103" l="1"/>
  <c r="L31" i="103" s="1"/>
  <c r="M16" i="103"/>
  <c r="N16" i="103" l="1"/>
  <c r="M30" i="103"/>
  <c r="M31" i="103" s="1"/>
  <c r="P6" i="100"/>
  <c r="O16" i="103" l="1"/>
  <c r="N30" i="103"/>
  <c r="N31" i="103" s="1"/>
  <c r="O30" i="103" l="1"/>
  <c r="O31" i="103" s="1"/>
  <c r="P16" i="103"/>
  <c r="P30" i="103" l="1"/>
  <c r="P31" i="103" s="1"/>
  <c r="Q16" i="103"/>
  <c r="R16" i="103" s="1"/>
  <c r="R30" i="103" l="1"/>
  <c r="R31" i="103" s="1"/>
  <c r="Q30" i="103"/>
  <c r="Q31" i="103" s="1"/>
  <c r="S16" i="103" l="1"/>
  <c r="C14" i="103" l="1"/>
  <c r="F28" i="104" s="1"/>
  <c r="S30" i="103"/>
  <c r="S31" i="103" s="1"/>
  <c r="C16" i="103"/>
  <c r="L14" i="100"/>
  <c r="J23" i="108" l="1"/>
  <c r="F24" i="104"/>
  <c r="F23" i="104" s="1"/>
  <c r="C30" i="103"/>
  <c r="C31" i="103" s="1"/>
  <c r="A18" i="102" l="1"/>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D15" i="103" s="1"/>
  <c r="D27" i="103" l="1"/>
  <c r="D28" i="103" s="1"/>
  <c r="E15" i="103"/>
  <c r="D23" i="103"/>
  <c r="W29" i="86"/>
  <c r="X30" i="86" s="1"/>
  <c r="F15" i="103" l="1"/>
  <c r="E23" i="103"/>
  <c r="E27" i="103"/>
  <c r="E28" i="103" s="1"/>
  <c r="H7" i="100"/>
  <c r="H6" i="100"/>
  <c r="P14" i="100"/>
  <c r="G15" i="103" l="1"/>
  <c r="F23" i="103"/>
  <c r="F27" i="103"/>
  <c r="F28" i="103" s="1"/>
  <c r="W5" i="32"/>
  <c r="F18" i="102"/>
  <c r="S5" i="32"/>
  <c r="R5" i="32"/>
  <c r="N5" i="32"/>
  <c r="L5" i="32"/>
  <c r="K5" i="32"/>
  <c r="I15" i="103" l="1"/>
  <c r="G23" i="103"/>
  <c r="G27" i="103"/>
  <c r="G28" i="103" s="1"/>
  <c r="B18" i="102"/>
  <c r="G18" i="102"/>
  <c r="H18" i="102"/>
  <c r="E18" i="102"/>
  <c r="J15" i="103" l="1"/>
  <c r="I27" i="103"/>
  <c r="I28" i="103" s="1"/>
  <c r="I23" i="103"/>
  <c r="M12" i="102"/>
  <c r="K15" i="103" l="1"/>
  <c r="J23" i="103"/>
  <c r="J27" i="103"/>
  <c r="J28" i="103" s="1"/>
  <c r="AD2" i="32"/>
  <c r="L15" i="103" l="1"/>
  <c r="K23" i="103"/>
  <c r="K27" i="103"/>
  <c r="K28" i="103" s="1"/>
  <c r="N12" i="102"/>
  <c r="O12" i="102" s="1"/>
  <c r="F6" i="100"/>
  <c r="M15" i="103" l="1"/>
  <c r="L27" i="103"/>
  <c r="L28" i="103" s="1"/>
  <c r="L23" i="103"/>
  <c r="Y2" i="32"/>
  <c r="N15" i="103" l="1"/>
  <c r="M23" i="103"/>
  <c r="M27" i="103"/>
  <c r="M28" i="103" s="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O15" i="103" l="1"/>
  <c r="N27" i="103"/>
  <c r="N28" i="103" s="1"/>
  <c r="N23" i="103"/>
  <c r="C11" i="101"/>
  <c r="D28" i="100"/>
  <c r="C17" i="101"/>
  <c r="F14" i="101"/>
  <c r="R13" i="100"/>
  <c r="R26" i="100"/>
  <c r="C6" i="100"/>
  <c r="C30" i="101" s="1"/>
  <c r="C27" i="101" s="1"/>
  <c r="E31" i="100"/>
  <c r="F23" i="100"/>
  <c r="E27" i="100"/>
  <c r="E28" i="100" s="1"/>
  <c r="P13" i="100"/>
  <c r="C29" i="100"/>
  <c r="P15" i="103" l="1"/>
  <c r="O23" i="103"/>
  <c r="O27" i="103"/>
  <c r="O28" i="103" s="1"/>
  <c r="C13" i="100"/>
  <c r="Z7" i="100" s="1"/>
  <c r="C18" i="100"/>
  <c r="F31" i="101" s="1"/>
  <c r="C22" i="100"/>
  <c r="F33" i="101" s="1"/>
  <c r="C17" i="100"/>
  <c r="F30" i="101" s="1"/>
  <c r="C26" i="100"/>
  <c r="F30" i="100"/>
  <c r="F31" i="100" s="1"/>
  <c r="C14" i="100"/>
  <c r="F28" i="101" s="1"/>
  <c r="C19" i="100"/>
  <c r="F20" i="101" s="1"/>
  <c r="F19" i="101" s="1"/>
  <c r="C20" i="100"/>
  <c r="F27" i="100"/>
  <c r="F28" i="100" s="1"/>
  <c r="Q15" i="103" l="1"/>
  <c r="P27" i="103"/>
  <c r="P28" i="103" s="1"/>
  <c r="P23" i="103"/>
  <c r="F25" i="101"/>
  <c r="Y14" i="100"/>
  <c r="Z11" i="100"/>
  <c r="Z9" i="100"/>
  <c r="Z8" i="100"/>
  <c r="Z6" i="100"/>
  <c r="Z12" i="100"/>
  <c r="Z10" i="100"/>
  <c r="G27" i="100"/>
  <c r="G28" i="100" s="1"/>
  <c r="G23" i="100"/>
  <c r="G30" i="100"/>
  <c r="G31" i="100" s="1"/>
  <c r="R15" i="103" l="1"/>
  <c r="Q23" i="103"/>
  <c r="Q27" i="103"/>
  <c r="Q28" i="103" s="1"/>
  <c r="Z13" i="100"/>
  <c r="H23" i="100"/>
  <c r="H27" i="100"/>
  <c r="H28" i="100" s="1"/>
  <c r="H30" i="100"/>
  <c r="H31" i="100" s="1"/>
  <c r="S15" i="103" l="1"/>
  <c r="R27" i="103"/>
  <c r="R28" i="103" s="1"/>
  <c r="R23" i="103"/>
  <c r="I30" i="100"/>
  <c r="I31" i="100" s="1"/>
  <c r="I23" i="100"/>
  <c r="I27" i="100"/>
  <c r="I28" i="100" s="1"/>
  <c r="S23" i="103" l="1"/>
  <c r="C23" i="103" s="1"/>
  <c r="S27" i="103"/>
  <c r="S28" i="103" s="1"/>
  <c r="C15" i="103"/>
  <c r="J23" i="100"/>
  <c r="J27" i="100"/>
  <c r="J28" i="100" s="1"/>
  <c r="J30" i="100"/>
  <c r="J31" i="100" s="1"/>
  <c r="Z25" i="103" l="1"/>
  <c r="Y34" i="103"/>
  <c r="Z29" i="103"/>
  <c r="Z27" i="103"/>
  <c r="Z30" i="103"/>
  <c r="Z26" i="103"/>
  <c r="Z23" i="103"/>
  <c r="Z31" i="103"/>
  <c r="Z28" i="103"/>
  <c r="F29" i="104"/>
  <c r="F27" i="104" s="1"/>
  <c r="Z24" i="103"/>
  <c r="C27" i="103"/>
  <c r="C28" i="103" s="1"/>
  <c r="K27" i="100"/>
  <c r="K28" i="100" s="1"/>
  <c r="K23" i="100"/>
  <c r="K30" i="100"/>
  <c r="K31" i="100" s="1"/>
  <c r="Z32" i="103" l="1"/>
  <c r="F37" i="104"/>
  <c r="F17" i="104"/>
  <c r="F11" i="104" s="1"/>
  <c r="L30" i="100"/>
  <c r="L31" i="100" s="1"/>
  <c r="L23" i="100"/>
  <c r="L27" i="100"/>
  <c r="L28" i="100" s="1"/>
  <c r="M30" i="100" l="1"/>
  <c r="M31" i="100" s="1"/>
  <c r="M23" i="100"/>
  <c r="M27" i="100"/>
  <c r="M28" i="100" s="1"/>
  <c r="L14" i="91"/>
  <c r="N30" i="100" l="1"/>
  <c r="N31" i="100" s="1"/>
  <c r="N27" i="100"/>
  <c r="N28" i="100" s="1"/>
  <c r="N23" i="100"/>
  <c r="K30" i="86"/>
  <c r="K31" i="86" s="1"/>
  <c r="O30" i="100" l="1"/>
  <c r="O31" i="100" s="1"/>
  <c r="O27" i="100"/>
  <c r="O28" i="100" s="1"/>
  <c r="O23" i="100"/>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Q30" i="100" l="1"/>
  <c r="Q31" i="100" s="1"/>
  <c r="Q27" i="100"/>
  <c r="Q28" i="100" s="1"/>
  <c r="Q23" i="100"/>
  <c r="R30" i="100" l="1"/>
  <c r="R31" i="100" s="1"/>
  <c r="R27" i="100"/>
  <c r="R28" i="100" s="1"/>
  <c r="R23" i="100"/>
  <c r="S30" i="100" l="1"/>
  <c r="S31" i="100" s="1"/>
  <c r="C16" i="100"/>
  <c r="S27" i="100"/>
  <c r="S28" i="100" s="1"/>
  <c r="S23" i="100"/>
  <c r="C23" i="100" s="1"/>
  <c r="C15" i="100"/>
  <c r="F29" i="101" s="1"/>
  <c r="F27" i="101" s="1"/>
  <c r="F17" i="101" s="1"/>
  <c r="F24" i="101" l="1"/>
  <c r="F23" i="101" s="1"/>
  <c r="F37" i="101"/>
  <c r="F11" i="101"/>
  <c r="F9" i="104" s="1"/>
  <c r="C30" i="100"/>
  <c r="C31" i="100" s="1"/>
  <c r="Z25" i="100"/>
  <c r="Z24" i="100"/>
  <c r="C27" i="100"/>
  <c r="C28" i="100" s="1"/>
  <c r="Y34" i="100"/>
  <c r="Z30" i="100"/>
  <c r="Z26" i="100"/>
  <c r="Z27" i="100"/>
  <c r="Z31" i="100"/>
  <c r="Z23" i="100"/>
  <c r="Z29" i="100"/>
  <c r="Z28" i="100"/>
  <c r="Z32" i="100" l="1"/>
  <c r="J1" i="96" l="1"/>
  <c r="K1" i="96"/>
  <c r="AR21" i="86"/>
  <c r="AD27" i="96" l="1"/>
  <c r="AD15" i="96"/>
  <c r="AD21" i="96"/>
  <c r="AD9" i="96"/>
  <c r="AF27" i="96"/>
  <c r="AF15" i="96"/>
  <c r="AF21" i="96"/>
  <c r="AF9" i="96"/>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F15" i="83" s="1"/>
  <c r="R8" i="32"/>
  <c r="E5" i="83" s="1"/>
  <c r="S8" i="32"/>
  <c r="F5" i="83" s="1"/>
  <c r="R9" i="32"/>
  <c r="E7" i="83" s="1"/>
  <c r="S9" i="32"/>
  <c r="F7" i="83" s="1"/>
  <c r="R10" i="32"/>
  <c r="E12" i="83" s="1"/>
  <c r="J5" i="83" s="1"/>
  <c r="O5" i="83" s="1"/>
  <c r="S10" i="32"/>
  <c r="F12" i="83" s="1"/>
  <c r="R11" i="32"/>
  <c r="E16" i="83" s="1"/>
  <c r="S11" i="32"/>
  <c r="F16" i="83" s="1"/>
  <c r="R12" i="32"/>
  <c r="E4" i="83" s="1"/>
  <c r="J4" i="83" s="1"/>
  <c r="S12" i="32"/>
  <c r="F4" i="83" s="1"/>
  <c r="R13" i="32"/>
  <c r="E9" i="83" s="1"/>
  <c r="S13" i="32"/>
  <c r="F9" i="83" s="1"/>
  <c r="R14" i="32"/>
  <c r="E13" i="83" s="1"/>
  <c r="S14" i="32"/>
  <c r="F13" i="83" s="1"/>
  <c r="R15" i="32"/>
  <c r="E14" i="83" s="1"/>
  <c r="S15" i="32"/>
  <c r="F14" i="83" s="1"/>
  <c r="R16" i="32"/>
  <c r="E3" i="83" s="1"/>
  <c r="S16" i="32"/>
  <c r="F3" i="83" s="1"/>
  <c r="R17" i="32"/>
  <c r="E6" i="83" s="1"/>
  <c r="J6" i="83" s="1"/>
  <c r="S17" i="32"/>
  <c r="F6" i="83" s="1"/>
  <c r="R18" i="32"/>
  <c r="E17" i="83" s="1"/>
  <c r="S18" i="32"/>
  <c r="F17" i="83" s="1"/>
  <c r="R19" i="32"/>
  <c r="E18" i="83" s="1"/>
  <c r="S19" i="32"/>
  <c r="F18" i="83" s="1"/>
  <c r="R21" i="32"/>
  <c r="E10" i="83" s="1"/>
  <c r="S21" i="32"/>
  <c r="R22" i="32"/>
  <c r="E11" i="83" s="1"/>
  <c r="S22" i="32"/>
  <c r="F11" i="83" s="1"/>
  <c r="R23" i="32"/>
  <c r="E8" i="83" s="1"/>
  <c r="S23" i="32"/>
  <c r="F8" i="83" s="1"/>
  <c r="S7" i="32"/>
  <c r="F2" i="83" s="1"/>
  <c r="R7" i="32"/>
  <c r="E2" i="83" s="1"/>
  <c r="K2" i="83" l="1"/>
  <c r="J2" i="83"/>
  <c r="J3" i="83"/>
  <c r="O3" i="83"/>
  <c r="K5" i="83"/>
  <c r="P5" i="83" s="1"/>
  <c r="K4" i="83"/>
  <c r="O4" i="83"/>
  <c r="K6" i="83"/>
  <c r="S2" i="32"/>
  <c r="R2" i="32"/>
  <c r="H2" i="102"/>
  <c r="G2" i="102"/>
  <c r="H5" i="102"/>
  <c r="G5" i="102"/>
  <c r="H7" i="102"/>
  <c r="G7"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s="1"/>
  <c r="M2" i="93"/>
  <c r="L2" i="93"/>
  <c r="O3" i="93"/>
  <c r="P3" i="93" s="1"/>
  <c r="M3" i="93"/>
  <c r="L3" i="93"/>
  <c r="H7" i="93"/>
  <c r="I7" i="93" s="1"/>
  <c r="H2" i="93"/>
  <c r="I2" i="93" s="1"/>
  <c r="H3" i="93"/>
  <c r="H4" i="93"/>
  <c r="H5" i="93"/>
  <c r="I5" i="93" s="1"/>
  <c r="H6" i="93"/>
  <c r="I6" i="93" s="1"/>
  <c r="E10" i="93"/>
  <c r="F10" i="93"/>
  <c r="E9" i="93"/>
  <c r="F9" i="93"/>
  <c r="E8" i="93"/>
  <c r="F8" i="93"/>
  <c r="E7" i="93"/>
  <c r="F7" i="93"/>
  <c r="E6" i="93"/>
  <c r="F6" i="93"/>
  <c r="E5" i="93"/>
  <c r="F5" i="93"/>
  <c r="E4" i="93"/>
  <c r="F4" i="93"/>
  <c r="E3" i="93"/>
  <c r="F3" i="93"/>
  <c r="E2" i="93"/>
  <c r="F2" i="93"/>
  <c r="F11" i="93"/>
  <c r="E11" i="93"/>
  <c r="H8" i="93"/>
  <c r="I8" i="93" s="1"/>
  <c r="H9" i="93"/>
  <c r="I9" i="93" s="1"/>
  <c r="H10" i="93"/>
  <c r="I10" i="93" s="1"/>
  <c r="H11" i="93"/>
  <c r="I11" i="93" s="1"/>
  <c r="I4" i="93"/>
  <c r="I3" i="93"/>
  <c r="A4" i="93"/>
  <c r="G7" i="93" s="1"/>
  <c r="L17" i="91"/>
  <c r="A7" i="85"/>
  <c r="G11" i="93" l="1"/>
  <c r="G2" i="93"/>
  <c r="G5" i="93"/>
  <c r="G6" i="93"/>
  <c r="G8" i="93"/>
  <c r="N2" i="93"/>
  <c r="N3" i="93"/>
  <c r="G4" i="93"/>
  <c r="G9" i="93"/>
  <c r="G10" i="93"/>
  <c r="G3" i="93"/>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F14" i="91" l="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E30" i="91"/>
  <c r="E31" i="91" s="1"/>
  <c r="D26" i="91"/>
  <c r="C6" i="91"/>
  <c r="C26" i="92" s="1"/>
  <c r="E23" i="91" l="1"/>
  <c r="C14" i="91"/>
  <c r="F24" i="92" s="1"/>
  <c r="C20" i="91"/>
  <c r="D28" i="91"/>
  <c r="F27" i="91"/>
  <c r="F28" i="91" s="1"/>
  <c r="F23" i="91"/>
  <c r="H27" i="91"/>
  <c r="H28" i="91" s="1"/>
  <c r="G30" i="91"/>
  <c r="G31" i="91" s="1"/>
  <c r="J13" i="91"/>
  <c r="J26" i="91"/>
  <c r="I27" i="91" l="1"/>
  <c r="I28" i="91" s="1"/>
  <c r="K13" i="91"/>
  <c r="C13" i="91" s="1"/>
  <c r="C7" i="91"/>
  <c r="C27" i="92" s="1"/>
  <c r="C23" i="92" s="1"/>
  <c r="K26" i="91"/>
  <c r="H30" i="91"/>
  <c r="H31" i="91" s="1"/>
  <c r="H23" i="91"/>
  <c r="G23" i="91"/>
  <c r="G27" i="91"/>
  <c r="G28" i="91" s="1"/>
  <c r="I30" i="91" l="1"/>
  <c r="I31" i="91" s="1"/>
  <c r="I23" i="91"/>
  <c r="J27" i="91"/>
  <c r="J28" i="91" s="1"/>
  <c r="Z7" i="91"/>
  <c r="C26" i="9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30" i="91" l="1"/>
  <c r="L31" i="91" s="1"/>
  <c r="C16" i="91"/>
  <c r="M27" i="91"/>
  <c r="M28" i="91" s="1"/>
  <c r="O20" i="94"/>
  <c r="O5" i="94"/>
  <c r="I13" i="105" l="1"/>
  <c r="H12" i="106"/>
  <c r="H6" i="106"/>
  <c r="BX5" i="94"/>
  <c r="BW5" i="94"/>
  <c r="BX20" i="94"/>
  <c r="BW20" i="94"/>
  <c r="D19" i="83"/>
  <c r="F19" i="83" s="1"/>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N27" i="91"/>
  <c r="N28" i="91" s="1"/>
  <c r="N23" i="91"/>
  <c r="M30" i="91"/>
  <c r="M31" i="91" s="1"/>
  <c r="M23" i="91"/>
  <c r="P40" i="88"/>
  <c r="O40" i="88"/>
  <c r="P29" i="88"/>
  <c r="O29" i="88"/>
  <c r="O26" i="88"/>
  <c r="P13" i="88"/>
  <c r="O13" i="88"/>
  <c r="P26" i="88"/>
  <c r="CG20" i="94" l="1"/>
  <c r="R12" i="106"/>
  <c r="S13" i="105"/>
  <c r="U13" i="105" s="1"/>
  <c r="S12" i="106"/>
  <c r="T13" i="105"/>
  <c r="N2" i="83"/>
  <c r="E19" i="83"/>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30" i="91"/>
  <c r="N31" i="91" s="1"/>
  <c r="O27" i="91"/>
  <c r="O28" i="91" s="1"/>
  <c r="O23" i="9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30" i="91"/>
  <c r="O31" i="91" s="1"/>
  <c r="P27" i="91"/>
  <c r="P28" i="91"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30" i="91"/>
  <c r="Q31" i="91" s="1"/>
  <c r="R27" i="91"/>
  <c r="R28" i="91" s="1"/>
  <c r="R23" i="91"/>
  <c r="X14" i="105" l="1"/>
  <c r="P16" i="105"/>
  <c r="O16" i="106"/>
  <c r="O15" i="106"/>
  <c r="P13" i="106"/>
  <c r="P14" i="106" s="1"/>
  <c r="N13" i="106"/>
  <c r="N14" i="106" s="1"/>
  <c r="O17" i="105"/>
  <c r="O16" i="105"/>
  <c r="Q16" i="105"/>
  <c r="Q17" i="105"/>
  <c r="O12" i="94"/>
  <c r="O15" i="94"/>
  <c r="S27" i="91"/>
  <c r="S28" i="91" s="1"/>
  <c r="S23" i="91"/>
  <c r="C23" i="91" s="1"/>
  <c r="C17" i="91"/>
  <c r="F26" i="92" s="1"/>
  <c r="F23" i="92" s="1"/>
  <c r="F17" i="92" s="1"/>
  <c r="F11" i="92" s="1"/>
  <c r="F9" i="101"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Z24" i="91"/>
  <c r="Z25" i="91"/>
  <c r="S30" i="91"/>
  <c r="S31" i="91" s="1"/>
  <c r="C19" i="91"/>
  <c r="F20" i="92" s="1"/>
  <c r="F19" i="92" s="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3" i="49" l="1"/>
  <c r="D6" i="88"/>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I14" i="88" l="1"/>
  <c r="J14" i="88" s="1"/>
  <c r="E17" i="88"/>
  <c r="F17" i="88" s="1"/>
  <c r="G17" i="88" s="1"/>
  <c r="H17" i="88" s="1"/>
  <c r="I17" i="88" s="1"/>
  <c r="J17" i="88" s="1"/>
  <c r="K17" i="88" s="1"/>
  <c r="L17" i="88" s="1"/>
  <c r="M17" i="88" s="1"/>
  <c r="N17" i="88" s="1"/>
  <c r="E18" i="88"/>
  <c r="F18" i="88" s="1"/>
  <c r="G18" i="88" s="1"/>
  <c r="H18" i="88" s="1"/>
  <c r="I18" i="88" s="1"/>
  <c r="J18" i="88" s="1"/>
  <c r="K18" i="88" s="1"/>
  <c r="L18" i="88" s="1"/>
  <c r="M18" i="88" s="1"/>
  <c r="N18" i="88" s="1"/>
  <c r="E19" i="88"/>
  <c r="F19" i="88" s="1"/>
  <c r="G19" i="88" s="1"/>
  <c r="H19" i="88" s="1"/>
  <c r="I19" i="88" s="1"/>
  <c r="J19" i="88" s="1"/>
  <c r="K19" i="88" s="1"/>
  <c r="L19" i="88" s="1"/>
  <c r="M19" i="88" s="1"/>
  <c r="N19" i="88" s="1"/>
  <c r="E20" i="88"/>
  <c r="E21" i="88"/>
  <c r="E22" i="88"/>
  <c r="F22" i="88" s="1"/>
  <c r="G22" i="88" s="1"/>
  <c r="H22" i="88" s="1"/>
  <c r="I22" i="88" s="1"/>
  <c r="J22" i="88" s="1"/>
  <c r="K22" i="88" s="1"/>
  <c r="L22" i="88" s="1"/>
  <c r="M22" i="88" s="1"/>
  <c r="N22" i="88" s="1"/>
  <c r="E16" i="88"/>
  <c r="E15" i="88"/>
  <c r="F15" i="88" s="1"/>
  <c r="G15" i="88" s="1"/>
  <c r="I15" i="88" s="1"/>
  <c r="J15" i="88" s="1"/>
  <c r="K15" i="88" s="1"/>
  <c r="L15" i="88" s="1"/>
  <c r="M15" i="88" s="1"/>
  <c r="N15" i="88" s="1"/>
  <c r="S12" i="81"/>
  <c r="S11" i="81"/>
  <c r="E13"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I7" i="88" s="1"/>
  <c r="J7" i="88" s="1"/>
  <c r="K7" i="88" s="1"/>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3" i="88"/>
  <c r="B22" i="88"/>
  <c r="B18" i="88"/>
  <c r="B17" i="88"/>
  <c r="B15" i="88"/>
  <c r="B14" i="88"/>
  <c r="F13" i="88"/>
  <c r="D13" i="88"/>
  <c r="S29" i="88"/>
  <c r="C12" i="88"/>
  <c r="C24" i="89" s="1"/>
  <c r="C10" i="88"/>
  <c r="C27" i="89" s="1"/>
  <c r="C9" i="88"/>
  <c r="C8" i="88"/>
  <c r="C6" i="88"/>
  <c r="C25" i="89" s="1"/>
  <c r="E4" i="88"/>
  <c r="F4" i="88" s="1"/>
  <c r="R15" i="88" l="1"/>
  <c r="S15" i="88" s="1"/>
  <c r="O15" i="88"/>
  <c r="O19" i="88"/>
  <c r="O18" i="88"/>
  <c r="P18" i="88" s="1"/>
  <c r="Q18" i="88" s="1"/>
  <c r="R18" i="88" s="1"/>
  <c r="S18" i="88" s="1"/>
  <c r="O17" i="88"/>
  <c r="P17" i="88" s="1"/>
  <c r="Q17" i="88" s="1"/>
  <c r="R17" i="88" s="1"/>
  <c r="S17" i="88" s="1"/>
  <c r="O22" i="88"/>
  <c r="P22" i="88" s="1"/>
  <c r="Q22" i="88" s="1"/>
  <c r="G4" i="88"/>
  <c r="H4" i="88" s="1"/>
  <c r="I4" i="88" s="1"/>
  <c r="J4" i="88" s="1"/>
  <c r="K4" i="88" s="1"/>
  <c r="L4" i="88" s="1"/>
  <c r="M4" i="88" s="1"/>
  <c r="N4" i="88" s="1"/>
  <c r="E30" i="88"/>
  <c r="E31" i="88" s="1"/>
  <c r="F20" i="88"/>
  <c r="G20" i="88" s="1"/>
  <c r="H20" i="88" s="1"/>
  <c r="I20" i="88" s="1"/>
  <c r="J20" i="88" s="1"/>
  <c r="K20" i="88" s="1"/>
  <c r="L20" i="88" s="1"/>
  <c r="M20" i="88" s="1"/>
  <c r="N20" i="88" s="1"/>
  <c r="E27" i="88"/>
  <c r="E28" i="88" s="1"/>
  <c r="C17" i="89"/>
  <c r="G26" i="88"/>
  <c r="R21" i="88"/>
  <c r="H16" i="88"/>
  <c r="D31" i="88"/>
  <c r="H26" i="88"/>
  <c r="H13" i="88"/>
  <c r="G13" i="88"/>
  <c r="C11" i="89"/>
  <c r="F27" i="88"/>
  <c r="F28" i="88" s="1"/>
  <c r="C29" i="88"/>
  <c r="C14" i="88"/>
  <c r="F28" i="89" s="1"/>
  <c r="E23" i="88"/>
  <c r="D28" i="88"/>
  <c r="R22" i="88" l="1"/>
  <c r="S22" i="88" s="1"/>
  <c r="C22" i="88"/>
  <c r="F33" i="89" s="1"/>
  <c r="O20" i="88"/>
  <c r="P20" i="88" s="1"/>
  <c r="Q20" i="88" s="1"/>
  <c r="F30" i="88"/>
  <c r="F31" i="88" s="1"/>
  <c r="C18" i="88"/>
  <c r="F31" i="89" s="1"/>
  <c r="O30" i="88"/>
  <c r="O31" i="88" s="1"/>
  <c r="P19" i="88"/>
  <c r="O27" i="88"/>
  <c r="O28" i="88" s="1"/>
  <c r="P15" i="88"/>
  <c r="P27" i="88" s="1"/>
  <c r="P28" i="88" s="1"/>
  <c r="O4" i="88"/>
  <c r="P4" i="88" s="1"/>
  <c r="Q4" i="88" s="1"/>
  <c r="R4" i="88" s="1"/>
  <c r="G30" i="88"/>
  <c r="G31" i="88" s="1"/>
  <c r="C21" i="88"/>
  <c r="F32" i="89" s="1"/>
  <c r="I16" i="88"/>
  <c r="H30" i="88"/>
  <c r="H31" i="88" s="1"/>
  <c r="I13" i="88"/>
  <c r="I26" i="88"/>
  <c r="F23" i="88"/>
  <c r="R20" i="88" l="1"/>
  <c r="S20" i="88" s="1"/>
  <c r="O23" i="88"/>
  <c r="P23" i="88"/>
  <c r="P30" i="88"/>
  <c r="P31" i="88" s="1"/>
  <c r="Q19" i="88"/>
  <c r="J16" i="88"/>
  <c r="I30" i="88"/>
  <c r="I31" i="88" s="1"/>
  <c r="J13" i="88"/>
  <c r="J26" i="88"/>
  <c r="J27" i="88"/>
  <c r="C11" i="88"/>
  <c r="C23" i="89" s="1"/>
  <c r="Q27" i="88"/>
  <c r="G27" i="88"/>
  <c r="G28" i="88" s="1"/>
  <c r="G23" i="88"/>
  <c r="R19" i="88" l="1"/>
  <c r="S19" i="88" s="1"/>
  <c r="C19" i="88"/>
  <c r="F20" i="89" s="1"/>
  <c r="F19" i="89" s="1"/>
  <c r="C20" i="88"/>
  <c r="F25" i="89" s="1"/>
  <c r="J28" i="88"/>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N16" i="88" l="1"/>
  <c r="M30" i="88"/>
  <c r="M31" i="88" s="1"/>
  <c r="M28" i="88"/>
  <c r="N13" i="88"/>
  <c r="N26" i="88"/>
  <c r="N27" i="88"/>
  <c r="C15" i="88"/>
  <c r="F29" i="89" s="1"/>
  <c r="F27" i="89" s="1"/>
  <c r="N28" i="88" l="1"/>
  <c r="N30" i="88"/>
  <c r="N31" i="88" s="1"/>
  <c r="N23" i="88"/>
  <c r="C27" i="88"/>
  <c r="P6" i="82"/>
  <c r="O6" i="82"/>
  <c r="Q16" i="88" l="1"/>
  <c r="Q26" i="88"/>
  <c r="Q28" i="88" s="1"/>
  <c r="Q13" i="88"/>
  <c r="V4" i="85"/>
  <c r="N6" i="32"/>
  <c r="N8" i="32"/>
  <c r="N9" i="32"/>
  <c r="N10" i="32"/>
  <c r="N11" i="32"/>
  <c r="N12" i="32"/>
  <c r="N13" i="32"/>
  <c r="N14" i="32"/>
  <c r="N15" i="32"/>
  <c r="N16" i="32"/>
  <c r="N17" i="32"/>
  <c r="N18" i="32"/>
  <c r="N19" i="32"/>
  <c r="N21" i="32"/>
  <c r="N22" i="32"/>
  <c r="N23"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7"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AZ6" i="86" l="1"/>
  <c r="BN21" i="86" s="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BQ21" i="86" s="1"/>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K17" i="81"/>
  <c r="J14" i="81"/>
  <c r="K26" i="81" l="1"/>
  <c r="K13" i="81" l="1"/>
  <c r="P5" i="82" l="1"/>
  <c r="O5" i="82"/>
  <c r="I11" i="81"/>
  <c r="L11" i="81" l="1"/>
  <c r="N11" i="81" s="1"/>
  <c r="O11" i="81" s="1"/>
  <c r="P11" i="81" s="1"/>
  <c r="Q11" i="81" s="1"/>
  <c r="R11" i="81" s="1"/>
  <c r="J11" i="81"/>
  <c r="X18" i="76"/>
  <c r="W14" i="76"/>
  <c r="J26" i="81" l="1"/>
  <c r="J13" i="81"/>
  <c r="X14" i="76"/>
  <c r="U8" i="49"/>
  <c r="G15" i="81" l="1"/>
  <c r="H15" i="81" s="1"/>
  <c r="I15" i="81" s="1"/>
  <c r="F40" i="81"/>
  <c r="E40" i="81"/>
  <c r="F30" i="81"/>
  <c r="E30" i="81"/>
  <c r="F29" i="81"/>
  <c r="F31" i="81" s="1"/>
  <c r="E29" i="81"/>
  <c r="E26" i="81"/>
  <c r="E18" i="81"/>
  <c r="F18" i="81" s="1"/>
  <c r="E17" i="81"/>
  <c r="F17" i="81" s="1"/>
  <c r="E14" i="81"/>
  <c r="F14" i="81" s="1"/>
  <c r="F13" i="81"/>
  <c r="E13" i="81"/>
  <c r="F26" i="81"/>
  <c r="J15" i="81" l="1"/>
  <c r="E31" i="81"/>
  <c r="F27" i="81"/>
  <c r="F28" i="81" s="1"/>
  <c r="F23" i="81"/>
  <c r="E23" i="81"/>
  <c r="E27" i="81"/>
  <c r="E28" i="81" s="1"/>
  <c r="K15" i="81" l="1"/>
  <c r="G18" i="81"/>
  <c r="H18" i="81" s="1"/>
  <c r="I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P7" i="81" s="1"/>
  <c r="Q43" i="81"/>
  <c r="R43" i="81"/>
  <c r="S43" i="81"/>
  <c r="E43" i="81"/>
  <c r="K4" i="82"/>
  <c r="P4" i="82" s="1"/>
  <c r="C13" i="82" s="1"/>
  <c r="F13" i="82"/>
  <c r="D4" i="81"/>
  <c r="E4" i="81" s="1"/>
  <c r="F4" i="81" s="1"/>
  <c r="G40" i="81"/>
  <c r="H40" i="81"/>
  <c r="I40" i="81"/>
  <c r="L40" i="81"/>
  <c r="M40" i="81"/>
  <c r="N40" i="81"/>
  <c r="O40" i="81"/>
  <c r="P40" i="81"/>
  <c r="Q40" i="81"/>
  <c r="R40" i="81"/>
  <c r="S40" i="81"/>
  <c r="D40" i="81"/>
  <c r="F21" i="82"/>
  <c r="C18" i="82"/>
  <c r="F16" i="82"/>
  <c r="F15" i="82"/>
  <c r="C15" i="82"/>
  <c r="C14" i="82"/>
  <c r="C12" i="82"/>
  <c r="O4" i="82"/>
  <c r="F12" i="82" s="1"/>
  <c r="C19" i="82"/>
  <c r="H30" i="81"/>
  <c r="G30" i="81"/>
  <c r="D30" i="81"/>
  <c r="S29" i="81"/>
  <c r="R29" i="81"/>
  <c r="Q29" i="81"/>
  <c r="P29" i="81"/>
  <c r="O29" i="81"/>
  <c r="N29" i="81"/>
  <c r="M29" i="81"/>
  <c r="L29" i="81"/>
  <c r="I29" i="81"/>
  <c r="H29" i="81"/>
  <c r="G29" i="81"/>
  <c r="D29" i="81"/>
  <c r="D26" i="81"/>
  <c r="D23" i="81"/>
  <c r="S30" i="81"/>
  <c r="B22" i="81"/>
  <c r="C20" i="81"/>
  <c r="F25" i="82" s="1"/>
  <c r="C19" i="81"/>
  <c r="F20" i="82" s="1"/>
  <c r="D27" i="81"/>
  <c r="B18" i="81"/>
  <c r="B17" i="81"/>
  <c r="I30" i="81"/>
  <c r="B15" i="81"/>
  <c r="B14" i="81"/>
  <c r="D13" i="81"/>
  <c r="C12" i="81"/>
  <c r="C24" i="82" s="1"/>
  <c r="C11" i="81"/>
  <c r="C23" i="82" s="1"/>
  <c r="C10" i="81"/>
  <c r="C27" i="82" s="1"/>
  <c r="C9" i="81"/>
  <c r="C8" i="81"/>
  <c r="G4" i="81"/>
  <c r="H4" i="81" s="1"/>
  <c r="I4" i="81" s="1"/>
  <c r="F15" i="79"/>
  <c r="F16" i="79"/>
  <c r="F21" i="79"/>
  <c r="N10" i="79"/>
  <c r="O10" i="79" s="1"/>
  <c r="P10" i="79"/>
  <c r="Q7" i="81" l="1"/>
  <c r="R7" i="81" s="1"/>
  <c r="J18" i="81"/>
  <c r="D31" i="81"/>
  <c r="L15" i="81"/>
  <c r="M15" i="81" s="1"/>
  <c r="N15" i="81" s="1"/>
  <c r="P15" i="81" s="1"/>
  <c r="Q15" i="81" s="1"/>
  <c r="R15" i="81" s="1"/>
  <c r="S15" i="81" s="1"/>
  <c r="J4" i="81"/>
  <c r="K4" i="81" s="1"/>
  <c r="L4" i="81" s="1"/>
  <c r="M4" i="81" s="1"/>
  <c r="N4" i="81" s="1"/>
  <c r="O4" i="81" s="1"/>
  <c r="P4" i="81" s="1"/>
  <c r="Q4" i="81" s="1"/>
  <c r="R4" i="81" s="1"/>
  <c r="S4" i="81" s="1"/>
  <c r="H13" i="81"/>
  <c r="H26" i="81"/>
  <c r="G26" i="81"/>
  <c r="P14" i="81"/>
  <c r="I27" i="81"/>
  <c r="I31" i="81"/>
  <c r="F19" i="82"/>
  <c r="G31" i="81"/>
  <c r="H31" i="81"/>
  <c r="C17" i="82"/>
  <c r="C11" i="82"/>
  <c r="F14" i="82"/>
  <c r="C6" i="81"/>
  <c r="C25" i="82" s="1"/>
  <c r="I23" i="81"/>
  <c r="D28" i="81"/>
  <c r="S31" i="81"/>
  <c r="C29" i="81"/>
  <c r="C17" i="81"/>
  <c r="F30" i="82" s="1"/>
  <c r="C21" i="81"/>
  <c r="F32" i="82" s="1"/>
  <c r="C22" i="81"/>
  <c r="F33" i="82" s="1"/>
  <c r="G13" i="81"/>
  <c r="K18" i="81" l="1"/>
  <c r="J27" i="81"/>
  <c r="J28" i="81" s="1"/>
  <c r="J23" i="81"/>
  <c r="I13" i="81"/>
  <c r="I26" i="81"/>
  <c r="I28" i="81" s="1"/>
  <c r="L18" i="81" l="1"/>
  <c r="M18" i="81" s="1"/>
  <c r="N18" i="81" s="1"/>
  <c r="O18" i="81" s="1"/>
  <c r="P18" i="81" s="1"/>
  <c r="Q18" i="81" s="1"/>
  <c r="R18" i="81" s="1"/>
  <c r="S18" i="81" s="1"/>
  <c r="C18" i="81"/>
  <c r="F31" i="82" s="1"/>
  <c r="K23" i="81"/>
  <c r="K27" i="81"/>
  <c r="K28" i="81" s="1"/>
  <c r="L13" i="81"/>
  <c r="G27" i="81"/>
  <c r="G28" i="81" s="1"/>
  <c r="G23" i="81"/>
  <c r="L27" i="81"/>
  <c r="S40" i="78"/>
  <c r="N9" i="79"/>
  <c r="P9" i="79"/>
  <c r="O9" i="79"/>
  <c r="L26" i="81" l="1"/>
  <c r="L28" i="81" s="1"/>
  <c r="M27" i="81"/>
  <c r="H23" i="81"/>
  <c r="H27" i="81"/>
  <c r="H28" i="81" s="1"/>
  <c r="L30" i="81"/>
  <c r="L31" i="81" s="1"/>
  <c r="L23" i="81"/>
  <c r="C14" i="81"/>
  <c r="F28" i="82" s="1"/>
  <c r="R40" i="78"/>
  <c r="R11" i="78"/>
  <c r="Q40" i="78"/>
  <c r="Q11" i="78"/>
  <c r="Q7" i="78"/>
  <c r="P40" i="78"/>
  <c r="N14" i="78"/>
  <c r="M6" i="78"/>
  <c r="M26" i="78" s="1"/>
  <c r="P11" i="78"/>
  <c r="U7" i="49"/>
  <c r="M40" i="78"/>
  <c r="N7" i="78"/>
  <c r="L40" i="78"/>
  <c r="I6" i="78"/>
  <c r="I13" i="78" s="1"/>
  <c r="U11" i="49"/>
  <c r="U23" i="49"/>
  <c r="U14" i="49"/>
  <c r="U12" i="49"/>
  <c r="U15" i="49"/>
  <c r="U6" i="49"/>
  <c r="U9" i="49"/>
  <c r="U5" i="49"/>
  <c r="U3" i="49"/>
  <c r="K40" i="78"/>
  <c r="N8" i="79"/>
  <c r="O8" i="79" s="1"/>
  <c r="P8" i="79"/>
  <c r="P7" i="79"/>
  <c r="C13" i="79" s="1"/>
  <c r="O7" i="79"/>
  <c r="F12" i="79" s="1"/>
  <c r="N6" i="79"/>
  <c r="O6" i="79" s="1"/>
  <c r="P6" i="79"/>
  <c r="E19" i="78"/>
  <c r="C19" i="78" s="1"/>
  <c r="F20" i="79" s="1"/>
  <c r="F21" i="78"/>
  <c r="F6" i="78"/>
  <c r="F26" i="78" s="1"/>
  <c r="G6" i="78"/>
  <c r="J40" i="78"/>
  <c r="W23" i="32"/>
  <c r="K23" i="32"/>
  <c r="L23"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N26" i="81"/>
  <c r="N13" i="81"/>
  <c r="M30" i="81"/>
  <c r="M31" i="81" s="1"/>
  <c r="N23" i="81"/>
  <c r="N27" i="81"/>
  <c r="M23" i="81"/>
  <c r="C19" i="79"/>
  <c r="C17" i="79" s="1"/>
  <c r="O4" i="79"/>
  <c r="F14" i="79" s="1"/>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30" i="81"/>
  <c r="O31" i="81" s="1"/>
  <c r="P27" i="81"/>
  <c r="O26" i="78"/>
  <c r="O13" i="78"/>
  <c r="K15" i="78"/>
  <c r="G30" i="78"/>
  <c r="G31" i="78" s="1"/>
  <c r="G23" i="78"/>
  <c r="P21" i="76"/>
  <c r="Q16" i="76"/>
  <c r="Q17" i="76" l="1"/>
  <c r="Q21" i="76" s="1"/>
  <c r="X21" i="76"/>
  <c r="P28" i="81"/>
  <c r="Q13" i="81"/>
  <c r="Q26" i="81"/>
  <c r="P30" i="81"/>
  <c r="P31" i="81" s="1"/>
  <c r="Q27" i="81"/>
  <c r="Q23" i="81"/>
  <c r="P23" i="81"/>
  <c r="P26" i="78"/>
  <c r="P13" i="78"/>
  <c r="H30" i="78"/>
  <c r="H31" i="78" s="1"/>
  <c r="I16" i="78"/>
  <c r="H23" i="78"/>
  <c r="L15" i="78"/>
  <c r="K40" i="69"/>
  <c r="J6" i="69"/>
  <c r="J40" i="69"/>
  <c r="H6" i="69"/>
  <c r="F6" i="69"/>
  <c r="W22" i="32"/>
  <c r="L22" i="32"/>
  <c r="K22" i="32"/>
  <c r="P4" i="70"/>
  <c r="Q28" i="81" l="1"/>
  <c r="R13" i="81"/>
  <c r="R26" i="8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13" i="78"/>
  <c r="R26" i="78"/>
  <c r="J30" i="78"/>
  <c r="J31" i="78" s="1"/>
  <c r="K16" i="78"/>
  <c r="N15" i="78"/>
  <c r="C26" i="82" l="1"/>
  <c r="C22" i="82" s="1"/>
  <c r="C26" i="81"/>
  <c r="Z7" i="81"/>
  <c r="S28" i="81"/>
  <c r="Z6" i="81"/>
  <c r="Z8" i="81"/>
  <c r="Z12" i="81"/>
  <c r="Z11" i="81"/>
  <c r="Z10" i="81"/>
  <c r="Z9" i="81"/>
  <c r="Y14" i="81"/>
  <c r="F24" i="82"/>
  <c r="F23" i="82" s="1"/>
  <c r="Y34" i="81"/>
  <c r="Z29" i="81"/>
  <c r="Z28" i="81"/>
  <c r="Z27" i="81"/>
  <c r="Z31" i="81"/>
  <c r="Z30" i="81"/>
  <c r="Z26" i="81"/>
  <c r="Z23" i="8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D31" i="69" l="1"/>
  <c r="C28" i="81"/>
  <c r="Z13" i="81"/>
  <c r="Z32" i="81"/>
  <c r="C19" i="70"/>
  <c r="C17" i="70" s="1"/>
  <c r="O4" i="70"/>
  <c r="F14" i="70" s="1"/>
  <c r="Z7" i="78"/>
  <c r="Z9" i="78"/>
  <c r="Z12" i="78"/>
  <c r="Z11" i="78"/>
  <c r="Z10" i="78"/>
  <c r="Z8" i="78"/>
  <c r="Z6" i="78"/>
  <c r="Y14" i="78"/>
  <c r="C26" i="79"/>
  <c r="C22" i="79" s="1"/>
  <c r="C26" i="78"/>
  <c r="L30" i="78"/>
  <c r="L31" i="78" s="1"/>
  <c r="M16" i="78"/>
  <c r="P15" i="78"/>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R39" i="46"/>
  <c r="Q39" i="46"/>
  <c r="P7" i="46"/>
  <c r="Z13" i="78" l="1"/>
  <c r="Q15" i="78"/>
  <c r="M30" i="78"/>
  <c r="M31" i="78" s="1"/>
  <c r="N16" i="78"/>
  <c r="F25" i="70"/>
  <c r="G13" i="69"/>
  <c r="G26" i="69"/>
  <c r="C21" i="69"/>
  <c r="F32" i="70" s="1"/>
  <c r="G17" i="69"/>
  <c r="G15" i="69"/>
  <c r="G30" i="69"/>
  <c r="G31" i="69" s="1"/>
  <c r="H16" i="69"/>
  <c r="P39" i="46"/>
  <c r="O39" i="46"/>
  <c r="N6" i="46"/>
  <c r="N39" i="46"/>
  <c r="R15" i="78" l="1"/>
  <c r="N30" i="78"/>
  <c r="N31" i="78" s="1"/>
  <c r="O16" i="78"/>
  <c r="H13" i="69"/>
  <c r="H26" i="69"/>
  <c r="P14" i="69"/>
  <c r="Q14" i="69" s="1"/>
  <c r="H17" i="69"/>
  <c r="H15" i="69"/>
  <c r="H30" i="69"/>
  <c r="H31" i="69" s="1"/>
  <c r="I16" i="69"/>
  <c r="L6" i="46"/>
  <c r="M39" i="46"/>
  <c r="L39" i="46"/>
  <c r="L11" i="46"/>
  <c r="O30" i="78" l="1"/>
  <c r="O31" i="78" s="1"/>
  <c r="P16" i="78"/>
  <c r="S15" i="78"/>
  <c r="I13" i="69"/>
  <c r="I26" i="69"/>
  <c r="C14" i="69"/>
  <c r="F28" i="70" s="1"/>
  <c r="I17" i="69"/>
  <c r="I30" i="69"/>
  <c r="I31" i="69" s="1"/>
  <c r="J16" i="69"/>
  <c r="I15" i="69"/>
  <c r="K39" i="46"/>
  <c r="C15" i="78" l="1"/>
  <c r="F29" i="79" s="1"/>
  <c r="P30" i="78"/>
  <c r="P31" i="78" s="1"/>
  <c r="Q16" i="78"/>
  <c r="J13" i="69"/>
  <c r="J26" i="69"/>
  <c r="J17" i="69"/>
  <c r="J15" i="69"/>
  <c r="J30" i="69"/>
  <c r="J31" i="69" s="1"/>
  <c r="K16" i="69"/>
  <c r="J6" i="46"/>
  <c r="J39" i="46"/>
  <c r="W7" i="32"/>
  <c r="W9" i="32"/>
  <c r="W12" i="32"/>
  <c r="W16" i="32"/>
  <c r="W17" i="32"/>
  <c r="W18" i="32"/>
  <c r="W15" i="32"/>
  <c r="W19" i="32"/>
  <c r="W13" i="32"/>
  <c r="W21" i="32"/>
  <c r="W10" i="32"/>
  <c r="W8" i="32"/>
  <c r="W11" i="32"/>
  <c r="W6" i="32"/>
  <c r="Q30" i="78" l="1"/>
  <c r="Q31" i="78" s="1"/>
  <c r="R16" i="78"/>
  <c r="K26" i="69"/>
  <c r="L11" i="69"/>
  <c r="K13" i="69"/>
  <c r="K17" i="69"/>
  <c r="K30" i="69"/>
  <c r="K31" i="69" s="1"/>
  <c r="L16" i="69"/>
  <c r="K15" i="69"/>
  <c r="R30" i="78" l="1"/>
  <c r="R31" i="78" s="1"/>
  <c r="C16" i="78"/>
  <c r="L13" i="69"/>
  <c r="L26" i="69"/>
  <c r="L17" i="69"/>
  <c r="L30" i="69"/>
  <c r="L31" i="69" s="1"/>
  <c r="M16" i="69"/>
  <c r="L15" i="69"/>
  <c r="I39" i="46"/>
  <c r="I11" i="46"/>
  <c r="H39" i="46"/>
  <c r="AJ19" i="86"/>
  <c r="G39" i="46"/>
  <c r="F39" i="46"/>
  <c r="F24" i="79" l="1"/>
  <c r="C30" i="78"/>
  <c r="C31" i="78" s="1"/>
  <c r="M13" i="69"/>
  <c r="M26" i="69"/>
  <c r="M17" i="69"/>
  <c r="M15" i="69"/>
  <c r="M30" i="69"/>
  <c r="M31" i="69" s="1"/>
  <c r="N16" i="69"/>
  <c r="W24" i="32"/>
  <c r="D3" i="48"/>
  <c r="D4" i="48" s="1"/>
  <c r="C3" i="48"/>
  <c r="E3" i="48" s="1"/>
  <c r="G3" i="48" s="1"/>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11" i="32"/>
  <c r="L11" i="32"/>
  <c r="K13" i="32"/>
  <c r="L13" i="32"/>
  <c r="K21" i="32"/>
  <c r="L21"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F22" i="46" s="1"/>
  <c r="G22" i="46" s="1"/>
  <c r="J22" i="46" s="1"/>
  <c r="K22" i="46" s="1"/>
  <c r="L22" i="46" s="1"/>
  <c r="M22" i="46" s="1"/>
  <c r="N22" i="46" s="1"/>
  <c r="O22" i="46" s="1"/>
  <c r="P22" i="46" s="1"/>
  <c r="Q22" i="46" s="1"/>
  <c r="R22" i="46" s="1"/>
  <c r="S22" i="46" s="1"/>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B22" i="46"/>
  <c r="B18" i="46"/>
  <c r="B17" i="46"/>
  <c r="B15" i="46"/>
  <c r="B14" i="46"/>
  <c r="D13" i="46"/>
  <c r="S29" i="46"/>
  <c r="C12" i="46"/>
  <c r="C24" i="47" s="1"/>
  <c r="C10" i="46"/>
  <c r="C27" i="47" s="1"/>
  <c r="C9" i="46"/>
  <c r="C8" i="46"/>
  <c r="D26" i="46"/>
  <c r="C7" i="46"/>
  <c r="C26" i="47" s="1"/>
  <c r="C6" i="46"/>
  <c r="C25" i="47" s="1"/>
  <c r="S12" i="42"/>
  <c r="R11" i="42"/>
  <c r="D31" i="46" l="1"/>
  <c r="E30" i="46"/>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E22" i="42"/>
  <c r="F22" i="42" s="1"/>
  <c r="G22" i="42" s="1"/>
  <c r="H22" i="42" s="1"/>
  <c r="E16" i="42"/>
  <c r="F16" i="42" s="1"/>
  <c r="G16" i="42" s="1"/>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P5" i="43"/>
  <c r="O5" i="43"/>
  <c r="P4" i="43"/>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F21" i="32" s="1"/>
  <c r="M7" i="39"/>
  <c r="P24" i="40"/>
  <c r="O24" i="40"/>
  <c r="J11" i="39"/>
  <c r="J6" i="39"/>
  <c r="G33" i="41"/>
  <c r="I33" i="41" s="1"/>
  <c r="I36" i="41"/>
  <c r="I37" i="41"/>
  <c r="I38" i="41"/>
  <c r="I35" i="41"/>
  <c r="G34" i="41" s="1"/>
  <c r="I34" i="41" s="1"/>
  <c r="H7" i="41"/>
  <c r="I7" i="41" s="1"/>
  <c r="H6" i="41"/>
  <c r="G6" i="41"/>
  <c r="F6" i="41"/>
  <c r="H5" i="41"/>
  <c r="I5" i="41" s="1"/>
  <c r="H4" i="41"/>
  <c r="G4" i="41"/>
  <c r="F4" i="41"/>
  <c r="H3" i="41"/>
  <c r="G3" i="41"/>
  <c r="F3" i="41"/>
  <c r="H2" i="41"/>
  <c r="J2" i="41" s="1"/>
  <c r="I17" i="39"/>
  <c r="H11" i="39"/>
  <c r="F6" i="39"/>
  <c r="F12" i="32" l="1"/>
  <c r="F16" i="32"/>
  <c r="F19" i="32"/>
  <c r="F10" i="32"/>
  <c r="F9" i="32"/>
  <c r="F23" i="32"/>
  <c r="F5" i="32"/>
  <c r="F6" i="32"/>
  <c r="C6" i="32" s="1"/>
  <c r="F11" i="32"/>
  <c r="F7" i="32"/>
  <c r="D15" i="111" s="1"/>
  <c r="F22" i="32"/>
  <c r="F13" i="32"/>
  <c r="F15" i="32"/>
  <c r="F18" i="32"/>
  <c r="F14" i="32"/>
  <c r="F20" i="32"/>
  <c r="D12" i="111" s="1"/>
  <c r="F8" i="32"/>
  <c r="F17" i="32"/>
  <c r="F12" i="43"/>
  <c r="I4" i="41"/>
  <c r="C14" i="43"/>
  <c r="K21" i="86"/>
  <c r="AC21" i="86" s="1"/>
  <c r="E30" i="42"/>
  <c r="E31" i="42" s="1"/>
  <c r="I3" i="41"/>
  <c r="F30" i="42"/>
  <c r="F31" i="42" s="1"/>
  <c r="Q13" i="69"/>
  <c r="Q26" i="69"/>
  <c r="Q17" i="69"/>
  <c r="Q30" i="69"/>
  <c r="Q31" i="69" s="1"/>
  <c r="R16" i="69"/>
  <c r="Q15" i="69"/>
  <c r="D8" i="48"/>
  <c r="E7" i="48"/>
  <c r="G7" i="48" s="1"/>
  <c r="C14" i="46"/>
  <c r="F28" i="47" s="1"/>
  <c r="J26" i="46"/>
  <c r="J13" i="46"/>
  <c r="H30" i="46"/>
  <c r="H31" i="46" s="1"/>
  <c r="C21" i="42"/>
  <c r="F32" i="43" s="1"/>
  <c r="F15" i="43"/>
  <c r="C17" i="43"/>
  <c r="C13" i="43"/>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P6" i="9"/>
  <c r="T7" i="9"/>
  <c r="N6" i="9"/>
  <c r="L7" i="9"/>
  <c r="M7" i="9" s="1"/>
  <c r="N7" i="9" s="1"/>
  <c r="M6" i="9"/>
  <c r="L6" i="9"/>
  <c r="J11" i="9"/>
  <c r="E26" i="39" l="1"/>
  <c r="C11" i="43"/>
  <c r="C14" i="40"/>
  <c r="C17" i="40"/>
  <c r="C20" i="32"/>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3" i="32"/>
  <c r="C19" i="32"/>
  <c r="C21" i="32"/>
  <c r="C22" i="32"/>
  <c r="C15" i="32"/>
  <c r="C8" i="32"/>
  <c r="C9" i="32"/>
  <c r="C10" i="32"/>
  <c r="C14" i="32"/>
  <c r="C13"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C11" i="40" s="1"/>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C17" i="10" s="1"/>
  <c r="P18" i="10"/>
  <c r="O18" i="10"/>
  <c r="C18" i="10"/>
  <c r="P17" i="10"/>
  <c r="O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C8" i="82" s="1"/>
  <c r="F25" i="10"/>
  <c r="F20" i="10"/>
  <c r="F19" i="10" s="1"/>
  <c r="C18" i="9"/>
  <c r="B18" i="9"/>
  <c r="F17" i="9"/>
  <c r="B17" i="9"/>
  <c r="C16" i="9"/>
  <c r="F24" i="10" s="1"/>
  <c r="G15" i="9"/>
  <c r="B15" i="9"/>
  <c r="F14" i="9"/>
  <c r="B14" i="9"/>
  <c r="E13" i="9"/>
  <c r="D13" i="9"/>
  <c r="C12" i="9"/>
  <c r="C8" i="89" l="1"/>
  <c r="D23" i="69"/>
  <c r="E18" i="69"/>
  <c r="D27" i="69"/>
  <c r="D28" i="69" s="1"/>
  <c r="E18" i="78"/>
  <c r="D27" i="78"/>
  <c r="D28" i="78" s="1"/>
  <c r="D23" i="78"/>
  <c r="E18" i="42"/>
  <c r="F18" i="42" s="1"/>
  <c r="G18" i="42" s="1"/>
  <c r="H18" i="42" s="1"/>
  <c r="E18" i="46"/>
  <c r="D23" i="46"/>
  <c r="D27" i="46"/>
  <c r="D28" i="46" s="1"/>
  <c r="F23" i="10"/>
  <c r="F27" i="9"/>
  <c r="F23" i="9"/>
  <c r="C7" i="10"/>
  <c r="C7" i="40" s="1"/>
  <c r="C30" i="9"/>
  <c r="C8" i="92" l="1"/>
  <c r="F18" i="46"/>
  <c r="E27" i="46"/>
  <c r="E28" i="46" s="1"/>
  <c r="E23" i="46"/>
  <c r="F18" i="69"/>
  <c r="E23" i="69"/>
  <c r="E27" i="69"/>
  <c r="E28" i="69" s="1"/>
  <c r="I18" i="42"/>
  <c r="H27" i="42"/>
  <c r="H28" i="42" s="1"/>
  <c r="H23" i="42"/>
  <c r="J18" i="78"/>
  <c r="E23" i="78"/>
  <c r="E27" i="78"/>
  <c r="E28" i="78" s="1"/>
  <c r="C6" i="40"/>
  <c r="C7" i="43"/>
  <c r="C7" i="47" s="1"/>
  <c r="G11" i="9"/>
  <c r="F11" i="9"/>
  <c r="C10" i="9"/>
  <c r="C9" i="9"/>
  <c r="C8" i="9"/>
  <c r="C8" i="101" l="1"/>
  <c r="G18" i="69"/>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8" i="104" l="1"/>
  <c r="C6" i="70"/>
  <c r="C7" i="79"/>
  <c r="C7" i="82" s="1"/>
  <c r="H18" i="46"/>
  <c r="G27" i="46"/>
  <c r="G28" i="46" s="1"/>
  <c r="G23" i="46"/>
  <c r="L18" i="78"/>
  <c r="K27" i="78"/>
  <c r="K28" i="78" s="1"/>
  <c r="K23" i="78"/>
  <c r="N18" i="42"/>
  <c r="M27" i="42"/>
  <c r="M28" i="42" s="1"/>
  <c r="M23" i="42"/>
  <c r="H18" i="69"/>
  <c r="G27" i="69"/>
  <c r="G28" i="69" s="1"/>
  <c r="G23" i="69"/>
  <c r="F26" i="9"/>
  <c r="F13" i="9"/>
  <c r="H26" i="9"/>
  <c r="H13" i="9"/>
  <c r="C6" i="82" l="1"/>
  <c r="C7" i="89"/>
  <c r="I18" i="69"/>
  <c r="H23" i="69"/>
  <c r="H27" i="69"/>
  <c r="H28" i="69" s="1"/>
  <c r="I18" i="46"/>
  <c r="H23" i="46"/>
  <c r="H27" i="46"/>
  <c r="H28" i="46" s="1"/>
  <c r="M18" i="78"/>
  <c r="L27" i="78"/>
  <c r="L28" i="78" s="1"/>
  <c r="L23" i="78"/>
  <c r="O18" i="42"/>
  <c r="P18" i="42" s="1"/>
  <c r="Q18" i="42" s="1"/>
  <c r="N27" i="42"/>
  <c r="N28" i="42" s="1"/>
  <c r="N23" i="42"/>
  <c r="E12" i="3"/>
  <c r="E11" i="3"/>
  <c r="E10" i="3"/>
  <c r="E9" i="3"/>
  <c r="C6" i="89" l="1"/>
  <c r="C7" i="92"/>
  <c r="R18" i="42"/>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C7" i="101" l="1"/>
  <c r="C6" i="92"/>
  <c r="B37" i="3"/>
  <c r="B38" i="3"/>
  <c r="B39" i="3"/>
  <c r="B40" i="3"/>
  <c r="O18" i="78"/>
  <c r="N27" i="78"/>
  <c r="N28" i="78" s="1"/>
  <c r="N23" i="78"/>
  <c r="K18" i="46"/>
  <c r="J23" i="46"/>
  <c r="J27" i="46"/>
  <c r="J28" i="46" s="1"/>
  <c r="K18" i="69"/>
  <c r="J23" i="69"/>
  <c r="J27" i="69"/>
  <c r="J28" i="69" s="1"/>
  <c r="S18" i="42"/>
  <c r="C18" i="42" s="1"/>
  <c r="R27" i="42"/>
  <c r="R28" i="42" s="1"/>
  <c r="R23" i="42"/>
  <c r="C8" i="3"/>
  <c r="J8" i="3"/>
  <c r="C10" i="3"/>
  <c r="C9" i="3"/>
  <c r="C22" i="3"/>
  <c r="B22" i="3" s="1"/>
  <c r="C17" i="3"/>
  <c r="B12" i="3"/>
  <c r="B13" i="3" s="1"/>
  <c r="C7" i="104" l="1"/>
  <c r="C6" i="101"/>
  <c r="C40" i="3"/>
  <c r="C39" i="3"/>
  <c r="C38" i="3"/>
  <c r="C37" i="3"/>
  <c r="F31" i="43"/>
  <c r="S27" i="42"/>
  <c r="S28" i="42" s="1"/>
  <c r="S23" i="42"/>
  <c r="L18" i="69"/>
  <c r="K23" i="69"/>
  <c r="K27" i="69"/>
  <c r="K28" i="69" s="1"/>
  <c r="L18" i="46"/>
  <c r="K27" i="46"/>
  <c r="K28" i="46" s="1"/>
  <c r="K23" i="46"/>
  <c r="P18" i="78"/>
  <c r="O27" i="78"/>
  <c r="O28" i="78" s="1"/>
  <c r="O23" i="78"/>
  <c r="B10" i="3"/>
  <c r="D22" i="3"/>
  <c r="D17" i="3"/>
  <c r="C6" i="104" l="1"/>
  <c r="D39" i="3"/>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E25" i="9"/>
  <c r="F25" i="9" s="1"/>
  <c r="G25" i="9" s="1"/>
  <c r="H25" i="9" s="1"/>
  <c r="I25" i="9" s="1"/>
  <c r="J25" i="9" s="1"/>
  <c r="K25" i="9" s="1"/>
  <c r="L25" i="9" s="1"/>
  <c r="M25" i="9" s="1"/>
  <c r="N25" i="9" s="1"/>
  <c r="O25" i="9" s="1"/>
  <c r="P25" i="9" s="1"/>
  <c r="Q25" i="9" s="1"/>
  <c r="R25" i="9" s="1"/>
  <c r="S25" i="9" s="1"/>
  <c r="T25" i="9" s="1"/>
  <c r="D2" i="39" s="1"/>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D2" i="81"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E2" i="81" l="1"/>
  <c r="F2" i="81" s="1"/>
  <c r="G2" i="81" s="1"/>
  <c r="H2" i="81" s="1"/>
  <c r="I2" i="81" s="1"/>
  <c r="D25" i="81"/>
  <c r="P37" i="3"/>
  <c r="P40" i="3"/>
  <c r="P39" i="3"/>
  <c r="P38" i="3"/>
  <c r="K23" i="39"/>
  <c r="K27" i="39"/>
  <c r="K28" i="39" s="1"/>
  <c r="Q22" i="3"/>
  <c r="Q17" i="3"/>
  <c r="M14" i="9"/>
  <c r="E25" i="81" l="1"/>
  <c r="F25" i="81" s="1"/>
  <c r="G25" i="81" s="1"/>
  <c r="H25" i="81" s="1"/>
  <c r="I25" i="81" s="1"/>
  <c r="J2" i="81"/>
  <c r="K2" i="81" s="1"/>
  <c r="L2" i="81" s="1"/>
  <c r="M2" i="81" s="1"/>
  <c r="N2" i="81" s="1"/>
  <c r="O2" i="81" s="1"/>
  <c r="P2" i="81" s="1"/>
  <c r="Q2" i="81" s="1"/>
  <c r="R2" i="81" s="1"/>
  <c r="S2" i="81" s="1"/>
  <c r="L27" i="39"/>
  <c r="L28" i="39" s="1"/>
  <c r="L23" i="39"/>
  <c r="R22" i="3"/>
  <c r="R26" i="3" s="1"/>
  <c r="R17" i="3"/>
  <c r="N14" i="9"/>
  <c r="J25" i="81" l="1"/>
  <c r="K25" i="81" s="1"/>
  <c r="L25" i="81" s="1"/>
  <c r="M25" i="81" s="1"/>
  <c r="N25" i="81" s="1"/>
  <c r="O25" i="81" s="1"/>
  <c r="P25" i="81" s="1"/>
  <c r="Q25" i="81" s="1"/>
  <c r="R25" i="81" s="1"/>
  <c r="S25" i="81" s="1"/>
  <c r="D2" i="88" s="1"/>
  <c r="M27" i="39"/>
  <c r="M28" i="39" s="1"/>
  <c r="M23" i="39"/>
  <c r="S22" i="3"/>
  <c r="S17" i="3"/>
  <c r="O14" i="9"/>
  <c r="D25" i="88" l="1"/>
  <c r="E25" i="88" s="1"/>
  <c r="F25" i="88" s="1"/>
  <c r="G25" i="88" s="1"/>
  <c r="H25" i="88" s="1"/>
  <c r="I25" i="88" s="1"/>
  <c r="J25" i="88" s="1"/>
  <c r="K25" i="88" s="1"/>
  <c r="L25" i="88" s="1"/>
  <c r="M25" i="88" s="1"/>
  <c r="N25" i="88" s="1"/>
  <c r="E2" i="88"/>
  <c r="F2" i="88" s="1"/>
  <c r="G2" i="88" s="1"/>
  <c r="H2" i="88" s="1"/>
  <c r="I2" i="88" s="1"/>
  <c r="J2" i="88" s="1"/>
  <c r="K2" i="88" s="1"/>
  <c r="L2" i="88" s="1"/>
  <c r="M2" i="88" s="1"/>
  <c r="N2" i="88" s="1"/>
  <c r="N27" i="39"/>
  <c r="N28" i="39" s="1"/>
  <c r="N23" i="39"/>
  <c r="T22" i="3"/>
  <c r="T26" i="3" s="1"/>
  <c r="T17" i="3"/>
  <c r="P14" i="9"/>
  <c r="O2" i="88" l="1"/>
  <c r="P2" i="88" s="1"/>
  <c r="Q2" i="88" s="1"/>
  <c r="R2" i="88" s="1"/>
  <c r="S2" i="88" s="1"/>
  <c r="O25" i="88"/>
  <c r="P25" i="88" s="1"/>
  <c r="Q25" i="88" s="1"/>
  <c r="R25" i="88" s="1"/>
  <c r="S25" i="88" s="1"/>
  <c r="D2" i="91" s="1"/>
  <c r="O27" i="39"/>
  <c r="O28" i="39" s="1"/>
  <c r="O23" i="39"/>
  <c r="U22" i="3"/>
  <c r="U17" i="3"/>
  <c r="Q14" i="9"/>
  <c r="E2" i="91" l="1"/>
  <c r="F2" i="91" s="1"/>
  <c r="G2" i="91" s="1"/>
  <c r="H2" i="91" s="1"/>
  <c r="I2" i="91" s="1"/>
  <c r="J2" i="91" s="1"/>
  <c r="K2" i="91" s="1"/>
  <c r="L2" i="91" s="1"/>
  <c r="M2" i="91" s="1"/>
  <c r="N2" i="91" s="1"/>
  <c r="O2" i="91" s="1"/>
  <c r="P2" i="91" s="1"/>
  <c r="Q2" i="91" s="1"/>
  <c r="R2" i="91" s="1"/>
  <c r="S2" i="91" s="1"/>
  <c r="D25" i="91"/>
  <c r="E25" i="91" s="1"/>
  <c r="F25" i="91" s="1"/>
  <c r="G25" i="91" s="1"/>
  <c r="H25" i="91" s="1"/>
  <c r="I25" i="91" s="1"/>
  <c r="J25" i="91" s="1"/>
  <c r="K25" i="91" s="1"/>
  <c r="L25" i="91" s="1"/>
  <c r="M25" i="91" s="1"/>
  <c r="N25" i="91" s="1"/>
  <c r="O25" i="91" s="1"/>
  <c r="P25" i="91" s="1"/>
  <c r="Q25" i="91" s="1"/>
  <c r="R25" i="91" s="1"/>
  <c r="S25" i="91" s="1"/>
  <c r="D2" i="100" s="1"/>
  <c r="Q17" i="39"/>
  <c r="P23" i="39"/>
  <c r="P27" i="39"/>
  <c r="P28" i="39" s="1"/>
  <c r="V22" i="3"/>
  <c r="V26" i="3" s="1"/>
  <c r="V17" i="3"/>
  <c r="R14" i="9"/>
  <c r="D25" i="100" l="1"/>
  <c r="E25" i="100" s="1"/>
  <c r="F25" i="100" s="1"/>
  <c r="G25" i="100" s="1"/>
  <c r="H25" i="100" s="1"/>
  <c r="I25" i="100" s="1"/>
  <c r="J25" i="100" s="1"/>
  <c r="K25" i="100" s="1"/>
  <c r="L25" i="100" s="1"/>
  <c r="M25" i="100" s="1"/>
  <c r="N25" i="100" s="1"/>
  <c r="O25" i="100" s="1"/>
  <c r="P25" i="100" s="1"/>
  <c r="Q25" i="100" s="1"/>
  <c r="R25" i="100" s="1"/>
  <c r="S25" i="100" s="1"/>
  <c r="D2" i="103" s="1"/>
  <c r="E2" i="100"/>
  <c r="F2" i="100" s="1"/>
  <c r="G2" i="100" s="1"/>
  <c r="H2" i="100" s="1"/>
  <c r="I2" i="100" s="1"/>
  <c r="J2" i="100" s="1"/>
  <c r="K2" i="100" s="1"/>
  <c r="L2" i="100" s="1"/>
  <c r="M2" i="100" s="1"/>
  <c r="N2" i="100" s="1"/>
  <c r="O2" i="100" s="1"/>
  <c r="P2" i="100" s="1"/>
  <c r="Q2" i="100" s="1"/>
  <c r="R2" i="100" s="1"/>
  <c r="S2" i="100" s="1"/>
  <c r="R17" i="39"/>
  <c r="Q27" i="39"/>
  <c r="Q28" i="39" s="1"/>
  <c r="Q23" i="39"/>
  <c r="W22" i="3"/>
  <c r="W17" i="3"/>
  <c r="C7" i="9"/>
  <c r="E2" i="103" l="1"/>
  <c r="F2" i="103" s="1"/>
  <c r="G2" i="103" s="1"/>
  <c r="H2" i="103" s="1"/>
  <c r="I2" i="103" s="1"/>
  <c r="J2" i="103" s="1"/>
  <c r="K2" i="103" s="1"/>
  <c r="L2" i="103" s="1"/>
  <c r="M2" i="103" s="1"/>
  <c r="N2" i="103" s="1"/>
  <c r="O2" i="103" s="1"/>
  <c r="P2" i="103" s="1"/>
  <c r="Q2" i="103" s="1"/>
  <c r="R2" i="103" s="1"/>
  <c r="S2" i="103" s="1"/>
  <c r="D25" i="103"/>
  <c r="E25" i="103" s="1"/>
  <c r="F25" i="103" s="1"/>
  <c r="G25" i="103" s="1"/>
  <c r="H25" i="103" s="1"/>
  <c r="I25" i="103" s="1"/>
  <c r="J25" i="103" s="1"/>
  <c r="K25" i="103" s="1"/>
  <c r="L25" i="103" s="1"/>
  <c r="M25" i="103" s="1"/>
  <c r="N25" i="103" s="1"/>
  <c r="O25" i="103" s="1"/>
  <c r="P25" i="103" s="1"/>
  <c r="Q25" i="103" s="1"/>
  <c r="R25" i="103" s="1"/>
  <c r="S25" i="103" s="1"/>
  <c r="S17" i="39"/>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I26" i="9"/>
  <c r="F2" i="9"/>
  <c r="G2" i="9" s="1"/>
  <c r="H2" i="9" s="1"/>
  <c r="I2" i="9" s="1"/>
  <c r="J2" i="9" s="1"/>
  <c r="K2" i="9" s="1"/>
  <c r="L2" i="9" s="1"/>
  <c r="M2" i="9" s="1"/>
  <c r="N2" i="9" s="1"/>
  <c r="O2" i="9" s="1"/>
  <c r="P2" i="9" s="1"/>
  <c r="Q2" i="9" s="1"/>
  <c r="R2" i="9" s="1"/>
  <c r="S2" i="9" s="1"/>
  <c r="T2" i="9" s="1"/>
  <c r="F4" i="9"/>
  <c r="G4" i="9" s="1"/>
  <c r="H4" i="9" s="1"/>
  <c r="I4" i="9" s="1"/>
  <c r="J4" i="9" s="1"/>
  <c r="K4" i="9" s="1"/>
  <c r="L4" i="9" s="1"/>
  <c r="F34" i="9"/>
  <c r="G34" i="9" s="1"/>
  <c r="H34" i="9" s="1"/>
  <c r="H24" i="9" l="1"/>
  <c r="I5" i="9" s="1"/>
  <c r="G17" i="42"/>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K15" i="9"/>
  <c r="J23" i="9"/>
  <c r="J27" i="9"/>
  <c r="J28" i="9" s="1"/>
  <c r="M26" i="9"/>
  <c r="M13" i="9"/>
  <c r="O4" i="9"/>
  <c r="AC22" i="3"/>
  <c r="AC17" i="3"/>
  <c r="J24" i="9" l="1"/>
  <c r="K5" i="9" s="1"/>
  <c r="L17" i="42"/>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T26" i="9" s="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13" i="9"/>
  <c r="C13" i="9" s="1"/>
  <c r="C11" i="9"/>
  <c r="S26" i="39" l="1"/>
  <c r="S28" i="39" s="1"/>
  <c r="S13" i="39"/>
  <c r="C13" i="39" s="1"/>
  <c r="Z6" i="39" s="1"/>
  <c r="C11" i="39"/>
  <c r="C23" i="40"/>
  <c r="C22" i="40" s="1"/>
  <c r="C26" i="39"/>
  <c r="Z11" i="39"/>
  <c r="Z12" i="39"/>
  <c r="Z8" i="39"/>
  <c r="Z7" i="39"/>
  <c r="Z10" i="39"/>
  <c r="Y14" i="39"/>
  <c r="S15" i="9"/>
  <c r="R23" i="9"/>
  <c r="R24" i="9" s="1"/>
  <c r="S5" i="9" s="1"/>
  <c r="R27" i="9"/>
  <c r="R28" i="9" s="1"/>
  <c r="AA8" i="9"/>
  <c r="AA12" i="9"/>
  <c r="AA7" i="9"/>
  <c r="Z14" i="9"/>
  <c r="AA9" i="9"/>
  <c r="AA6" i="9"/>
  <c r="AA10" i="9"/>
  <c r="AA11" i="9"/>
  <c r="C26" i="9"/>
  <c r="C23" i="10"/>
  <c r="Z9" i="39" l="1"/>
  <c r="Z13" i="39"/>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F9" i="79" s="1"/>
  <c r="F8" i="82"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17" i="79" l="1"/>
  <c r="F11" i="79" s="1"/>
  <c r="F9" i="82" s="1"/>
  <c r="C5" i="81"/>
  <c r="H32" i="3"/>
  <c r="H33" i="3" s="1"/>
  <c r="K30" i="3"/>
  <c r="J31" i="3"/>
  <c r="F34" i="79" l="1"/>
  <c r="D5" i="81"/>
  <c r="D24" i="81" s="1"/>
  <c r="E5" i="81" s="1"/>
  <c r="E24" i="81" s="1"/>
  <c r="F5" i="81" s="1"/>
  <c r="F24" i="81" s="1"/>
  <c r="G5" i="81" s="1"/>
  <c r="G24" i="81" s="1"/>
  <c r="H5" i="81" s="1"/>
  <c r="H24" i="81" s="1"/>
  <c r="I5" i="81" s="1"/>
  <c r="I24" i="81" s="1"/>
  <c r="C24" i="81"/>
  <c r="F8" i="89"/>
  <c r="F6" i="82"/>
  <c r="G32" i="79"/>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F17" i="82" l="1"/>
  <c r="F11" i="82" s="1"/>
  <c r="C5" i="88"/>
  <c r="J5" i="81"/>
  <c r="J24" i="81" s="1"/>
  <c r="K5" i="81" s="1"/>
  <c r="K24" i="81" s="1"/>
  <c r="L5" i="81" s="1"/>
  <c r="L24" i="81" s="1"/>
  <c r="M5" i="81" s="1"/>
  <c r="M24" i="81" s="1"/>
  <c r="N5" i="81" s="1"/>
  <c r="N24" i="81" s="1"/>
  <c r="O5" i="81" s="1"/>
  <c r="O24" i="81" s="1"/>
  <c r="P5" i="81" s="1"/>
  <c r="P24" i="81" s="1"/>
  <c r="Q5" i="81" s="1"/>
  <c r="Q24" i="81" s="1"/>
  <c r="R5" i="81" s="1"/>
  <c r="R24" i="81" s="1"/>
  <c r="S5" i="81" s="1"/>
  <c r="S24" i="81" s="1"/>
  <c r="C29" i="82" s="1"/>
  <c r="C34" i="82" s="1"/>
  <c r="J32" i="3"/>
  <c r="K32" i="3" s="1"/>
  <c r="M30" i="3"/>
  <c r="L31" i="3"/>
  <c r="D29" i="82" l="1"/>
  <c r="D19" i="82"/>
  <c r="D9" i="82"/>
  <c r="D22" i="82"/>
  <c r="D27" i="82"/>
  <c r="D18" i="82"/>
  <c r="D11" i="82"/>
  <c r="D12" i="82"/>
  <c r="D25" i="82"/>
  <c r="D14" i="82"/>
  <c r="D17" i="82"/>
  <c r="D23" i="82"/>
  <c r="D15" i="82"/>
  <c r="D34" i="82"/>
  <c r="D26" i="82"/>
  <c r="D24" i="82"/>
  <c r="D13" i="82"/>
  <c r="D8" i="82"/>
  <c r="D7" i="82"/>
  <c r="D6" i="82"/>
  <c r="D5" i="88"/>
  <c r="D24" i="88" s="1"/>
  <c r="E5" i="88" s="1"/>
  <c r="E24" i="88" s="1"/>
  <c r="F5" i="88" s="1"/>
  <c r="F24" i="88" s="1"/>
  <c r="G5" i="88" s="1"/>
  <c r="G24" i="88" s="1"/>
  <c r="H5" i="88" s="1"/>
  <c r="H24" i="88" s="1"/>
  <c r="I5" i="88" s="1"/>
  <c r="I24" i="88" s="1"/>
  <c r="J5" i="88" s="1"/>
  <c r="J24" i="88" s="1"/>
  <c r="K5" i="88" s="1"/>
  <c r="K24" i="88" s="1"/>
  <c r="L5" i="88" s="1"/>
  <c r="L24" i="88" s="1"/>
  <c r="M5" i="88" s="1"/>
  <c r="M24" i="88" s="1"/>
  <c r="N5" i="88" s="1"/>
  <c r="N24" i="88" s="1"/>
  <c r="C24" i="88"/>
  <c r="F9" i="89"/>
  <c r="F34" i="82"/>
  <c r="J33" i="3"/>
  <c r="N30" i="3"/>
  <c r="M31" i="3"/>
  <c r="K33" i="3"/>
  <c r="L32" i="3"/>
  <c r="O5" i="88" l="1"/>
  <c r="O24" i="88" s="1"/>
  <c r="P5" i="88" s="1"/>
  <c r="P24" i="88" s="1"/>
  <c r="Q5" i="88" s="1"/>
  <c r="Q24" i="88" s="1"/>
  <c r="R5" i="88" s="1"/>
  <c r="R24" i="88" s="1"/>
  <c r="S5" i="88" s="1"/>
  <c r="S24" i="88" s="1"/>
  <c r="C29" i="89" s="1"/>
  <c r="C34" i="89" s="1"/>
  <c r="F17" i="89"/>
  <c r="C5" i="91"/>
  <c r="G17" i="82"/>
  <c r="G29" i="82"/>
  <c r="G31" i="82"/>
  <c r="G23" i="82"/>
  <c r="G24" i="82"/>
  <c r="G25" i="82"/>
  <c r="G19" i="82"/>
  <c r="G32" i="82"/>
  <c r="G30" i="82"/>
  <c r="G20" i="82"/>
  <c r="G12" i="82"/>
  <c r="F35" i="82"/>
  <c r="G7" i="82"/>
  <c r="G33" i="82"/>
  <c r="G16" i="82"/>
  <c r="G15" i="82"/>
  <c r="G34" i="82"/>
  <c r="G13" i="82"/>
  <c r="G28" i="82"/>
  <c r="G21" i="82"/>
  <c r="G14" i="82"/>
  <c r="G27" i="82"/>
  <c r="G8" i="82"/>
  <c r="G9" i="82"/>
  <c r="G6" i="82"/>
  <c r="F8" i="92"/>
  <c r="F6" i="89"/>
  <c r="G11" i="82"/>
  <c r="O30" i="3"/>
  <c r="N31" i="3"/>
  <c r="M32" i="3"/>
  <c r="L33" i="3"/>
  <c r="D29" i="89" l="1"/>
  <c r="D18" i="89"/>
  <c r="D15" i="89"/>
  <c r="D24" i="89"/>
  <c r="D11" i="89"/>
  <c r="D26" i="89"/>
  <c r="D19" i="89"/>
  <c r="D17" i="89"/>
  <c r="D14" i="89"/>
  <c r="D25" i="89"/>
  <c r="D27" i="89"/>
  <c r="D13" i="89"/>
  <c r="D9" i="89"/>
  <c r="D23" i="89"/>
  <c r="D12" i="89"/>
  <c r="D34" i="89"/>
  <c r="D22" i="89"/>
  <c r="D8" i="89"/>
  <c r="D7" i="89"/>
  <c r="D6" i="89"/>
  <c r="C21" i="92"/>
  <c r="D5" i="91"/>
  <c r="D24" i="91" s="1"/>
  <c r="E5" i="91" s="1"/>
  <c r="E24" i="91" s="1"/>
  <c r="F5" i="91" s="1"/>
  <c r="F24" i="91" s="1"/>
  <c r="G5" i="91" s="1"/>
  <c r="G24" i="91" s="1"/>
  <c r="H5" i="91" s="1"/>
  <c r="H24" i="91" s="1"/>
  <c r="I5" i="91" s="1"/>
  <c r="I24" i="91" s="1"/>
  <c r="J5" i="91" s="1"/>
  <c r="J24" i="91" s="1"/>
  <c r="K5" i="91" s="1"/>
  <c r="K24" i="91" s="1"/>
  <c r="L5" i="91" s="1"/>
  <c r="L24" i="91" s="1"/>
  <c r="M5" i="91" s="1"/>
  <c r="M24" i="91" s="1"/>
  <c r="N5" i="91" s="1"/>
  <c r="N24" i="91" s="1"/>
  <c r="O5" i="91" s="1"/>
  <c r="O24" i="91" s="1"/>
  <c r="P5" i="91" s="1"/>
  <c r="P24" i="91" s="1"/>
  <c r="Q5" i="91" s="1"/>
  <c r="Q24" i="91" s="1"/>
  <c r="R5" i="91" s="1"/>
  <c r="R24" i="91" s="1"/>
  <c r="S5" i="91" s="1"/>
  <c r="S24" i="91" s="1"/>
  <c r="C24" i="91"/>
  <c r="F11" i="89"/>
  <c r="P30" i="3"/>
  <c r="O31" i="3"/>
  <c r="M33" i="3"/>
  <c r="N32" i="3"/>
  <c r="C30" i="92" l="1"/>
  <c r="F9" i="92"/>
  <c r="F34" i="89"/>
  <c r="G11" i="89" s="1"/>
  <c r="C33" i="92"/>
  <c r="C34" i="92" s="1"/>
  <c r="C37" i="104"/>
  <c r="C37" i="101"/>
  <c r="C5" i="100"/>
  <c r="P31" i="3"/>
  <c r="Q30" i="3"/>
  <c r="O32" i="3"/>
  <c r="N33" i="3"/>
  <c r="G6" i="89" l="1"/>
  <c r="G20" i="89"/>
  <c r="G21" i="89"/>
  <c r="G23" i="89"/>
  <c r="G34" i="89"/>
  <c r="F35" i="89"/>
  <c r="G27" i="89"/>
  <c r="G31" i="89"/>
  <c r="G13" i="89"/>
  <c r="G19" i="89"/>
  <c r="G30" i="89"/>
  <c r="G24" i="89"/>
  <c r="G29" i="89"/>
  <c r="G32" i="89"/>
  <c r="G12" i="89"/>
  <c r="G28" i="89"/>
  <c r="G14" i="89"/>
  <c r="G16" i="89"/>
  <c r="G33" i="89"/>
  <c r="G25" i="89"/>
  <c r="G7" i="89"/>
  <c r="G15" i="89"/>
  <c r="G8" i="89"/>
  <c r="G9" i="89"/>
  <c r="G17" i="89"/>
  <c r="D7" i="92"/>
  <c r="D14" i="92"/>
  <c r="D15" i="92"/>
  <c r="D30" i="92"/>
  <c r="D19" i="92"/>
  <c r="D13" i="92"/>
  <c r="D18" i="92"/>
  <c r="D12" i="92"/>
  <c r="D28" i="92"/>
  <c r="D9" i="92"/>
  <c r="D26" i="92"/>
  <c r="D27" i="92"/>
  <c r="D25" i="92"/>
  <c r="D23" i="92"/>
  <c r="D11" i="92"/>
  <c r="D24" i="92"/>
  <c r="D17" i="92"/>
  <c r="D8" i="92"/>
  <c r="D6" i="92"/>
  <c r="F8" i="101"/>
  <c r="F6" i="92"/>
  <c r="D5" i="100"/>
  <c r="D24" i="100" s="1"/>
  <c r="E5" i="100" s="1"/>
  <c r="E24" i="100" s="1"/>
  <c r="F5" i="100" s="1"/>
  <c r="F24" i="100" s="1"/>
  <c r="G5" i="100" s="1"/>
  <c r="G24" i="100" s="1"/>
  <c r="H5" i="100" s="1"/>
  <c r="H24" i="100" s="1"/>
  <c r="I5" i="100" s="1"/>
  <c r="I24" i="100" s="1"/>
  <c r="J5" i="100" s="1"/>
  <c r="J24" i="100" s="1"/>
  <c r="K5" i="100" s="1"/>
  <c r="K24" i="100" s="1"/>
  <c r="L5" i="100" s="1"/>
  <c r="L24" i="100" s="1"/>
  <c r="M5" i="100" s="1"/>
  <c r="M24" i="100" s="1"/>
  <c r="N5" i="100" s="1"/>
  <c r="N24" i="100" s="1"/>
  <c r="O5" i="100" s="1"/>
  <c r="O24" i="100" s="1"/>
  <c r="P5" i="100" s="1"/>
  <c r="P24" i="100" s="1"/>
  <c r="Q5" i="100" s="1"/>
  <c r="Q24" i="100" s="1"/>
  <c r="R5" i="100" s="1"/>
  <c r="R24" i="100" s="1"/>
  <c r="S5" i="100" s="1"/>
  <c r="S24" i="100" s="1"/>
  <c r="C21" i="101"/>
  <c r="C24" i="100"/>
  <c r="C5" i="103" s="1"/>
  <c r="D21" i="92"/>
  <c r="R30" i="3"/>
  <c r="Q31" i="3"/>
  <c r="O33" i="3"/>
  <c r="P32" i="3"/>
  <c r="F6" i="101" l="1"/>
  <c r="F8" i="104"/>
  <c r="C21" i="104"/>
  <c r="C24" i="103"/>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R5" i="103" s="1"/>
  <c r="R24" i="103" s="1"/>
  <c r="S5" i="103" s="1"/>
  <c r="S24" i="103" s="1"/>
  <c r="C34" i="101"/>
  <c r="D21" i="101" s="1"/>
  <c r="C38" i="101"/>
  <c r="F30" i="92"/>
  <c r="G6" i="92" s="1"/>
  <c r="R31" i="3"/>
  <c r="S30" i="3"/>
  <c r="Q32" i="3"/>
  <c r="P33" i="3"/>
  <c r="F34" i="101" l="1"/>
  <c r="G6" i="101" s="1"/>
  <c r="D6" i="101"/>
  <c r="D29" i="101"/>
  <c r="D11" i="101"/>
  <c r="D9" i="101"/>
  <c r="D28" i="101"/>
  <c r="D18" i="101"/>
  <c r="D17" i="101"/>
  <c r="D19" i="101"/>
  <c r="D32" i="101"/>
  <c r="D14" i="101"/>
  <c r="D12" i="101"/>
  <c r="D31" i="101"/>
  <c r="D30" i="101"/>
  <c r="D13" i="101"/>
  <c r="D34" i="101"/>
  <c r="D15" i="101"/>
  <c r="D27" i="101"/>
  <c r="D8" i="101"/>
  <c r="D7" i="101"/>
  <c r="C34" i="104"/>
  <c r="C38" i="104"/>
  <c r="G13" i="92"/>
  <c r="G20" i="92"/>
  <c r="G26" i="92"/>
  <c r="G11" i="92"/>
  <c r="G15" i="92"/>
  <c r="F31" i="92"/>
  <c r="G29" i="92"/>
  <c r="G16" i="92"/>
  <c r="G14" i="92"/>
  <c r="G27" i="92"/>
  <c r="G28" i="92"/>
  <c r="G17" i="92"/>
  <c r="G7" i="92"/>
  <c r="G12" i="92"/>
  <c r="G21" i="92"/>
  <c r="G30" i="92"/>
  <c r="G19" i="92"/>
  <c r="G24" i="92"/>
  <c r="G25" i="92"/>
  <c r="G23" i="92"/>
  <c r="G8" i="92"/>
  <c r="G9" i="92"/>
  <c r="F6" i="104"/>
  <c r="T30" i="3"/>
  <c r="S31" i="3"/>
  <c r="R32" i="3"/>
  <c r="Q33" i="3"/>
  <c r="G23" i="101" l="1"/>
  <c r="G27" i="101"/>
  <c r="G31" i="101"/>
  <c r="G14" i="101"/>
  <c r="G24" i="101"/>
  <c r="G16" i="101"/>
  <c r="G11" i="101"/>
  <c r="F35" i="101"/>
  <c r="G20" i="101"/>
  <c r="G29" i="101"/>
  <c r="G33" i="101"/>
  <c r="G30" i="101"/>
  <c r="G19" i="101"/>
  <c r="G15" i="101"/>
  <c r="G12" i="101"/>
  <c r="G13" i="101"/>
  <c r="G28" i="101"/>
  <c r="G7" i="101"/>
  <c r="G34" i="101"/>
  <c r="G25" i="101"/>
  <c r="G17" i="101"/>
  <c r="G32" i="101"/>
  <c r="G9" i="101"/>
  <c r="G21" i="101"/>
  <c r="G8" i="101"/>
  <c r="D21" i="104"/>
  <c r="D34" i="104"/>
  <c r="D29" i="104"/>
  <c r="D30" i="104"/>
  <c r="D18" i="104"/>
  <c r="D15" i="104"/>
  <c r="D9" i="104"/>
  <c r="D12" i="104"/>
  <c r="D14" i="104"/>
  <c r="D17" i="104"/>
  <c r="D32" i="104"/>
  <c r="D13" i="104"/>
  <c r="D11" i="104"/>
  <c r="D31" i="104"/>
  <c r="D19" i="104"/>
  <c r="D27" i="104"/>
  <c r="D28" i="104"/>
  <c r="D8" i="104"/>
  <c r="D7" i="104"/>
  <c r="D6" i="104"/>
  <c r="F34" i="104"/>
  <c r="G6" i="104" s="1"/>
  <c r="U30" i="3"/>
  <c r="T31" i="3"/>
  <c r="S32" i="3"/>
  <c r="R33" i="3"/>
  <c r="G19" i="104" l="1"/>
  <c r="G20" i="104"/>
  <c r="G11" i="104"/>
  <c r="G9" i="104"/>
  <c r="G34" i="104"/>
  <c r="G31" i="104"/>
  <c r="G23" i="104"/>
  <c r="G7" i="104"/>
  <c r="G32" i="104"/>
  <c r="G13" i="104"/>
  <c r="G14" i="104"/>
  <c r="G17" i="104"/>
  <c r="F35" i="104"/>
  <c r="G33" i="104"/>
  <c r="G21" i="104"/>
  <c r="G24" i="104"/>
  <c r="G25" i="104"/>
  <c r="G16" i="104"/>
  <c r="G12" i="104"/>
  <c r="G30" i="104"/>
  <c r="G15" i="104"/>
  <c r="G29" i="104"/>
  <c r="G27" i="104"/>
  <c r="G28" i="104"/>
  <c r="G8" i="104"/>
  <c r="V30" i="3"/>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1" authorId="0" shapeId="0" xr:uid="{00000000-0006-0000-0500-000001000000}">
      <text>
        <r>
          <rPr>
            <sz val="8"/>
            <color indexed="81"/>
            <rFont val="Tahoma"/>
            <family val="2"/>
          </rPr>
          <t>Lid*Lid*Exp</t>
        </r>
      </text>
    </comment>
    <comment ref="I3" authorId="0" shapeId="0" xr:uid="{00000000-0006-0000-0500-000002000000}">
      <text>
        <r>
          <rPr>
            <sz val="8"/>
            <color indexed="81"/>
            <rFont val="Tahoma"/>
            <family val="2"/>
          </rPr>
          <t>Lid*Lid*Exp</t>
        </r>
      </text>
    </comment>
    <comment ref="I12" authorId="0" shapeId="0" xr:uid="{00000000-0006-0000-0500-000003000000}">
      <text>
        <r>
          <rPr>
            <sz val="8"/>
            <color indexed="81"/>
            <rFont val="Tahoma"/>
            <family val="2"/>
          </rPr>
          <t>Lid*Lid*Exp</t>
        </r>
      </text>
    </comment>
    <comment ref="I24" authorId="0" shapeId="0" xr:uid="{00000000-0006-0000-0500-000004000000}">
      <text>
        <r>
          <rPr>
            <sz val="8"/>
            <color indexed="81"/>
            <rFont val="Tahoma"/>
            <family val="2"/>
          </rPr>
          <t>Lid*Lid*Exp</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A00-000001000000}">
      <text>
        <r>
          <rPr>
            <b/>
            <sz val="8"/>
            <color indexed="81"/>
            <rFont val="Tahoma"/>
            <family val="2"/>
          </rPr>
          <t>Autor:</t>
        </r>
        <r>
          <rPr>
            <sz val="8"/>
            <color indexed="81"/>
            <rFont val="Tahoma"/>
            <family val="2"/>
          </rPr>
          <t xml:space="preserve">
Compra+Primer sueldo</t>
        </r>
      </text>
    </comment>
    <comment ref="E9" authorId="0" shapeId="0" xr:uid="{00000000-0006-0000-1A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A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A00-000004000000}">
      <text>
        <r>
          <rPr>
            <b/>
            <sz val="8"/>
            <color indexed="81"/>
            <rFont val="Tahoma"/>
            <family val="2"/>
          </rPr>
          <t>Autor:</t>
        </r>
        <r>
          <rPr>
            <sz val="8"/>
            <color indexed="81"/>
            <rFont val="Tahoma"/>
            <family val="2"/>
          </rPr>
          <t xml:space="preserve">
Ingresos anuales - Pagos anuales</t>
        </r>
      </text>
    </comment>
    <comment ref="C18" authorId="0" shapeId="0" xr:uid="{00000000-0006-0000-1A00-000005000000}">
      <text>
        <r>
          <rPr>
            <b/>
            <sz val="8"/>
            <color indexed="81"/>
            <rFont val="Tahoma"/>
            <family val="2"/>
          </rPr>
          <t>Venta sin Comisiones</t>
        </r>
      </text>
    </comment>
    <comment ref="F20" authorId="0" shapeId="0" xr:uid="{00000000-0006-0000-1A00-00000600000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C00-000001000000}">
      <text>
        <r>
          <rPr>
            <b/>
            <sz val="8"/>
            <color indexed="81"/>
            <rFont val="Tahoma"/>
            <family val="2"/>
          </rPr>
          <t>Autor:</t>
        </r>
        <r>
          <rPr>
            <sz val="8"/>
            <color indexed="81"/>
            <rFont val="Tahoma"/>
            <family val="2"/>
          </rPr>
          <t xml:space="preserve">
Compra+Primer sueldo</t>
        </r>
      </text>
    </comment>
    <comment ref="E9" authorId="0" shapeId="0" xr:uid="{00000000-0006-0000-1C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C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C00-000004000000}">
      <text>
        <r>
          <rPr>
            <b/>
            <sz val="8"/>
            <color indexed="81"/>
            <rFont val="Tahoma"/>
            <family val="2"/>
          </rPr>
          <t>Autor:</t>
        </r>
        <r>
          <rPr>
            <sz val="8"/>
            <color indexed="81"/>
            <rFont val="Tahoma"/>
            <family val="2"/>
          </rPr>
          <t xml:space="preserve">
Ingresos anuales - Pagos anuales</t>
        </r>
      </text>
    </comment>
    <comment ref="C18" authorId="0" shapeId="0" xr:uid="{00000000-0006-0000-1C00-000005000000}">
      <text>
        <r>
          <rPr>
            <b/>
            <sz val="8"/>
            <color indexed="81"/>
            <rFont val="Tahoma"/>
            <family val="2"/>
          </rPr>
          <t>Venta sin Comisiones</t>
        </r>
      </text>
    </comment>
    <comment ref="F20" authorId="0" shapeId="0" xr:uid="{00000000-0006-0000-1C00-00000600000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E00-000001000000}">
      <text>
        <r>
          <rPr>
            <b/>
            <sz val="8"/>
            <color indexed="81"/>
            <rFont val="Tahoma"/>
            <family val="2"/>
          </rPr>
          <t>Autor:</t>
        </r>
        <r>
          <rPr>
            <sz val="8"/>
            <color indexed="81"/>
            <rFont val="Tahoma"/>
            <family val="2"/>
          </rPr>
          <t xml:space="preserve">
Compra+Primer sueldo</t>
        </r>
      </text>
    </comment>
    <comment ref="E9" authorId="0" shapeId="0" xr:uid="{00000000-0006-0000-1E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E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E00-000004000000}">
      <text>
        <r>
          <rPr>
            <b/>
            <sz val="8"/>
            <color indexed="81"/>
            <rFont val="Tahoma"/>
            <family val="2"/>
          </rPr>
          <t>Autor:</t>
        </r>
        <r>
          <rPr>
            <sz val="8"/>
            <color indexed="81"/>
            <rFont val="Tahoma"/>
            <family val="2"/>
          </rPr>
          <t xml:space="preserve">
Ingresos anuales - Pagos anuales</t>
        </r>
      </text>
    </comment>
    <comment ref="C18" authorId="0" shapeId="0" xr:uid="{00000000-0006-0000-1E00-000005000000}">
      <text>
        <r>
          <rPr>
            <b/>
            <sz val="8"/>
            <color indexed="81"/>
            <rFont val="Tahoma"/>
            <family val="2"/>
          </rPr>
          <t>Venta sin Comisiones</t>
        </r>
      </text>
    </comment>
    <comment ref="F20" authorId="0" shapeId="0" xr:uid="{00000000-0006-0000-1E00-00000600000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2000-000001000000}">
      <text>
        <r>
          <rPr>
            <b/>
            <sz val="8"/>
            <color indexed="81"/>
            <rFont val="Tahoma"/>
            <family val="2"/>
          </rPr>
          <t>Autor:</t>
        </r>
        <r>
          <rPr>
            <sz val="8"/>
            <color indexed="81"/>
            <rFont val="Tahoma"/>
            <family val="2"/>
          </rPr>
          <t xml:space="preserve">
Compra+Primer sueldo</t>
        </r>
      </text>
    </comment>
    <comment ref="E9" authorId="0" shapeId="0" xr:uid="{00000000-0006-0000-20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20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2000-000004000000}">
      <text>
        <r>
          <rPr>
            <b/>
            <sz val="8"/>
            <color indexed="81"/>
            <rFont val="Tahoma"/>
            <family val="2"/>
          </rPr>
          <t>Autor:</t>
        </r>
        <r>
          <rPr>
            <sz val="8"/>
            <color indexed="81"/>
            <rFont val="Tahoma"/>
            <family val="2"/>
          </rPr>
          <t xml:space="preserve">
Ingresos anuales - Pagos anuales</t>
        </r>
      </text>
    </comment>
    <comment ref="C18" authorId="0" shapeId="0" xr:uid="{00000000-0006-0000-2000-000005000000}">
      <text>
        <r>
          <rPr>
            <b/>
            <sz val="8"/>
            <color indexed="81"/>
            <rFont val="Tahoma"/>
            <family val="2"/>
          </rPr>
          <t>Venta sin Comisiones</t>
        </r>
      </text>
    </comment>
    <comment ref="F20" authorId="0" shapeId="0" xr:uid="{00000000-0006-0000-2000-00000600000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2200-000001000000}">
      <text>
        <r>
          <rPr>
            <b/>
            <sz val="8"/>
            <color indexed="81"/>
            <rFont val="Tahoma"/>
            <family val="2"/>
          </rPr>
          <t>Autor:</t>
        </r>
        <r>
          <rPr>
            <sz val="8"/>
            <color indexed="81"/>
            <rFont val="Tahoma"/>
            <family val="2"/>
          </rPr>
          <t xml:space="preserve">
Compra+Primer sueldo</t>
        </r>
      </text>
    </comment>
    <comment ref="E9" authorId="0" shapeId="0" xr:uid="{00000000-0006-0000-22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22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2200-000004000000}">
      <text>
        <r>
          <rPr>
            <b/>
            <sz val="8"/>
            <color indexed="81"/>
            <rFont val="Tahoma"/>
            <family val="2"/>
          </rPr>
          <t>Autor:</t>
        </r>
        <r>
          <rPr>
            <sz val="8"/>
            <color indexed="81"/>
            <rFont val="Tahoma"/>
            <family val="2"/>
          </rPr>
          <t xml:space="preserve">
Ingresos anuales - Pagos anuales</t>
        </r>
      </text>
    </comment>
    <comment ref="C18" authorId="0" shapeId="0" xr:uid="{00000000-0006-0000-2200-000005000000}">
      <text>
        <r>
          <rPr>
            <b/>
            <sz val="8"/>
            <color indexed="81"/>
            <rFont val="Tahoma"/>
            <family val="2"/>
          </rPr>
          <t>Venta sin Comisiones</t>
        </r>
      </text>
    </comment>
    <comment ref="F20" authorId="0" shapeId="0" xr:uid="{00000000-0006-0000-2200-00000600000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2400-000001000000}">
      <text>
        <r>
          <rPr>
            <b/>
            <sz val="8"/>
            <color indexed="81"/>
            <rFont val="Tahoma"/>
            <family val="2"/>
          </rPr>
          <t>Autor:</t>
        </r>
        <r>
          <rPr>
            <sz val="8"/>
            <color indexed="81"/>
            <rFont val="Tahoma"/>
            <family val="2"/>
          </rPr>
          <t xml:space="preserve">
Compra+Primer sueldo</t>
        </r>
      </text>
    </comment>
    <comment ref="E9" authorId="0" shapeId="0" xr:uid="{00000000-0006-0000-24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24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2400-000004000000}">
      <text>
        <r>
          <rPr>
            <b/>
            <sz val="8"/>
            <color indexed="81"/>
            <rFont val="Tahoma"/>
            <family val="2"/>
          </rPr>
          <t>Autor:</t>
        </r>
        <r>
          <rPr>
            <sz val="8"/>
            <color indexed="81"/>
            <rFont val="Tahoma"/>
            <family val="2"/>
          </rPr>
          <t xml:space="preserve">
Ingresos anuales - Pagos anuales</t>
        </r>
      </text>
    </comment>
    <comment ref="C18" authorId="0" shapeId="0" xr:uid="{00000000-0006-0000-2400-000005000000}">
      <text>
        <r>
          <rPr>
            <b/>
            <sz val="8"/>
            <color indexed="81"/>
            <rFont val="Tahoma"/>
            <family val="2"/>
          </rPr>
          <t>Venta sin Comisiones</t>
        </r>
      </text>
    </comment>
    <comment ref="F20" authorId="0" shapeId="0" xr:uid="{00000000-0006-0000-2400-00000600000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2600-000001000000}">
      <text>
        <r>
          <rPr>
            <b/>
            <sz val="8"/>
            <color indexed="81"/>
            <rFont val="Tahoma"/>
            <family val="2"/>
          </rPr>
          <t>Autor:</t>
        </r>
        <r>
          <rPr>
            <sz val="8"/>
            <color indexed="81"/>
            <rFont val="Tahoma"/>
            <family val="2"/>
          </rPr>
          <t xml:space="preserve">
Compra+Primer sueldo</t>
        </r>
      </text>
    </comment>
    <comment ref="E9" authorId="0" shapeId="0" xr:uid="{00000000-0006-0000-26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26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2600-000004000000}">
      <text>
        <r>
          <rPr>
            <b/>
            <sz val="8"/>
            <color indexed="81"/>
            <rFont val="Tahoma"/>
            <family val="2"/>
          </rPr>
          <t>Autor:</t>
        </r>
        <r>
          <rPr>
            <sz val="8"/>
            <color indexed="81"/>
            <rFont val="Tahoma"/>
            <family val="2"/>
          </rPr>
          <t xml:space="preserve">
Ingresos anuales - Pagos anuales</t>
        </r>
      </text>
    </comment>
    <comment ref="C18" authorId="0" shapeId="0" xr:uid="{00000000-0006-0000-2600-000005000000}">
      <text>
        <r>
          <rPr>
            <b/>
            <sz val="8"/>
            <color indexed="81"/>
            <rFont val="Tahoma"/>
            <family val="2"/>
          </rPr>
          <t>Venta sin Comisiones</t>
        </r>
      </text>
    </comment>
    <comment ref="F20" authorId="0" shapeId="0" xr:uid="{00000000-0006-0000-2600-00000600000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2800-000001000000}">
      <text>
        <r>
          <rPr>
            <b/>
            <sz val="8"/>
            <color indexed="81"/>
            <rFont val="Tahoma"/>
            <family val="2"/>
          </rPr>
          <t>Autor:</t>
        </r>
        <r>
          <rPr>
            <sz val="8"/>
            <color indexed="81"/>
            <rFont val="Tahoma"/>
            <family val="2"/>
          </rPr>
          <t xml:space="preserve">
Compra+Primer sueldo</t>
        </r>
      </text>
    </comment>
    <comment ref="E9" authorId="0" shapeId="0" xr:uid="{00000000-0006-0000-28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28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2800-000004000000}">
      <text>
        <r>
          <rPr>
            <b/>
            <sz val="8"/>
            <color indexed="81"/>
            <rFont val="Tahoma"/>
            <family val="2"/>
          </rPr>
          <t>Autor:</t>
        </r>
        <r>
          <rPr>
            <sz val="8"/>
            <color indexed="81"/>
            <rFont val="Tahoma"/>
            <family val="2"/>
          </rPr>
          <t xml:space="preserve">
Ingresos anuales - Pagos anuales</t>
        </r>
      </text>
    </comment>
    <comment ref="C18" authorId="0" shapeId="0" xr:uid="{00000000-0006-0000-2800-000005000000}">
      <text>
        <r>
          <rPr>
            <b/>
            <sz val="8"/>
            <color indexed="81"/>
            <rFont val="Tahoma"/>
            <family val="2"/>
          </rPr>
          <t>Venta sin Comisiones</t>
        </r>
      </text>
    </comment>
    <comment ref="F20" authorId="0" shapeId="0" xr:uid="{00000000-0006-0000-2800-00000600000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00000000-0006-0000-2C00-000001000000}">
      <text>
        <r>
          <rPr>
            <b/>
            <sz val="8"/>
            <color indexed="81"/>
            <rFont val="Tahoma"/>
            <family val="2"/>
          </rPr>
          <t>Autor:</t>
        </r>
        <r>
          <rPr>
            <sz val="8"/>
            <color indexed="81"/>
            <rFont val="Tahoma"/>
            <family val="2"/>
          </rPr>
          <t xml:space="preserve">
9=notable
6,5=aceptable
4=insuf</t>
        </r>
      </text>
    </comment>
    <comment ref="G2" authorId="0" shapeId="0" xr:uid="{00000000-0006-0000-2C00-00000200000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4" authorId="0" shapeId="0" xr:uid="{00000000-0006-0000-0600-000001000000}">
      <text>
        <r>
          <rPr>
            <sz val="8"/>
            <color indexed="81"/>
            <rFont val="Tahoma"/>
            <family val="2"/>
          </rPr>
          <t>Lid*Lid*Exp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31" authorId="0" shapeId="0" xr:uid="{00000000-0006-0000-0700-000001000000}">
      <text>
        <r>
          <rPr>
            <b/>
            <sz val="8"/>
            <color indexed="81"/>
            <rFont val="Tahoma"/>
            <family val="2"/>
          </rPr>
          <t>Sacado del manual no escrito, no se sabe que son estos valores</t>
        </r>
      </text>
    </comment>
    <comment ref="D31" authorId="0" shapeId="0" xr:uid="{00000000-0006-0000-0700-00000200000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U1" authorId="0" shapeId="0" xr:uid="{00000000-0006-0000-0900-000001000000}">
      <text>
        <r>
          <rPr>
            <b/>
            <sz val="8"/>
            <color indexed="81"/>
            <rFont val="Tahoma"/>
            <family val="2"/>
          </rPr>
          <t>Sacado del manual no escrito, no se sabe que son estos valores</t>
        </r>
      </text>
    </comment>
    <comment ref="BV1" authorId="0" shapeId="0" xr:uid="{00000000-0006-0000-0900-000002000000}">
      <text>
        <r>
          <rPr>
            <b/>
            <sz val="8"/>
            <color indexed="81"/>
            <rFont val="Tahoma"/>
            <family val="2"/>
          </rPr>
          <t>En partidos de Torneo con el predictor
-Campo neutral
-Espiritu: Ilusionats (6)
-Confiança: Alta (7)
Entrenador NEUTRO</t>
        </r>
      </text>
    </comment>
    <comment ref="H8" authorId="0" shapeId="0" xr:uid="{00000000-0006-0000-0900-000003000000}">
      <text>
        <r>
          <rPr>
            <b/>
            <sz val="8"/>
            <color indexed="81"/>
            <rFont val="Tahoma"/>
            <family val="2"/>
          </rPr>
          <t>Debe ser bajo, muy bajo</t>
        </r>
      </text>
    </comment>
    <comment ref="H10" authorId="0" shapeId="0" xr:uid="{00000000-0006-0000-0900-000004000000}">
      <text>
        <r>
          <rPr>
            <b/>
            <sz val="8"/>
            <color indexed="81"/>
            <rFont val="Tahoma"/>
            <family val="2"/>
          </rPr>
          <t>Debe ser bajo, muy bajo</t>
        </r>
      </text>
    </comment>
    <comment ref="H19" authorId="0" shapeId="0" xr:uid="{00000000-0006-0000-0900-000005000000}">
      <text>
        <r>
          <rPr>
            <b/>
            <sz val="8"/>
            <color indexed="81"/>
            <rFont val="Tahoma"/>
            <family val="2"/>
          </rPr>
          <t>Debe ser Alto, bastante Alto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6" authorId="0" shapeId="0" xr:uid="{00000000-0006-0000-1300-000001000000}">
      <text>
        <r>
          <rPr>
            <b/>
            <sz val="8"/>
            <color indexed="81"/>
            <rFont val="Tahoma"/>
            <family val="2"/>
          </rPr>
          <t>Autor:</t>
        </r>
        <r>
          <rPr>
            <sz val="8"/>
            <color indexed="81"/>
            <rFont val="Tahoma"/>
            <family val="2"/>
          </rPr>
          <t xml:space="preserve">
CopaR1</t>
        </r>
      </text>
    </comment>
    <comment ref="S12" authorId="0" shapeId="0" xr:uid="{00000000-0006-0000-1300-000002000000}">
      <text>
        <r>
          <rPr>
            <b/>
            <sz val="8"/>
            <color indexed="81"/>
            <rFont val="Tahoma"/>
            <family val="2"/>
          </rPr>
          <t>Autor:</t>
        </r>
        <r>
          <rPr>
            <sz val="8"/>
            <color indexed="81"/>
            <rFont val="Tahoma"/>
            <family val="2"/>
          </rPr>
          <t xml:space="preserve">
maximogoleador Blitzer VI190</t>
        </r>
      </text>
    </comment>
    <comment ref="E19" authorId="0" shapeId="0" xr:uid="{00000000-0006-0000-1300-00000300000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400-000001000000}">
      <text>
        <r>
          <rPr>
            <b/>
            <sz val="8"/>
            <color indexed="81"/>
            <rFont val="Tahoma"/>
            <family val="2"/>
          </rPr>
          <t>Autor:</t>
        </r>
        <r>
          <rPr>
            <sz val="8"/>
            <color indexed="81"/>
            <rFont val="Tahoma"/>
            <family val="2"/>
          </rPr>
          <t xml:space="preserve">
Compra+Primer sueldo</t>
        </r>
      </text>
    </comment>
    <comment ref="E9" authorId="0" shapeId="0" xr:uid="{00000000-0006-0000-14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4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400-000004000000}">
      <text>
        <r>
          <rPr>
            <b/>
            <sz val="8"/>
            <color indexed="81"/>
            <rFont val="Tahoma"/>
            <family val="2"/>
          </rPr>
          <t>Autor:</t>
        </r>
        <r>
          <rPr>
            <sz val="8"/>
            <color indexed="81"/>
            <rFont val="Tahoma"/>
            <family val="2"/>
          </rPr>
          <t xml:space="preserve">
Ingresos anuales - Pagos anuales</t>
        </r>
      </text>
    </comment>
    <comment ref="C18" authorId="0" shapeId="0" xr:uid="{00000000-0006-0000-1400-000005000000}">
      <text>
        <r>
          <rPr>
            <b/>
            <sz val="8"/>
            <color indexed="81"/>
            <rFont val="Tahoma"/>
            <family val="2"/>
          </rPr>
          <t>Venta sin Comisiones</t>
        </r>
      </text>
    </comment>
    <comment ref="F20" authorId="0" shapeId="0" xr:uid="{00000000-0006-0000-1400-00000600000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19" authorId="0" shapeId="0" xr:uid="{00000000-0006-0000-1500-00000100000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600-000001000000}">
      <text>
        <r>
          <rPr>
            <b/>
            <sz val="8"/>
            <color indexed="81"/>
            <rFont val="Tahoma"/>
            <family val="2"/>
          </rPr>
          <t>Autor:</t>
        </r>
        <r>
          <rPr>
            <sz val="8"/>
            <color indexed="81"/>
            <rFont val="Tahoma"/>
            <family val="2"/>
          </rPr>
          <t xml:space="preserve">
Compra+Primer sueldo</t>
        </r>
      </text>
    </comment>
    <comment ref="E9" authorId="0" shapeId="0" xr:uid="{00000000-0006-0000-16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6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600-000004000000}">
      <text>
        <r>
          <rPr>
            <b/>
            <sz val="8"/>
            <color indexed="81"/>
            <rFont val="Tahoma"/>
            <family val="2"/>
          </rPr>
          <t>Autor:</t>
        </r>
        <r>
          <rPr>
            <sz val="8"/>
            <color indexed="81"/>
            <rFont val="Tahoma"/>
            <family val="2"/>
          </rPr>
          <t xml:space="preserve">
Ingresos anuales - Pagos anuales</t>
        </r>
      </text>
    </comment>
    <comment ref="C18" authorId="0" shapeId="0" xr:uid="{00000000-0006-0000-1600-000005000000}">
      <text>
        <r>
          <rPr>
            <b/>
            <sz val="8"/>
            <color indexed="81"/>
            <rFont val="Tahoma"/>
            <family val="2"/>
          </rPr>
          <t>Venta sin Comisiones</t>
        </r>
      </text>
    </comment>
    <comment ref="F20" authorId="0" shapeId="0" xr:uid="{00000000-0006-0000-1600-00000600000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800-000001000000}">
      <text>
        <r>
          <rPr>
            <b/>
            <sz val="8"/>
            <color indexed="81"/>
            <rFont val="Tahoma"/>
            <family val="2"/>
          </rPr>
          <t>Autor:</t>
        </r>
        <r>
          <rPr>
            <sz val="8"/>
            <color indexed="81"/>
            <rFont val="Tahoma"/>
            <family val="2"/>
          </rPr>
          <t xml:space="preserve">
Compra+Primer sueldo</t>
        </r>
      </text>
    </comment>
    <comment ref="E9" authorId="0" shapeId="0" xr:uid="{00000000-0006-0000-18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8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800-000004000000}">
      <text>
        <r>
          <rPr>
            <b/>
            <sz val="8"/>
            <color indexed="81"/>
            <rFont val="Tahoma"/>
            <family val="2"/>
          </rPr>
          <t>Autor:</t>
        </r>
        <r>
          <rPr>
            <sz val="8"/>
            <color indexed="81"/>
            <rFont val="Tahoma"/>
            <family val="2"/>
          </rPr>
          <t xml:space="preserve">
Ingresos anuales - Pagos anuales</t>
        </r>
      </text>
    </comment>
    <comment ref="C18" authorId="0" shapeId="0" xr:uid="{00000000-0006-0000-1800-000005000000}">
      <text>
        <r>
          <rPr>
            <b/>
            <sz val="8"/>
            <color indexed="81"/>
            <rFont val="Tahoma"/>
            <family val="2"/>
          </rPr>
          <t>Venta sin Comisiones</t>
        </r>
      </text>
    </comment>
    <comment ref="F20" authorId="0" shapeId="0" xr:uid="{00000000-0006-0000-1800-00000600000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<sst xmlns="http://schemas.openxmlformats.org/spreadsheetml/2006/main" count="4177" uniqueCount="880">
  <si>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</si>
  <si>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</si>
  <si>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</si>
  <si>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</si>
  <si>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</si>
  <si>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</si>
  <si>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</si>
  <si>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</si>
  <si>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</si>
  <si>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</si>
  <si>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</si>
  <si>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</si>
  <si>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</si>
  <si>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</si>
  <si>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</si>
  <si>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</si>
  <si>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</si>
  <si>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</si>
  <si>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</si>
  <si>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</si>
  <si>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</si>
  <si>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</si>
  <si>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</si>
  <si>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</si>
  <si>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</si>
  <si>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</si>
  <si>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</si>
  <si>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</si>
  <si>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</si>
  <si>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</si>
  <si>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</si>
  <si>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</si>
  <si>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</si>
  <si>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</si>
  <si>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</si>
  <si>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</si>
  <si>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</si>
  <si>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</si>
  <si>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</si>
  <si>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</si>
  <si>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</si>
  <si>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</si>
  <si>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</si>
  <si>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</si>
  <si>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</si>
  <si>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</si>
  <si>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</si>
  <si>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</si>
  <si>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</si>
  <si>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</si>
  <si>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</si>
  <si>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</si>
  <si>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</si>
  <si>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</si>
  <si>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</si>
  <si>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</si>
  <si>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</si>
  <si>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</si>
  <si>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</si>
  <si>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</si>
  <si>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</si>
  <si>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</si>
  <si>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</si>
  <si>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</si>
  <si>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</si>
  <si>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</si>
  <si>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</si>
  <si>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</si>
  <si>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</si>
  <si>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</si>
  <si>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</si>
  <si>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</si>
  <si>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</si>
  <si>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</si>
  <si>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</si>
  <si>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</si>
  <si>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</si>
  <si>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</si>
  <si>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</si>
  <si>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</si>
  <si>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</si>
  <si>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</si>
  <si>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</si>
  <si>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</si>
  <si>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</si>
  <si>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</si>
  <si>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</si>
  <si>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</si>
  <si>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</si>
  <si>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</si>
  <si>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</si>
  <si>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</si>
  <si>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</si>
  <si>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</si>
  <si>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</si>
  <si>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</si>
  <si>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</si>
  <si>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</si>
  <si>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</si>
  <si>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</si>
  <si>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</si>
  <si>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</si>
  <si>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</si>
  <si>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</si>
  <si>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</si>
  <si>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</si>
  <si>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</si>
  <si>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</si>
  <si>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</si>
  <si>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</si>
  <si>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</si>
  <si>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</si>
  <si>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</si>
  <si>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</si>
  <si>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</si>
  <si>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</si>
  <si>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</si>
  <si>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</si>
  <si>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</si>
  <si>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</si>
  <si>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</si>
  <si>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</si>
  <si>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</si>
  <si>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</si>
  <si>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</si>
  <si>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</si>
  <si>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</si>
  <si>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</si>
  <si>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</si>
  <si>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</si>
  <si>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</si>
  <si>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</si>
  <si>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</si>
  <si>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</si>
  <si>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</si>
  <si>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</si>
  <si>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</si>
  <si>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</si>
  <si>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</si>
  <si>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</si>
  <si>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</si>
  <si>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</si>
  <si>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</si>
  <si>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</si>
  <si>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</si>
  <si>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</si>
  <si>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</si>
  <si>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</si>
  <si>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</si>
  <si>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</si>
  <si>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</si>
  <si>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</si>
  <si>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</si>
  <si>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</si>
  <si>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</si>
  <si>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</si>
  <si>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</si>
  <si>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</si>
  <si>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</si>
  <si>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</si>
  <si>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</si>
  <si>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</si>
  <si>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</si>
  <si>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</si>
  <si>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</si>
  <si>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</si>
  <si>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</si>
  <si>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</si>
  <si>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</si>
  <si>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</si>
  <si>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</si>
  <si>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</si>
  <si>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</si>
  <si>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</si>
  <si>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</si>
  <si>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</si>
  <si>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</si>
  <si>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</si>
  <si>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</si>
  <si>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</si>
  <si>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</si>
  <si>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</si>
  <si>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</si>
  <si>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</si>
  <si>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</si>
  <si>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</si>
  <si>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</si>
  <si>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</si>
  <si>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</si>
  <si>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</si>
  <si>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</si>
  <si>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</si>
  <si>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</si>
  <si>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</si>
  <si>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</si>
  <si>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</si>
  <si>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</si>
  <si>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</si>
  <si>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</si>
  <si>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</si>
  <si>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</si>
  <si>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</si>
  <si>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</si>
  <si>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</si>
  <si>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</si>
  <si>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</si>
  <si>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</si>
  <si>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</si>
  <si>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</si>
  <si>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</si>
  <si>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</si>
  <si>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</si>
  <si>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</si>
  <si>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</si>
  <si>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</si>
  <si>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</si>
  <si>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</si>
  <si>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</si>
  <si>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</si>
  <si>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</si>
  <si>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</si>
  <si>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</si>
  <si>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</si>
  <si>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</si>
  <si>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</si>
  <si>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</si>
  <si>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</si>
  <si>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</si>
  <si>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</si>
  <si>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</si>
  <si>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</si>
  <si>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</si>
  <si>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</si>
  <si>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</si>
  <si>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</si>
  <si>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</si>
  <si>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</si>
  <si>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</si>
  <si>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</si>
  <si>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</si>
  <si>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</si>
  <si>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</si>
  <si>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</si>
  <si>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</si>
  <si>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</si>
  <si>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</si>
  <si>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</si>
  <si>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</si>
  <si>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</si>
  <si>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</si>
  <si>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</si>
  <si>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</si>
  <si>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</si>
  <si>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</si>
  <si>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</si>
  <si>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</si>
  <si>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</si>
  <si>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</si>
  <si>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</si>
  <si>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</si>
  <si>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</si>
  <si>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</si>
  <si>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</si>
  <si>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</si>
  <si>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</si>
  <si>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</si>
  <si>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</si>
  <si>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</si>
  <si>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</si>
  <si>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</si>
  <si>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</si>
  <si>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</si>
  <si>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</si>
  <si>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</si>
  <si>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</si>
  <si>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</si>
  <si>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</si>
  <si>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</si>
  <si>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</si>
  <si>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</si>
  <si>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</si>
  <si>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</si>
  <si>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</si>
  <si>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</si>
  <si>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</si>
  <si>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</si>
  <si>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</si>
  <si>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</si>
  <si>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</si>
  <si>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</si>
  <si>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</si>
  <si>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</si>
  <si>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</si>
  <si>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</si>
  <si>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</si>
  <si>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</si>
  <si>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</si>
  <si>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</si>
  <si>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</si>
  <si>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</si>
  <si>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</si>
  <si>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</si>
  <si>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</si>
  <si>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</si>
  <si>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</si>
  <si>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</si>
  <si>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</si>
  <si>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</si>
  <si>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</si>
  <si>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</si>
  <si>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</si>
  <si>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</si>
  <si>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</si>
  <si>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</si>
  <si>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</si>
  <si>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</si>
  <si>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</si>
  <si>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</si>
  <si>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</si>
  <si>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</si>
  <si>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</si>
  <si>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</si>
  <si>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</si>
  <si>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</si>
  <si>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</si>
  <si>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</si>
  <si>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</si>
  <si>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</si>
  <si>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</si>
  <si>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</si>
  <si>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</si>
  <si>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</si>
  <si>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</si>
  <si>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</si>
  <si>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</si>
  <si>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</si>
  <si>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</si>
  <si>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</si>
  <si>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</si>
  <si>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</si>
  <si>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</si>
  <si>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</si>
  <si>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</si>
  <si>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</si>
  <si>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</si>
  <si>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</si>
  <si>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</si>
  <si>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</si>
  <si>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</si>
  <si>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</si>
  <si>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</si>
  <si>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</si>
  <si>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</si>
  <si>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</si>
  <si>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</si>
  <si>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</si>
  <si>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</si>
  <si>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</si>
  <si>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</si>
  <si>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</si>
  <si>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</si>
  <si>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</si>
  <si>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</si>
  <si>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</si>
  <si>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</si>
  <si>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</si>
  <si>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</si>
  <si>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</si>
  <si>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</si>
  <si>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</si>
  <si>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</si>
  <si>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</si>
  <si>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</si>
  <si>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</si>
  <si>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</si>
  <si>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</si>
  <si>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</si>
  <si>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</si>
  <si>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</si>
  <si>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</si>
  <si>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</si>
  <si>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</si>
  <si>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</si>
  <si>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</si>
  <si>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</si>
  <si>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</si>
  <si>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</si>
  <si>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</si>
  <si>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</si>
  <si>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</si>
  <si>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</si>
  <si>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</si>
  <si>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</si>
  <si>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</si>
  <si>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</si>
  <si>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</si>
  <si>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</si>
  <si>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</si>
  <si>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</si>
  <si>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</si>
  <si>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</si>
  <si>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</si>
  <si>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</si>
  <si>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</si>
  <si>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</si>
  <si>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</si>
  <si>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</si>
  <si>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</si>
  <si>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</si>
  <si>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</si>
  <si>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</si>
  <si>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</si>
  <si>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</si>
  <si>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</si>
  <si>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</si>
  <si>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</si>
  <si>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</si>
  <si>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</si>
  <si>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</si>
  <si>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</si>
  <si>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</si>
  <si>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</si>
  <si>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</si>
  <si>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</si>
  <si>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BALANCE DE SITUACION T43</t>
  </si>
  <si>
    <t>Transferencias de jugadores T4</t>
  </si>
  <si>
    <t>ByP T42</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</si>
  <si>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</si>
  <si>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</si>
  <si>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</si>
  <si>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</si>
  <si>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</si>
  <si>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</si>
  <si>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</si>
  <si>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</si>
  <si>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</si>
  <si>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</si>
  <si>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</si>
  <si>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</si>
  <si>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DC</t>
  </si>
  <si>
    <t>20(72)</t>
  </si>
  <si>
    <t>Mejor Partido</t>
  </si>
  <si>
    <t>Casa</t>
  </si>
  <si>
    <t>Fecha Actualizacion</t>
  </si>
  <si>
    <t>Porteria Imbatuda</t>
  </si>
  <si>
    <t>Més vegades Capità</t>
  </si>
  <si>
    <t>Gols Marcats</t>
  </si>
  <si>
    <t>Julián Limón</t>
  </si>
  <si>
    <t>Duncan Toh</t>
  </si>
  <si>
    <t>Clayton Rojas</t>
  </si>
  <si>
    <t>20(41)</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</si>
  <si>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</si>
  <si>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</si>
  <si>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</si>
  <si>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</si>
  <si>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</si>
  <si>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</si>
  <si>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</si>
  <si>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</si>
  <si>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</si>
  <si>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</si>
  <si>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</si>
  <si>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</si>
  <si>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</si>
  <si>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</si>
  <si>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</si>
  <si>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</si>
  <si>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</si>
  <si>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</si>
  <si>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</si>
  <si>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</si>
  <si>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</si>
  <si>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</si>
  <si>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Eugene Toney</t>
  </si>
  <si>
    <t>20(82)</t>
  </si>
  <si>
    <t>20(89)</t>
  </si>
  <si>
    <t>Lawrence Bauman</t>
  </si>
  <si>
    <t>20(87)</t>
  </si>
  <si>
    <t>20(53)</t>
  </si>
  <si>
    <t>Ability</t>
  </si>
  <si>
    <t>20(60)</t>
  </si>
  <si>
    <t>20(62)</t>
  </si>
  <si>
    <t>Horrible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</si>
  <si>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</si>
  <si>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</si>
  <si>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</si>
  <si>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</si>
  <si>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</si>
  <si>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</si>
  <si>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</si>
  <si>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</si>
  <si>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</si>
  <si>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</si>
  <si>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</si>
  <si>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</si>
  <si>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</si>
  <si>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</si>
  <si>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</si>
  <si>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</si>
  <si>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</si>
  <si>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</si>
  <si>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</si>
  <si>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</si>
  <si>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</si>
  <si>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</si>
  <si>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</si>
  <si>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</si>
  <si>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</si>
  <si>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</si>
  <si>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</si>
  <si>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</si>
  <si>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</si>
  <si>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</si>
  <si>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</si>
  <si>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</si>
  <si>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</si>
  <si>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</si>
  <si>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</si>
  <si>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</si>
  <si>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</si>
  <si>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</si>
  <si>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</si>
  <si>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</si>
  <si>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</si>
  <si>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</si>
  <si>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</si>
  <si>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</si>
  <si>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</si>
  <si>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</si>
  <si>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</si>
  <si>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</si>
  <si>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</si>
  <si>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</si>
  <si>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</si>
  <si>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</si>
  <si>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</si>
  <si>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</si>
  <si>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</si>
  <si>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</si>
  <si>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</si>
  <si>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</si>
  <si>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</si>
  <si>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</si>
  <si>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</si>
  <si>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</si>
  <si>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</si>
  <si>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</si>
  <si>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</si>
  <si>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</si>
  <si>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</si>
  <si>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</si>
  <si>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</si>
  <si>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</si>
  <si>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</si>
  <si>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</si>
  <si>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</si>
  <si>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</si>
  <si>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Cantera</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</si>
  <si>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</si>
  <si>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</si>
  <si>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</si>
  <si>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</si>
  <si>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</si>
  <si>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</si>
  <si>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</si>
  <si>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</si>
  <si>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</si>
  <si>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</si>
  <si>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</si>
  <si>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</si>
  <si>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</si>
  <si>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</si>
  <si>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</si>
  <si>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</si>
  <si>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</si>
  <si>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</si>
  <si>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</si>
  <si>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</si>
  <si>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</si>
  <si>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</si>
  <si>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</si>
  <si>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</si>
  <si>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</si>
  <si>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</si>
  <si>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</si>
  <si>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</si>
  <si>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</si>
  <si>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</si>
  <si>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</si>
  <si>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</si>
  <si>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</si>
  <si>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</si>
  <si>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</si>
  <si>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</si>
  <si>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</si>
  <si>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</si>
  <si>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</si>
  <si>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</si>
  <si>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</si>
  <si>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</si>
  <si>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</si>
  <si>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</si>
  <si>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</si>
  <si>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</si>
  <si>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</si>
  <si>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</si>
  <si>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</si>
  <si>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</si>
  <si>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</si>
  <si>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</si>
  <si>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</si>
  <si>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</si>
  <si>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</si>
  <si>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</si>
  <si>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</si>
  <si>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</si>
  <si>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</si>
  <si>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</si>
  <si>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</si>
  <si>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</si>
  <si>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</si>
  <si>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</si>
  <si>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</si>
  <si>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</si>
  <si>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</si>
  <si>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</si>
  <si>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</si>
  <si>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</si>
  <si>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</si>
  <si>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</si>
  <si>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</si>
  <si>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</si>
  <si>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</si>
  <si>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</si>
  <si>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</si>
  <si>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</si>
  <si>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</si>
  <si>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</si>
  <si>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</si>
  <si>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</si>
  <si>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</si>
  <si>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</si>
  <si>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</si>
  <si>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</si>
  <si>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</si>
  <si>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</si>
  <si>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</si>
  <si>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</si>
  <si>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</si>
  <si>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</si>
  <si>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</si>
  <si>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</si>
  <si>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</si>
  <si>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</si>
  <si>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</si>
  <si>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</si>
  <si>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</si>
  <si>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</si>
  <si>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</si>
  <si>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</si>
  <si>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</si>
  <si>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</si>
  <si>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</si>
  <si>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</si>
  <si>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</si>
  <si>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</si>
  <si>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</si>
  <si>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</si>
  <si>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</si>
  <si>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</si>
  <si>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</si>
  <si>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</si>
  <si>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</si>
  <si>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</si>
  <si>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</si>
  <si>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</si>
  <si>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</si>
  <si>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</si>
  <si>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</si>
  <si>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</si>
  <si>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</si>
  <si>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</si>
  <si>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</si>
  <si>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</si>
  <si>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</si>
  <si>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</si>
  <si>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</si>
  <si>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</si>
  <si>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</si>
  <si>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</si>
  <si>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</si>
  <si>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</si>
  <si>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</si>
  <si>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</si>
  <si>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</si>
  <si>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</si>
  <si>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</si>
  <si>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</si>
  <si>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</si>
  <si>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</si>
  <si>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</si>
  <si>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</si>
  <si>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</si>
  <si>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</si>
  <si>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</si>
  <si>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</si>
  <si>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</si>
  <si>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</si>
  <si>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</si>
  <si>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</si>
  <si>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</si>
  <si>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</si>
  <si>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</si>
  <si>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</si>
  <si>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</si>
  <si>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</si>
  <si>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</si>
  <si>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</si>
  <si>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</si>
  <si>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</si>
  <si>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</si>
  <si>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</si>
  <si>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</si>
  <si>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</si>
  <si>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</si>
  <si>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</si>
  <si>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</si>
  <si>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</si>
  <si>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</si>
  <si>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</si>
  <si>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</si>
  <si>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</si>
  <si>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</si>
  <si>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</si>
  <si>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</si>
  <si>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</si>
  <si>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</si>
  <si>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</si>
  <si>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</si>
  <si>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</si>
  <si>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</si>
  <si>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</si>
  <si>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</si>
  <si>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</si>
  <si>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</si>
  <si>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</si>
  <si>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</si>
  <si>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</si>
  <si>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</si>
  <si>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</si>
  <si>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</si>
  <si>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</si>
  <si>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</si>
  <si>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</si>
  <si>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</si>
  <si>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</si>
  <si>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</si>
  <si>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</si>
  <si>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</si>
  <si>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</si>
  <si>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</si>
  <si>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</si>
  <si>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</si>
  <si>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</si>
  <si>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</si>
  <si>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</si>
  <si>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</si>
  <si>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</si>
  <si>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</si>
  <si>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</si>
  <si>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</si>
  <si>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</si>
  <si>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</si>
  <si>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</si>
  <si>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</si>
  <si>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</si>
  <si>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</si>
  <si>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</si>
  <si>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</si>
  <si>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</si>
  <si>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</si>
  <si>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</si>
  <si>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</si>
  <si>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</si>
  <si>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</si>
  <si>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</si>
  <si>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</si>
  <si>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</si>
  <si>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</si>
  <si>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</si>
  <si>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</si>
  <si>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</si>
  <si>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25(27)</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</si>
  <si>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</si>
  <si>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</si>
  <si>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</si>
  <si>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</si>
  <si>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</si>
  <si>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</si>
  <si>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</si>
  <si>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</si>
  <si>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</si>
  <si>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</si>
  <si>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</si>
  <si>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</si>
  <si>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</si>
  <si>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</si>
  <si>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</si>
  <si>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</si>
  <si>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</si>
  <si>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</si>
  <si>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</si>
  <si>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</si>
  <si>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</si>
  <si>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</si>
  <si>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</si>
  <si>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</si>
  <si>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</si>
  <si>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</si>
  <si>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</si>
  <si>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</si>
  <si>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</si>
  <si>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</si>
  <si>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</si>
  <si>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</si>
  <si>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</si>
  <si>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</si>
  <si>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</si>
  <si>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</si>
  <si>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</si>
  <si>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</si>
  <si>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</si>
  <si>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</si>
  <si>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</si>
  <si>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</si>
  <si>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</si>
  <si>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</si>
  <si>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</si>
  <si>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</si>
  <si>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</si>
  <si>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</si>
  <si>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</si>
  <si>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</si>
  <si>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</si>
  <si>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</si>
  <si>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</si>
  <si>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</si>
  <si>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</si>
  <si>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</si>
  <si>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</si>
  <si>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</si>
  <si>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</si>
  <si>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</si>
  <si>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</si>
  <si>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</si>
  <si>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</si>
  <si>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</si>
  <si>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</si>
  <si>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</si>
  <si>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</si>
  <si>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</si>
  <si>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</si>
  <si>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</si>
  <si>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</si>
  <si>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</si>
  <si>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11,5*</t>
  </si>
  <si>
    <t>8,5*</t>
  </si>
  <si>
    <t>#</t>
  </si>
  <si>
    <t>G. Kerschl</t>
  </si>
  <si>
    <t>G/P</t>
  </si>
  <si>
    <t>Xpe/16,5</t>
  </si>
  <si>
    <t>(xpc * lid^2) ^ (2/3) / 27</t>
  </si>
  <si>
    <t>Gerolf Kerschl</t>
  </si>
  <si>
    <t>Fcompra</t>
  </si>
  <si>
    <t>10,5*</t>
  </si>
  <si>
    <t>14*</t>
  </si>
  <si>
    <t>532hts</t>
  </si>
  <si>
    <t>529hts</t>
  </si>
  <si>
    <t>Obiwan-Antioch</t>
  </si>
  <si>
    <t>FC Mariannah - Obiwan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</si>
</sst>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9"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
      <i/>
      <u/>
      <sz val="11"/>
      <color theme="8" tint="-0.499984740745262"/>
      <name val="Calibri"/>
      <family val="2"/>
      <scheme val="minor"/>
    </font>
    <font>
      <b/>
      <sz val="8"/>
      <color rgb="FF00B050"/>
      <name val="Verdana"/>
      <family val="2"/>
    </font>
    <font>
      <sz val="8"/>
      <color rgb="FF00B050"/>
      <name val="Verdana"/>
      <family val="2"/>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41">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3"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9"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0"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5" fillId="38"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5" fillId="39" borderId="0" xfId="0" applyFont="1" applyFill="1" applyBorder="1" applyAlignment="1">
      <alignment horizontal="center" vertical="top" wrapText="1"/>
    </xf>
    <xf numFmtId="0" fontId="45" fillId="38" borderId="0" xfId="0" applyFont="1" applyFill="1" applyBorder="1" applyAlignment="1">
      <alignment horizontal="center" vertical="top" wrapText="1"/>
    </xf>
    <xf numFmtId="166" fontId="47"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8" fillId="40" borderId="0" xfId="0" applyNumberFormat="1" applyFont="1" applyFill="1" applyBorder="1" applyAlignment="1">
      <alignment horizontal="center" vertical="top" wrapText="1"/>
    </xf>
    <xf numFmtId="0" fontId="48" fillId="39" borderId="1" xfId="0" applyFont="1" applyFill="1" applyBorder="1" applyAlignment="1">
      <alignment horizontal="center" vertical="top" wrapText="1"/>
    </xf>
    <xf numFmtId="0" fontId="48"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0" fillId="0" borderId="0" xfId="5" applyFont="1" applyFill="1"/>
    <xf numFmtId="0" fontId="50" fillId="0" borderId="0" xfId="5" applyFont="1"/>
    <xf numFmtId="0" fontId="36" fillId="0" borderId="0" xfId="5" applyFont="1" applyFill="1"/>
    <xf numFmtId="0" fontId="42" fillId="0" borderId="0" xfId="0" applyFont="1" applyFill="1" applyBorder="1" applyAlignment="1">
      <alignment horizontal="center" vertical="center"/>
    </xf>
    <xf numFmtId="0" fontId="35" fillId="0" borderId="0" xfId="5" applyFont="1" applyFill="1" applyBorder="1" applyAlignment="1">
      <alignment horizontal="left"/>
    </xf>
    <xf numFmtId="0" fontId="35" fillId="0" borderId="0" xfId="5" applyFont="1" applyFill="1" applyBorder="1" applyAlignment="1">
      <alignment horizontal="center"/>
    </xf>
    <xf numFmtId="0" fontId="7" fillId="0" borderId="0" xfId="0" applyFont="1"/>
    <xf numFmtId="0" fontId="51" fillId="0" borderId="0" xfId="5" applyFont="1" applyFill="1"/>
    <xf numFmtId="1" fontId="0" fillId="9" borderId="9" xfId="0" applyNumberFormat="1" applyFill="1"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52" fillId="0" borderId="0" xfId="5" applyFont="1"/>
    <xf numFmtId="0" fontId="0" fillId="0" borderId="1" xfId="0" applyFont="1" applyBorder="1"/>
    <xf numFmtId="169" fontId="53"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5" fillId="0" borderId="0" xfId="0" applyFont="1"/>
    <xf numFmtId="0" fontId="56" fillId="0" borderId="1" xfId="0" applyFont="1" applyBorder="1" applyAlignment="1">
      <alignment wrapText="1"/>
    </xf>
    <xf numFmtId="0" fontId="56" fillId="0" borderId="0" xfId="0" applyFont="1"/>
    <xf numFmtId="0" fontId="57" fillId="0" borderId="0" xfId="0" applyFont="1"/>
    <xf numFmtId="0" fontId="56"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6" fillId="0" borderId="8" xfId="0" applyFont="1" applyBorder="1" applyAlignment="1">
      <alignment wrapText="1"/>
    </xf>
    <xf numFmtId="0" fontId="56"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6" fillId="0" borderId="0" xfId="5" applyFont="1" applyFill="1" applyAlignment="1">
      <alignment horizontal="center"/>
    </xf>
    <xf numFmtId="0" fontId="38" fillId="0" borderId="0" xfId="5" applyFont="1" applyFill="1" applyAlignment="1">
      <alignment horizontal="center"/>
    </xf>
    <xf numFmtId="0" fontId="32" fillId="0" borderId="1" xfId="0" applyFont="1" applyFill="1" applyBorder="1"/>
    <xf numFmtId="2" fontId="58" fillId="0" borderId="0" xfId="0" applyNumberFormat="1" applyFont="1"/>
    <xf numFmtId="0" fontId="59"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7"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6" fillId="0" borderId="0" xfId="5" applyNumberFormat="1" applyFont="1" applyFill="1" applyBorder="1" applyAlignment="1">
      <alignment horizontal="center"/>
    </xf>
    <xf numFmtId="0" fontId="30" fillId="22" borderId="1" xfId="0" applyFont="1" applyFill="1" applyBorder="1" applyAlignment="1"/>
    <xf numFmtId="0" fontId="41" fillId="37" borderId="1" xfId="0" applyFont="1" applyFill="1" applyBorder="1" applyAlignment="1">
      <alignment horizontal="center" vertical="center"/>
    </xf>
    <xf numFmtId="0" fontId="42" fillId="37" borderId="1" xfId="0" applyFont="1" applyFill="1" applyBorder="1" applyAlignment="1">
      <alignment horizontal="center" vertical="center"/>
    </xf>
    <xf numFmtId="0" fontId="41" fillId="37" borderId="1" xfId="0" applyFont="1" applyFill="1" applyBorder="1" applyAlignment="1">
      <alignment horizontal="right" vertical="center"/>
    </xf>
    <xf numFmtId="0" fontId="49" fillId="28" borderId="1" xfId="0" applyFont="1" applyFill="1" applyBorder="1" applyAlignment="1">
      <alignment horizontal="center" vertical="center"/>
    </xf>
    <xf numFmtId="1" fontId="54" fillId="23" borderId="1" xfId="0" applyNumberFormat="1" applyFont="1" applyFill="1" applyBorder="1" applyAlignment="1">
      <alignment horizontal="left" vertical="center"/>
    </xf>
    <xf numFmtId="0" fontId="37" fillId="0" borderId="1" xfId="5" applyFont="1" applyBorder="1"/>
    <xf numFmtId="0" fontId="61"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4" fillId="29" borderId="1" xfId="0" applyNumberFormat="1" applyFont="1" applyFill="1" applyBorder="1" applyAlignment="1">
      <alignment horizontal="left" vertical="center"/>
    </xf>
    <xf numFmtId="164" fontId="14" fillId="0" borderId="0" xfId="2" applyNumberFormat="1" applyFont="1"/>
    <xf numFmtId="0" fontId="62" fillId="0" borderId="0" xfId="5" applyFont="1" applyFill="1" applyBorder="1" applyAlignment="1">
      <alignment horizontal="center"/>
    </xf>
    <xf numFmtId="171" fontId="60" fillId="0" borderId="1" xfId="3" applyNumberFormat="1" applyFont="1" applyBorder="1" applyAlignment="1">
      <alignment horizontal="center"/>
    </xf>
    <xf numFmtId="0" fontId="0" fillId="0" borderId="0" xfId="0" applyAlignment="1">
      <alignment horizontal="center"/>
    </xf>
    <xf numFmtId="168" fontId="63" fillId="0" borderId="0" xfId="0" applyNumberFormat="1" applyFont="1" applyAlignment="1">
      <alignment horizontal="right"/>
    </xf>
    <xf numFmtId="169" fontId="36" fillId="0" borderId="0" xfId="5" applyNumberFormat="1" applyFont="1" applyFill="1" applyBorder="1" applyAlignment="1"/>
    <xf numFmtId="171" fontId="49" fillId="29" borderId="1" xfId="3" applyNumberFormat="1" applyFont="1" applyFill="1" applyBorder="1" applyAlignment="1">
      <alignment horizontal="right" vertical="center"/>
    </xf>
    <xf numFmtId="171" fontId="54"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4"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0" fillId="0" borderId="0" xfId="0" applyAlignment="1">
      <alignment wrapText="1"/>
    </xf>
    <xf numFmtId="2" fontId="58" fillId="0" borderId="0" xfId="0" applyNumberFormat="1" applyFont="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49" fillId="24" borderId="1" xfId="0" applyFont="1" applyFill="1" applyBorder="1" applyAlignment="1">
      <alignment horizontal="center" vertical="center"/>
    </xf>
    <xf numFmtId="14" fontId="0" fillId="0" borderId="1" xfId="0" applyNumberFormat="1" applyBorder="1" applyAlignment="1">
      <alignment horizontal="center"/>
    </xf>
    <xf numFmtId="169" fontId="37" fillId="0" borderId="1" xfId="5" applyNumberFormat="1" applyFont="1" applyFill="1" applyBorder="1" applyAlignment="1">
      <alignment horizontal="center"/>
    </xf>
    <xf numFmtId="169" fontId="36" fillId="0" borderId="1" xfId="5" applyNumberFormat="1" applyFont="1" applyFill="1" applyBorder="1" applyAlignment="1">
      <alignment horizontal="center"/>
    </xf>
    <xf numFmtId="168" fontId="36"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4"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2" fillId="0" borderId="1" xfId="0" applyFont="1" applyBorder="1"/>
    <xf numFmtId="169" fontId="64" fillId="0" borderId="1" xfId="0" applyNumberFormat="1" applyFont="1" applyBorder="1"/>
    <xf numFmtId="0" fontId="61" fillId="30" borderId="1" xfId="5" applyFont="1" applyFill="1" applyBorder="1" applyAlignment="1">
      <alignment horizontal="right"/>
    </xf>
    <xf numFmtId="0" fontId="54" fillId="26" borderId="1" xfId="0" applyFont="1" applyFill="1" applyBorder="1" applyAlignment="1">
      <alignment horizontal="left" vertical="center"/>
    </xf>
    <xf numFmtId="0" fontId="54" fillId="29" borderId="1" xfId="0" applyFont="1" applyFill="1" applyBorder="1" applyAlignment="1">
      <alignment horizontal="center" vertical="center"/>
    </xf>
    <xf numFmtId="169" fontId="54"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65" fillId="0" borderId="1" xfId="0" applyFont="1" applyFill="1" applyBorder="1" applyAlignment="1">
      <alignment horizontal="left" vertical="center"/>
    </xf>
    <xf numFmtId="1" fontId="54" fillId="26" borderId="1" xfId="0" applyNumberFormat="1" applyFont="1" applyFill="1" applyBorder="1" applyAlignment="1">
      <alignment horizontal="left" vertical="center"/>
    </xf>
    <xf numFmtId="0" fontId="66"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6" fillId="0" borderId="0" xfId="5" applyNumberFormat="1" applyFont="1" applyFill="1" applyAlignment="1">
      <alignment horizontal="center"/>
    </xf>
    <xf numFmtId="0" fontId="49" fillId="4" borderId="1" xfId="0" applyFont="1" applyFill="1" applyBorder="1" applyAlignment="1">
      <alignment horizontal="center" vertical="center"/>
    </xf>
    <xf numFmtId="0" fontId="41"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6" fillId="0" borderId="0" xfId="5" applyNumberFormat="1" applyFont="1" applyFill="1" applyAlignment="1">
      <alignment horizontal="center"/>
    </xf>
    <xf numFmtId="0" fontId="0" fillId="3" borderId="0" xfId="0" applyFill="1" applyAlignment="1">
      <alignment horizontal="center"/>
    </xf>
    <xf numFmtId="1" fontId="67"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1"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2" fillId="0" borderId="0" xfId="5" applyNumberFormat="1" applyFont="1"/>
    <xf numFmtId="0" fontId="36" fillId="0" borderId="1" xfId="5" applyFont="1" applyBorder="1" applyAlignment="1">
      <alignment horizontal="center"/>
    </xf>
    <xf numFmtId="0" fontId="68"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7" fillId="0" borderId="1" xfId="5" applyNumberFormat="1" applyFont="1" applyBorder="1"/>
    <xf numFmtId="170" fontId="61" fillId="0" borderId="1" xfId="5" applyNumberFormat="1" applyFont="1" applyFill="1" applyBorder="1"/>
    <xf numFmtId="170" fontId="0" fillId="0" borderId="1" xfId="0" applyNumberFormat="1" applyFont="1" applyBorder="1"/>
    <xf numFmtId="2" fontId="37" fillId="0" borderId="1" xfId="5" applyNumberFormat="1" applyFont="1" applyBorder="1"/>
    <xf numFmtId="2" fontId="61" fillId="0" borderId="1" xfId="5" applyNumberFormat="1" applyFont="1" applyFill="1" applyBorder="1"/>
    <xf numFmtId="2" fontId="0" fillId="0" borderId="1" xfId="0" applyNumberFormat="1" applyFont="1" applyBorder="1"/>
    <xf numFmtId="170" fontId="36" fillId="0" borderId="1" xfId="5" applyNumberFormat="1" applyFont="1" applyBorder="1"/>
    <xf numFmtId="2" fontId="36"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4"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8" fillId="30" borderId="1" xfId="5" applyFont="1" applyFill="1" applyBorder="1" applyAlignment="1">
      <alignment horizontal="right"/>
    </xf>
    <xf numFmtId="0" fontId="36" fillId="30" borderId="1" xfId="5" applyFont="1" applyFill="1" applyBorder="1" applyAlignment="1">
      <alignment horizontal="right"/>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69"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0" fillId="23" borderId="1" xfId="0" applyNumberFormat="1" applyFont="1" applyFill="1" applyBorder="1"/>
    <xf numFmtId="166" fontId="70" fillId="23" borderId="1" xfId="0" applyNumberFormat="1" applyFont="1" applyFill="1" applyBorder="1" applyAlignment="1">
      <alignment horizontal="center"/>
    </xf>
    <xf numFmtId="166" fontId="71" fillId="23" borderId="1" xfId="0" applyNumberFormat="1" applyFont="1" applyFill="1" applyBorder="1"/>
    <xf numFmtId="166" fontId="70" fillId="18" borderId="1" xfId="0" applyNumberFormat="1" applyFont="1" applyFill="1" applyBorder="1"/>
    <xf numFmtId="166" fontId="72" fillId="18" borderId="1" xfId="0" applyNumberFormat="1" applyFont="1" applyFill="1" applyBorder="1"/>
    <xf numFmtId="166" fontId="73"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6" fillId="0" borderId="0" xfId="0" applyFont="1" applyAlignment="1">
      <alignment horizontal="right"/>
    </xf>
    <xf numFmtId="166" fontId="56"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4" fillId="26" borderId="1" xfId="0" applyNumberFormat="1" applyFont="1" applyFill="1" applyBorder="1" applyAlignment="1">
      <alignment horizontal="left" vertical="center"/>
    </xf>
    <xf numFmtId="2" fontId="54" fillId="29" borderId="1" xfId="0" applyNumberFormat="1" applyFont="1" applyFill="1" applyBorder="1" applyAlignment="1">
      <alignment horizontal="left" vertical="center"/>
    </xf>
    <xf numFmtId="0" fontId="0" fillId="0" borderId="0" xfId="0" applyAlignment="1">
      <alignment horizontal="center"/>
    </xf>
    <xf numFmtId="0" fontId="74" fillId="42" borderId="0" xfId="0" applyFont="1" applyFill="1"/>
    <xf numFmtId="0" fontId="74" fillId="42" borderId="0" xfId="0" applyFont="1" applyFill="1" applyAlignment="1">
      <alignment horizontal="center"/>
    </xf>
    <xf numFmtId="0" fontId="74" fillId="9" borderId="0" xfId="0" applyFont="1" applyFill="1" applyAlignment="1">
      <alignment horizontal="center"/>
    </xf>
    <xf numFmtId="0" fontId="74" fillId="43" borderId="0" xfId="0" applyFont="1" applyFill="1" applyAlignment="1">
      <alignment horizontal="center"/>
    </xf>
    <xf numFmtId="0" fontId="74" fillId="44" borderId="0" xfId="0" applyFont="1" applyFill="1" applyAlignment="1">
      <alignment horizontal="center"/>
    </xf>
    <xf numFmtId="0" fontId="74" fillId="45" borderId="0" xfId="0" applyFont="1" applyFill="1" applyAlignment="1">
      <alignment horizontal="center"/>
    </xf>
    <xf numFmtId="0" fontId="74" fillId="46" borderId="0" xfId="0" applyFont="1" applyFill="1"/>
    <xf numFmtId="0" fontId="7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4" fillId="29" borderId="1" xfId="2" applyFont="1" applyFill="1" applyBorder="1" applyAlignment="1">
      <alignment horizontal="center" vertical="center"/>
    </xf>
    <xf numFmtId="9" fontId="36"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1" fillId="0" borderId="0" xfId="5" applyFont="1" applyAlignment="1">
      <alignment horizontal="center"/>
    </xf>
    <xf numFmtId="0" fontId="61" fillId="0" borderId="0" xfId="5" applyFont="1" applyFill="1" applyAlignment="1">
      <alignment horizontal="center"/>
    </xf>
    <xf numFmtId="0" fontId="37" fillId="0" borderId="0" xfId="5" applyFont="1" applyAlignment="1">
      <alignment horizontal="center"/>
    </xf>
    <xf numFmtId="14" fontId="61" fillId="0" borderId="0" xfId="5" applyNumberFormat="1" applyFont="1" applyAlignment="1">
      <alignment horizontal="center"/>
    </xf>
    <xf numFmtId="14" fontId="61" fillId="0" borderId="0" xfId="5" applyNumberFormat="1" applyFont="1" applyFill="1" applyAlignment="1">
      <alignment horizontal="center"/>
    </xf>
    <xf numFmtId="14" fontId="32" fillId="0" borderId="0" xfId="0" applyNumberFormat="1" applyFont="1" applyAlignment="1">
      <alignment horizontal="center"/>
    </xf>
    <xf numFmtId="14" fontId="37" fillId="0" borderId="0" xfId="5" applyNumberFormat="1" applyFont="1" applyAlignment="1">
      <alignment horizontal="center"/>
    </xf>
    <xf numFmtId="14" fontId="0" fillId="0" borderId="0" xfId="0" applyNumberFormat="1" applyFont="1" applyAlignment="1">
      <alignment horizontal="center"/>
    </xf>
    <xf numFmtId="1" fontId="76" fillId="0" borderId="0" xfId="0" applyNumberFormat="1" applyFont="1" applyFill="1" applyBorder="1"/>
    <xf numFmtId="1" fontId="51" fillId="0" borderId="0" xfId="5" applyNumberFormat="1" applyFont="1" applyFill="1" applyBorder="1"/>
    <xf numFmtId="1" fontId="50" fillId="0" borderId="0" xfId="5" applyNumberFormat="1" applyFont="1" applyFill="1" applyBorder="1"/>
    <xf numFmtId="0" fontId="27" fillId="29" borderId="8" xfId="0" applyFont="1" applyFill="1" applyBorder="1" applyAlignment="1">
      <alignment horizontal="center" vertical="center"/>
    </xf>
    <xf numFmtId="0" fontId="35" fillId="46" borderId="1" xfId="5" applyFont="1" applyFill="1" applyBorder="1" applyAlignment="1">
      <alignment horizontal="left"/>
    </xf>
    <xf numFmtId="1" fontId="50" fillId="0" borderId="1" xfId="5" applyNumberFormat="1" applyFont="1" applyFill="1" applyBorder="1" applyAlignment="1">
      <alignment horizontal="right"/>
    </xf>
    <xf numFmtId="1" fontId="76" fillId="0" borderId="1" xfId="0" applyNumberFormat="1" applyFont="1" applyFill="1" applyBorder="1"/>
    <xf numFmtId="1" fontId="50" fillId="0" borderId="1" xfId="5" applyNumberFormat="1" applyFont="1" applyFill="1" applyBorder="1"/>
    <xf numFmtId="1" fontId="75" fillId="0" borderId="1" xfId="5" applyNumberFormat="1" applyFont="1" applyFill="1" applyBorder="1" applyAlignment="1">
      <alignment horizontal="right"/>
    </xf>
    <xf numFmtId="1" fontId="75" fillId="0" borderId="1" xfId="5" applyNumberFormat="1" applyFont="1" applyFill="1" applyBorder="1"/>
    <xf numFmtId="0" fontId="0" fillId="0" borderId="0" xfId="0" applyAlignment="1">
      <alignment horizontal="center"/>
    </xf>
    <xf numFmtId="0" fontId="36"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7"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8" fillId="0" borderId="1" xfId="5" applyNumberFormat="1" applyFont="1" applyFill="1" applyBorder="1" applyAlignment="1">
      <alignment horizontal="center"/>
    </xf>
    <xf numFmtId="1" fontId="68" fillId="0" borderId="1" xfId="5" applyNumberFormat="1" applyFont="1" applyFill="1" applyBorder="1" applyAlignment="1">
      <alignment horizontal="right"/>
    </xf>
    <xf numFmtId="1" fontId="78"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4" fillId="29" borderId="1" xfId="2" applyNumberFormat="1" applyFont="1" applyFill="1" applyBorder="1" applyAlignment="1">
      <alignment horizontal="center" vertical="center"/>
    </xf>
    <xf numFmtId="0" fontId="61" fillId="0" borderId="0" xfId="5" applyNumberFormat="1" applyFont="1" applyAlignment="1">
      <alignment horizontal="center"/>
    </xf>
    <xf numFmtId="169" fontId="61"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2"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3" fillId="0" borderId="0" xfId="0" applyNumberFormat="1" applyFont="1" applyAlignment="1">
      <alignment vertical="center"/>
    </xf>
    <xf numFmtId="2" fontId="0" fillId="3" borderId="0" xfId="0" applyNumberFormat="1" applyFill="1"/>
    <xf numFmtId="169" fontId="82" fillId="12" borderId="0" xfId="0" applyNumberFormat="1" applyFont="1" applyFill="1"/>
    <xf numFmtId="0" fontId="0" fillId="0" borderId="0" xfId="0" applyAlignment="1">
      <alignment horizontal="center"/>
    </xf>
    <xf numFmtId="9" fontId="41" fillId="37" borderId="1" xfId="0" applyNumberFormat="1" applyFont="1" applyFill="1" applyBorder="1" applyAlignment="1">
      <alignment horizontal="center" vertical="center"/>
    </xf>
    <xf numFmtId="0" fontId="41" fillId="9" borderId="1" xfId="0" applyFont="1" applyFill="1" applyBorder="1" applyAlignment="1">
      <alignment horizontal="center" vertical="center"/>
    </xf>
    <xf numFmtId="9" fontId="41"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1" fillId="9" borderId="13" xfId="0" applyFont="1" applyFill="1" applyBorder="1" applyAlignment="1">
      <alignment horizontal="center" vertical="center"/>
    </xf>
    <xf numFmtId="0" fontId="0" fillId="0" borderId="0" xfId="0" applyAlignment="1">
      <alignment horizontal="center"/>
    </xf>
    <xf numFmtId="9" fontId="41"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5"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4"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1"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1" fillId="10" borderId="1" xfId="5" applyFont="1" applyFill="1" applyBorder="1" applyAlignment="1">
      <alignment horizontal="right"/>
    </xf>
    <xf numFmtId="0" fontId="37"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4" fillId="0" borderId="0" xfId="0" applyFont="1" applyAlignment="1">
      <alignment horizontal="center"/>
    </xf>
    <xf numFmtId="0" fontId="84" fillId="0" borderId="0" xfId="0" applyFont="1"/>
    <xf numFmtId="14" fontId="84" fillId="0" borderId="0" xfId="0" applyNumberFormat="1" applyFont="1"/>
    <xf numFmtId="0" fontId="85" fillId="0" borderId="0" xfId="0" applyFont="1" applyAlignment="1">
      <alignment horizontal="center"/>
    </xf>
    <xf numFmtId="164" fontId="84"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14" fontId="54" fillId="29" borderId="1" xfId="0" applyNumberFormat="1" applyFont="1" applyFill="1" applyBorder="1" applyAlignment="1">
      <alignment horizontal="center" vertical="center"/>
    </xf>
    <xf numFmtId="2" fontId="54"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NumberFormat="1" applyAlignment="1">
      <alignment horizontal="center"/>
    </xf>
    <xf numFmtId="0" fontId="86" fillId="0" borderId="0" xfId="0" applyFont="1" applyAlignment="1">
      <alignment horizontal="center"/>
    </xf>
    <xf numFmtId="0" fontId="86" fillId="0" borderId="0" xfId="0" applyFont="1"/>
    <xf numFmtId="0" fontId="0" fillId="0" borderId="0" xfId="0" applyAlignment="1">
      <alignment horizontal="center"/>
    </xf>
    <xf numFmtId="0" fontId="7" fillId="0" borderId="0" xfId="0" applyFont="1" applyFill="1" applyAlignment="1">
      <alignment horizontal="center"/>
    </xf>
    <xf numFmtId="0" fontId="0" fillId="0" borderId="0" xfId="0" applyAlignment="1">
      <alignment horizontal="center"/>
    </xf>
    <xf numFmtId="0" fontId="87" fillId="0" borderId="1" xfId="0" applyFont="1" applyFill="1" applyBorder="1" applyAlignment="1">
      <alignment horizontal="left" vertical="center"/>
    </xf>
    <xf numFmtId="0" fontId="88" fillId="0" borderId="1" xfId="0" applyFont="1" applyFill="1" applyBorder="1" applyAlignment="1">
      <alignment horizontal="left" vertical="center"/>
    </xf>
    <xf numFmtId="169" fontId="31" fillId="0" borderId="0" xfId="0" applyNumberFormat="1" applyFont="1"/>
    <xf numFmtId="168" fontId="66" fillId="29" borderId="1" xfId="3" applyNumberFormat="1" applyFont="1" applyFill="1" applyBorder="1" applyAlignment="1">
      <alignment horizontal="right" vertical="center"/>
    </xf>
    <xf numFmtId="14" fontId="0" fillId="0" borderId="1" xfId="0" applyNumberFormat="1" applyBorder="1" applyAlignment="1">
      <alignment horizontal="center"/>
    </xf>
    <xf numFmtId="0" fontId="34"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3" fillId="38"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11" fillId="19" borderId="0" xfId="0" applyFont="1" applyFill="1" applyAlignment="1">
      <alignment horizontal="center" wrapText="1"/>
    </xf>
    <xf numFmtId="0" fontId="2" fillId="24" borderId="0" xfId="0" applyFont="1" applyFill="1" applyAlignment="1">
      <alignment horizontal="center"/>
    </xf>
    <xf numFmtId="0" fontId="2" fillId="30" borderId="16" xfId="0" applyFont="1" applyFill="1" applyBorder="1" applyAlignment="1">
      <alignment horizontal="center" vertical="top" wrapText="1"/>
    </xf>
    <xf numFmtId="0" fontId="0" fillId="0" borderId="0" xfId="0" applyAlignment="1">
      <alignment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xf numFmtId="1" fontId="66" fillId="26" borderId="1" xfId="0" applyNumberFormat="1" applyFont="1" applyFill="1" applyBorder="1" applyAlignment="1">
      <alignment horizontal="left" vertical="center"/>
    </xf>
  </cellXfs>
  <cellStyles count="6">
    <cellStyle name="Excel Built-in Normal" xfId="5" xr:uid="{00000000-0005-0000-0000-000000000000}"/>
    <cellStyle name="Hipervínculo" xfId="4" builtinId="8"/>
    <cellStyle name="Millares" xfId="3" builtinId="3"/>
    <cellStyle name="Moneda" xfId="1" builtinId="4"/>
    <cellStyle name="Normal" xfId="0" builtinId="0"/>
    <cellStyle name="Porcentaje" xfId="2" builtinId="5"/>
  </cellStyles>
  <dxfs count="37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extLst>
            <c:ext xmlns:c16="http://schemas.microsoft.com/office/drawing/2014/chart" uri="{C3380CC4-5D6E-409C-BE32-E72D297353CC}">
              <c16:uniqueId val="{00000000-8A51-47DD-BEAB-BC0C28EEB9F7}"/>
            </c:ext>
          </c:extLst>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extLst>
            <c:ext xmlns:c16="http://schemas.microsoft.com/office/drawing/2014/chart" uri="{C3380CC4-5D6E-409C-BE32-E72D297353CC}">
              <c16:uniqueId val="{00000001-8A51-47DD-BEAB-BC0C28EEB9F7}"/>
            </c:ext>
          </c:extLst>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extLst>
            <c:ext xmlns:c16="http://schemas.microsoft.com/office/drawing/2014/chart" uri="{C3380CC4-5D6E-409C-BE32-E72D297353CC}">
              <c16:uniqueId val="{00000002-8A51-47DD-BEAB-BC0C28EEB9F7}"/>
            </c:ext>
          </c:extLst>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extLst>
            <c:ext xmlns:c16="http://schemas.microsoft.com/office/drawing/2014/chart" uri="{C3380CC4-5D6E-409C-BE32-E72D297353CC}">
              <c16:uniqueId val="{00000003-8A51-47DD-BEAB-BC0C28EEB9F7}"/>
            </c:ext>
          </c:extLst>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extLst>
            <c:ext xmlns:c16="http://schemas.microsoft.com/office/drawing/2014/chart" uri="{C3380CC4-5D6E-409C-BE32-E72D297353CC}">
              <c16:uniqueId val="{00000004-8A51-47DD-BEAB-BC0C28EEB9F7}"/>
            </c:ext>
          </c:extLst>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extLst>
            <c:ext xmlns:c16="http://schemas.microsoft.com/office/drawing/2014/chart" uri="{C3380CC4-5D6E-409C-BE32-E72D297353CC}">
              <c16:uniqueId val="{00000005-8A51-47DD-BEAB-BC0C28EEB9F7}"/>
            </c:ext>
          </c:extLst>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extLst>
            <c:ext xmlns:c16="http://schemas.microsoft.com/office/drawing/2014/chart" uri="{C3380CC4-5D6E-409C-BE32-E72D297353CC}">
              <c16:uniqueId val="{00000006-8A51-47DD-BEAB-BC0C28EEB9F7}"/>
            </c:ext>
          </c:extLst>
        </c:ser>
        <c:dLbls>
          <c:showLegendKey val="0"/>
          <c:showVal val="0"/>
          <c:showCatName val="0"/>
          <c:showSerName val="0"/>
          <c:showPercent val="0"/>
          <c:showBubbleSize val="0"/>
        </c:dLbls>
        <c:gapWidth val="150"/>
        <c:overlap val="100"/>
        <c:axId val="298720656"/>
        <c:axId val="298724576"/>
      </c:barChart>
      <c:catAx>
        <c:axId val="298720656"/>
        <c:scaling>
          <c:orientation val="minMax"/>
        </c:scaling>
        <c:delete val="0"/>
        <c:axPos val="b"/>
        <c:numFmt formatCode="General" sourceLinked="1"/>
        <c:majorTickMark val="out"/>
        <c:minorTickMark val="none"/>
        <c:tickLblPos val="nextTo"/>
        <c:crossAx val="298724576"/>
        <c:crosses val="autoZero"/>
        <c:auto val="1"/>
        <c:lblAlgn val="ctr"/>
        <c:lblOffset val="100"/>
        <c:noMultiLvlLbl val="0"/>
      </c:catAx>
      <c:valAx>
        <c:axId val="298724576"/>
        <c:scaling>
          <c:orientation val="minMax"/>
        </c:scaling>
        <c:delete val="0"/>
        <c:axPos val="l"/>
        <c:majorGridlines/>
        <c:numFmt formatCode="_-* #,##0\ [$€-C0A]_-;\-* #,##0\ [$€-C0A]_-;_-* &quot;-&quot;??\ [$€-C0A]_-;_-@_-" sourceLinked="1"/>
        <c:majorTickMark val="out"/>
        <c:minorTickMark val="none"/>
        <c:tickLblPos val="nextTo"/>
        <c:crossAx val="2987206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extLst>
            <c:ext xmlns:c16="http://schemas.microsoft.com/office/drawing/2014/chart" uri="{C3380CC4-5D6E-409C-BE32-E72D297353CC}">
              <c16:uniqueId val="{00000000-2A47-4103-818C-CF1252B78150}"/>
            </c:ext>
          </c:extLst>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extLst>
            <c:ext xmlns:c16="http://schemas.microsoft.com/office/drawing/2014/chart" uri="{C3380CC4-5D6E-409C-BE32-E72D297353CC}">
              <c16:uniqueId val="{00000001-2A47-4103-818C-CF1252B78150}"/>
            </c:ext>
          </c:extLst>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extLst>
            <c:ext xmlns:c16="http://schemas.microsoft.com/office/drawing/2014/chart" uri="{C3380CC4-5D6E-409C-BE32-E72D297353CC}">
              <c16:uniqueId val="{00000002-2A47-4103-818C-CF1252B78150}"/>
            </c:ext>
          </c:extLst>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extLst>
            <c:ext xmlns:c16="http://schemas.microsoft.com/office/drawing/2014/chart" uri="{C3380CC4-5D6E-409C-BE32-E72D297353CC}">
              <c16:uniqueId val="{00000003-2A47-4103-818C-CF1252B78150}"/>
            </c:ext>
          </c:extLst>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extLst>
            <c:ext xmlns:c16="http://schemas.microsoft.com/office/drawing/2014/chart" uri="{C3380CC4-5D6E-409C-BE32-E72D297353CC}">
              <c16:uniqueId val="{00000004-2A47-4103-818C-CF1252B78150}"/>
            </c:ext>
          </c:extLst>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extLst>
            <c:ext xmlns:c16="http://schemas.microsoft.com/office/drawing/2014/chart" uri="{C3380CC4-5D6E-409C-BE32-E72D297353CC}">
              <c16:uniqueId val="{00000005-2A47-4103-818C-CF1252B78150}"/>
            </c:ext>
          </c:extLst>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extLst>
            <c:ext xmlns:c16="http://schemas.microsoft.com/office/drawing/2014/chart" uri="{C3380CC4-5D6E-409C-BE32-E72D297353CC}">
              <c16:uniqueId val="{00000006-2A47-4103-818C-CF1252B78150}"/>
            </c:ext>
          </c:extLst>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extLst>
            <c:ext xmlns:c16="http://schemas.microsoft.com/office/drawing/2014/chart" uri="{C3380CC4-5D6E-409C-BE32-E72D297353CC}">
              <c16:uniqueId val="{00000007-2A47-4103-818C-CF1252B78150}"/>
            </c:ext>
          </c:extLst>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extLst>
            <c:ext xmlns:c16="http://schemas.microsoft.com/office/drawing/2014/chart" uri="{C3380CC4-5D6E-409C-BE32-E72D297353CC}">
              <c16:uniqueId val="{00000008-2A47-4103-818C-CF1252B78150}"/>
            </c:ext>
          </c:extLst>
        </c:ser>
        <c:dLbls>
          <c:showLegendKey val="0"/>
          <c:showVal val="0"/>
          <c:showCatName val="0"/>
          <c:showSerName val="0"/>
          <c:showPercent val="0"/>
          <c:showBubbleSize val="0"/>
        </c:dLbls>
        <c:gapWidth val="150"/>
        <c:overlap val="100"/>
        <c:axId val="282067184"/>
        <c:axId val="282067576"/>
      </c:barChart>
      <c:catAx>
        <c:axId val="282067184"/>
        <c:scaling>
          <c:orientation val="minMax"/>
        </c:scaling>
        <c:delete val="0"/>
        <c:axPos val="b"/>
        <c:numFmt formatCode="General" sourceLinked="1"/>
        <c:majorTickMark val="out"/>
        <c:minorTickMark val="none"/>
        <c:tickLblPos val="nextTo"/>
        <c:crossAx val="282067576"/>
        <c:crosses val="autoZero"/>
        <c:auto val="1"/>
        <c:lblAlgn val="ctr"/>
        <c:lblOffset val="100"/>
        <c:noMultiLvlLbl val="0"/>
      </c:catAx>
      <c:valAx>
        <c:axId val="282067576"/>
        <c:scaling>
          <c:orientation val="minMax"/>
        </c:scaling>
        <c:delete val="0"/>
        <c:axPos val="l"/>
        <c:majorGridlines/>
        <c:numFmt formatCode="_-* #,##0\ [$€-C0A]_-;\-* #,##0\ [$€-C0A]_-;_-* &quot;-&quot;??\ [$€-C0A]_-;_-@_-" sourceLinked="1"/>
        <c:majorTickMark val="out"/>
        <c:minorTickMark val="none"/>
        <c:tickLblPos val="nextTo"/>
        <c:crossAx val="28206718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extLst>
            <c:ext xmlns:c16="http://schemas.microsoft.com/office/drawing/2014/chart" uri="{C3380CC4-5D6E-409C-BE32-E72D297353CC}">
              <c16:uniqueId val="{00000000-2CFC-4BAB-8494-88C64F1D199F}"/>
            </c:ext>
          </c:extLst>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extLst>
            <c:ext xmlns:c16="http://schemas.microsoft.com/office/drawing/2014/chart" uri="{C3380CC4-5D6E-409C-BE32-E72D297353CC}">
              <c16:uniqueId val="{00000001-2CFC-4BAB-8494-88C64F1D199F}"/>
            </c:ext>
          </c:extLst>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extLst>
            <c:ext xmlns:c16="http://schemas.microsoft.com/office/drawing/2014/chart" uri="{C3380CC4-5D6E-409C-BE32-E72D297353CC}">
              <c16:uniqueId val="{00000002-2CFC-4BAB-8494-88C64F1D199F}"/>
            </c:ext>
          </c:extLst>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extLst>
            <c:ext xmlns:c16="http://schemas.microsoft.com/office/drawing/2014/chart" uri="{C3380CC4-5D6E-409C-BE32-E72D297353CC}">
              <c16:uniqueId val="{00000003-2CFC-4BAB-8494-88C64F1D199F}"/>
            </c:ext>
          </c:extLst>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extLst>
            <c:ext xmlns:c16="http://schemas.microsoft.com/office/drawing/2014/chart" uri="{C3380CC4-5D6E-409C-BE32-E72D297353CC}">
              <c16:uniqueId val="{00000004-2CFC-4BAB-8494-88C64F1D199F}"/>
            </c:ext>
          </c:extLst>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extLst>
            <c:ext xmlns:c16="http://schemas.microsoft.com/office/drawing/2014/chart" uri="{C3380CC4-5D6E-409C-BE32-E72D297353CC}">
              <c16:uniqueId val="{00000005-2CFC-4BAB-8494-88C64F1D199F}"/>
            </c:ext>
          </c:extLst>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extLst>
            <c:ext xmlns:c16="http://schemas.microsoft.com/office/drawing/2014/chart" uri="{C3380CC4-5D6E-409C-BE32-E72D297353CC}">
              <c16:uniqueId val="{00000006-2CFC-4BAB-8494-88C64F1D199F}"/>
            </c:ext>
          </c:extLst>
        </c:ser>
        <c:dLbls>
          <c:showLegendKey val="0"/>
          <c:showVal val="0"/>
          <c:showCatName val="0"/>
          <c:showSerName val="0"/>
          <c:showPercent val="0"/>
          <c:showBubbleSize val="0"/>
        </c:dLbls>
        <c:gapWidth val="150"/>
        <c:overlap val="100"/>
        <c:axId val="282071496"/>
        <c:axId val="282067968"/>
      </c:barChart>
      <c:catAx>
        <c:axId val="282071496"/>
        <c:scaling>
          <c:orientation val="minMax"/>
        </c:scaling>
        <c:delete val="0"/>
        <c:axPos val="b"/>
        <c:numFmt formatCode="General" sourceLinked="1"/>
        <c:majorTickMark val="out"/>
        <c:minorTickMark val="none"/>
        <c:tickLblPos val="nextTo"/>
        <c:crossAx val="282067968"/>
        <c:crosses val="autoZero"/>
        <c:auto val="1"/>
        <c:lblAlgn val="ctr"/>
        <c:lblOffset val="100"/>
        <c:noMultiLvlLbl val="0"/>
      </c:catAx>
      <c:valAx>
        <c:axId val="282067968"/>
        <c:scaling>
          <c:orientation val="minMax"/>
        </c:scaling>
        <c:delete val="0"/>
        <c:axPos val="l"/>
        <c:majorGridlines/>
        <c:numFmt formatCode="_-* #,##0\ [$€-C0A]_-;\-* #,##0\ [$€-C0A]_-;_-* &quot;-&quot;??\ [$€-C0A]_-;_-@_-" sourceLinked="1"/>
        <c:majorTickMark val="out"/>
        <c:minorTickMark val="none"/>
        <c:tickLblPos val="nextTo"/>
        <c:crossAx val="2820714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extLst>
            <c:ext xmlns:c16="http://schemas.microsoft.com/office/drawing/2014/chart" uri="{C3380CC4-5D6E-409C-BE32-E72D297353CC}">
              <c16:uniqueId val="{00000000-30D8-4619-B26E-D6868D80218E}"/>
            </c:ext>
          </c:extLst>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extLst>
            <c:ext xmlns:c16="http://schemas.microsoft.com/office/drawing/2014/chart" uri="{C3380CC4-5D6E-409C-BE32-E72D297353CC}">
              <c16:uniqueId val="{00000001-30D8-4619-B26E-D6868D80218E}"/>
            </c:ext>
          </c:extLst>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extLst>
            <c:ext xmlns:c16="http://schemas.microsoft.com/office/drawing/2014/chart" uri="{C3380CC4-5D6E-409C-BE32-E72D297353CC}">
              <c16:uniqueId val="{00000002-30D8-4619-B26E-D6868D80218E}"/>
            </c:ext>
          </c:extLst>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extLst>
            <c:ext xmlns:c16="http://schemas.microsoft.com/office/drawing/2014/chart" uri="{C3380CC4-5D6E-409C-BE32-E72D297353CC}">
              <c16:uniqueId val="{00000003-30D8-4619-B26E-D6868D80218E}"/>
            </c:ext>
          </c:extLst>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extLst>
            <c:ext xmlns:c16="http://schemas.microsoft.com/office/drawing/2014/chart" uri="{C3380CC4-5D6E-409C-BE32-E72D297353CC}">
              <c16:uniqueId val="{00000004-30D8-4619-B26E-D6868D80218E}"/>
            </c:ext>
          </c:extLst>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extLst>
            <c:ext xmlns:c16="http://schemas.microsoft.com/office/drawing/2014/chart" uri="{C3380CC4-5D6E-409C-BE32-E72D297353CC}">
              <c16:uniqueId val="{00000005-30D8-4619-B26E-D6868D80218E}"/>
            </c:ext>
          </c:extLst>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extLst>
            <c:ext xmlns:c16="http://schemas.microsoft.com/office/drawing/2014/chart" uri="{C3380CC4-5D6E-409C-BE32-E72D297353CC}">
              <c16:uniqueId val="{00000006-30D8-4619-B26E-D6868D80218E}"/>
            </c:ext>
          </c:extLst>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extLst>
            <c:ext xmlns:c16="http://schemas.microsoft.com/office/drawing/2014/chart" uri="{C3380CC4-5D6E-409C-BE32-E72D297353CC}">
              <c16:uniqueId val="{00000007-30D8-4619-B26E-D6868D80218E}"/>
            </c:ext>
          </c:extLst>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extLst>
            <c:ext xmlns:c16="http://schemas.microsoft.com/office/drawing/2014/chart" uri="{C3380CC4-5D6E-409C-BE32-E72D297353CC}">
              <c16:uniqueId val="{00000008-30D8-4619-B26E-D6868D80218E}"/>
            </c:ext>
          </c:extLst>
        </c:ser>
        <c:dLbls>
          <c:showLegendKey val="0"/>
          <c:showVal val="0"/>
          <c:showCatName val="0"/>
          <c:showSerName val="0"/>
          <c:showPercent val="0"/>
          <c:showBubbleSize val="0"/>
        </c:dLbls>
        <c:gapWidth val="150"/>
        <c:overlap val="100"/>
        <c:axId val="298725752"/>
        <c:axId val="298720264"/>
      </c:barChart>
      <c:catAx>
        <c:axId val="298725752"/>
        <c:scaling>
          <c:orientation val="minMax"/>
        </c:scaling>
        <c:delete val="0"/>
        <c:axPos val="b"/>
        <c:numFmt formatCode="General" sourceLinked="1"/>
        <c:majorTickMark val="out"/>
        <c:minorTickMark val="none"/>
        <c:tickLblPos val="nextTo"/>
        <c:crossAx val="298720264"/>
        <c:crosses val="autoZero"/>
        <c:auto val="1"/>
        <c:lblAlgn val="ctr"/>
        <c:lblOffset val="100"/>
        <c:noMultiLvlLbl val="0"/>
      </c:catAx>
      <c:valAx>
        <c:axId val="298720264"/>
        <c:scaling>
          <c:orientation val="minMax"/>
        </c:scaling>
        <c:delete val="0"/>
        <c:axPos val="l"/>
        <c:majorGridlines/>
        <c:numFmt formatCode="_-* #,##0\ [$€-C0A]_-;\-* #,##0\ [$€-C0A]_-;_-* &quot;-&quot;??\ [$€-C0A]_-;_-@_-" sourceLinked="1"/>
        <c:majorTickMark val="out"/>
        <c:minorTickMark val="none"/>
        <c:tickLblPos val="nextTo"/>
        <c:crossAx val="2987257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extLst>
            <c:ext xmlns:c16="http://schemas.microsoft.com/office/drawing/2014/chart" uri="{C3380CC4-5D6E-409C-BE32-E72D297353CC}">
              <c16:uniqueId val="{00000000-C874-438B-9FC9-F217CD9778A0}"/>
            </c:ext>
          </c:extLst>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extLst>
            <c:ext xmlns:c16="http://schemas.microsoft.com/office/drawing/2014/chart" uri="{C3380CC4-5D6E-409C-BE32-E72D297353CC}">
              <c16:uniqueId val="{00000001-C874-438B-9FC9-F217CD9778A0}"/>
            </c:ext>
          </c:extLst>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extLst>
            <c:ext xmlns:c16="http://schemas.microsoft.com/office/drawing/2014/chart" uri="{C3380CC4-5D6E-409C-BE32-E72D297353CC}">
              <c16:uniqueId val="{00000002-C874-438B-9FC9-F217CD9778A0}"/>
            </c:ext>
          </c:extLst>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extLst>
            <c:ext xmlns:c16="http://schemas.microsoft.com/office/drawing/2014/chart" uri="{C3380CC4-5D6E-409C-BE32-E72D297353CC}">
              <c16:uniqueId val="{00000003-C874-438B-9FC9-F217CD9778A0}"/>
            </c:ext>
          </c:extLst>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extLst>
            <c:ext xmlns:c16="http://schemas.microsoft.com/office/drawing/2014/chart" uri="{C3380CC4-5D6E-409C-BE32-E72D297353CC}">
              <c16:uniqueId val="{00000004-C874-438B-9FC9-F217CD9778A0}"/>
            </c:ext>
          </c:extLst>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extLst>
            <c:ext xmlns:c16="http://schemas.microsoft.com/office/drawing/2014/chart" uri="{C3380CC4-5D6E-409C-BE32-E72D297353CC}">
              <c16:uniqueId val="{00000005-C874-438B-9FC9-F217CD9778A0}"/>
            </c:ext>
          </c:extLst>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extLst>
            <c:ext xmlns:c16="http://schemas.microsoft.com/office/drawing/2014/chart" uri="{C3380CC4-5D6E-409C-BE32-E72D297353CC}">
              <c16:uniqueId val="{00000006-C874-438B-9FC9-F217CD9778A0}"/>
            </c:ext>
          </c:extLst>
        </c:ser>
        <c:dLbls>
          <c:showLegendKey val="0"/>
          <c:showVal val="0"/>
          <c:showCatName val="0"/>
          <c:showSerName val="0"/>
          <c:showPercent val="0"/>
          <c:showBubbleSize val="0"/>
        </c:dLbls>
        <c:gapWidth val="150"/>
        <c:overlap val="100"/>
        <c:axId val="298723792"/>
        <c:axId val="298724184"/>
      </c:barChart>
      <c:catAx>
        <c:axId val="298723792"/>
        <c:scaling>
          <c:orientation val="minMax"/>
        </c:scaling>
        <c:delete val="0"/>
        <c:axPos val="b"/>
        <c:numFmt formatCode="General" sourceLinked="1"/>
        <c:majorTickMark val="out"/>
        <c:minorTickMark val="none"/>
        <c:tickLblPos val="nextTo"/>
        <c:crossAx val="298724184"/>
        <c:crosses val="autoZero"/>
        <c:auto val="1"/>
        <c:lblAlgn val="ctr"/>
        <c:lblOffset val="100"/>
        <c:noMultiLvlLbl val="0"/>
      </c:catAx>
      <c:valAx>
        <c:axId val="298724184"/>
        <c:scaling>
          <c:orientation val="minMax"/>
        </c:scaling>
        <c:delete val="0"/>
        <c:axPos val="l"/>
        <c:majorGridlines/>
        <c:numFmt formatCode="_-* #,##0\ [$€-C0A]_-;\-* #,##0\ [$€-C0A]_-;_-* &quot;-&quot;??\ [$€-C0A]_-;_-@_-" sourceLinked="1"/>
        <c:majorTickMark val="out"/>
        <c:minorTickMark val="none"/>
        <c:tickLblPos val="nextTo"/>
        <c:crossAx val="2987237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extLst>
            <c:ext xmlns:c16="http://schemas.microsoft.com/office/drawing/2014/chart" uri="{C3380CC4-5D6E-409C-BE32-E72D297353CC}">
              <c16:uniqueId val="{00000000-3299-4E16-8961-E6DA132C5E80}"/>
            </c:ext>
          </c:extLst>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extLst>
            <c:ext xmlns:c16="http://schemas.microsoft.com/office/drawing/2014/chart" uri="{C3380CC4-5D6E-409C-BE32-E72D297353CC}">
              <c16:uniqueId val="{00000001-3299-4E16-8961-E6DA132C5E80}"/>
            </c:ext>
          </c:extLst>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extLst>
            <c:ext xmlns:c16="http://schemas.microsoft.com/office/drawing/2014/chart" uri="{C3380CC4-5D6E-409C-BE32-E72D297353CC}">
              <c16:uniqueId val="{00000002-3299-4E16-8961-E6DA132C5E80}"/>
            </c:ext>
          </c:extLst>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extLst>
            <c:ext xmlns:c16="http://schemas.microsoft.com/office/drawing/2014/chart" uri="{C3380CC4-5D6E-409C-BE32-E72D297353CC}">
              <c16:uniqueId val="{00000003-3299-4E16-8961-E6DA132C5E80}"/>
            </c:ext>
          </c:extLst>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extLst>
            <c:ext xmlns:c16="http://schemas.microsoft.com/office/drawing/2014/chart" uri="{C3380CC4-5D6E-409C-BE32-E72D297353CC}">
              <c16:uniqueId val="{00000004-3299-4E16-8961-E6DA132C5E80}"/>
            </c:ext>
          </c:extLst>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extLst>
            <c:ext xmlns:c16="http://schemas.microsoft.com/office/drawing/2014/chart" uri="{C3380CC4-5D6E-409C-BE32-E72D297353CC}">
              <c16:uniqueId val="{00000005-3299-4E16-8961-E6DA132C5E80}"/>
            </c:ext>
          </c:extLst>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extLst>
            <c:ext xmlns:c16="http://schemas.microsoft.com/office/drawing/2014/chart" uri="{C3380CC4-5D6E-409C-BE32-E72D297353CC}">
              <c16:uniqueId val="{00000006-3299-4E16-8961-E6DA132C5E80}"/>
            </c:ext>
          </c:extLst>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extLst>
            <c:ext xmlns:c16="http://schemas.microsoft.com/office/drawing/2014/chart" uri="{C3380CC4-5D6E-409C-BE32-E72D297353CC}">
              <c16:uniqueId val="{00000007-3299-4E16-8961-E6DA132C5E80}"/>
            </c:ext>
          </c:extLst>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extLst>
            <c:ext xmlns:c16="http://schemas.microsoft.com/office/drawing/2014/chart" uri="{C3380CC4-5D6E-409C-BE32-E72D297353CC}">
              <c16:uniqueId val="{00000008-3299-4E16-8961-E6DA132C5E80}"/>
            </c:ext>
          </c:extLst>
        </c:ser>
        <c:dLbls>
          <c:showLegendKey val="0"/>
          <c:showVal val="0"/>
          <c:showCatName val="0"/>
          <c:showSerName val="0"/>
          <c:showPercent val="0"/>
          <c:showBubbleSize val="0"/>
        </c:dLbls>
        <c:gapWidth val="150"/>
        <c:overlap val="100"/>
        <c:axId val="300623888"/>
        <c:axId val="300625456"/>
      </c:barChart>
      <c:catAx>
        <c:axId val="300623888"/>
        <c:scaling>
          <c:orientation val="minMax"/>
        </c:scaling>
        <c:delete val="0"/>
        <c:axPos val="b"/>
        <c:numFmt formatCode="General" sourceLinked="1"/>
        <c:majorTickMark val="out"/>
        <c:minorTickMark val="none"/>
        <c:tickLblPos val="nextTo"/>
        <c:crossAx val="300625456"/>
        <c:crosses val="autoZero"/>
        <c:auto val="1"/>
        <c:lblAlgn val="ctr"/>
        <c:lblOffset val="100"/>
        <c:noMultiLvlLbl val="0"/>
      </c:catAx>
      <c:valAx>
        <c:axId val="300625456"/>
        <c:scaling>
          <c:orientation val="minMax"/>
        </c:scaling>
        <c:delete val="0"/>
        <c:axPos val="l"/>
        <c:majorGridlines/>
        <c:numFmt formatCode="_-* #,##0\ [$€-C0A]_-;\-* #,##0\ [$€-C0A]_-;_-* &quot;-&quot;??\ [$€-C0A]_-;_-@_-" sourceLinked="1"/>
        <c:majorTickMark val="out"/>
        <c:minorTickMark val="none"/>
        <c:tickLblPos val="nextTo"/>
        <c:crossAx val="3006238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extLst>
            <c:ext xmlns:c16="http://schemas.microsoft.com/office/drawing/2014/chart" uri="{C3380CC4-5D6E-409C-BE32-E72D297353CC}">
              <c16:uniqueId val="{00000000-0A7F-4467-9D3C-7A23A5D1347C}"/>
            </c:ext>
          </c:extLst>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extLst>
            <c:ext xmlns:c16="http://schemas.microsoft.com/office/drawing/2014/chart" uri="{C3380CC4-5D6E-409C-BE32-E72D297353CC}">
              <c16:uniqueId val="{00000001-0A7F-4467-9D3C-7A23A5D1347C}"/>
            </c:ext>
          </c:extLst>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extLst>
            <c:ext xmlns:c16="http://schemas.microsoft.com/office/drawing/2014/chart" uri="{C3380CC4-5D6E-409C-BE32-E72D297353CC}">
              <c16:uniqueId val="{00000002-0A7F-4467-9D3C-7A23A5D1347C}"/>
            </c:ext>
          </c:extLst>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extLst>
            <c:ext xmlns:c16="http://schemas.microsoft.com/office/drawing/2014/chart" uri="{C3380CC4-5D6E-409C-BE32-E72D297353CC}">
              <c16:uniqueId val="{00000003-0A7F-4467-9D3C-7A23A5D1347C}"/>
            </c:ext>
          </c:extLst>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extLst>
            <c:ext xmlns:c16="http://schemas.microsoft.com/office/drawing/2014/chart" uri="{C3380CC4-5D6E-409C-BE32-E72D297353CC}">
              <c16:uniqueId val="{00000004-0A7F-4467-9D3C-7A23A5D1347C}"/>
            </c:ext>
          </c:extLst>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extLst>
            <c:ext xmlns:c16="http://schemas.microsoft.com/office/drawing/2014/chart" uri="{C3380CC4-5D6E-409C-BE32-E72D297353CC}">
              <c16:uniqueId val="{00000005-0A7F-4467-9D3C-7A23A5D1347C}"/>
            </c:ext>
          </c:extLst>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extLst>
            <c:ext xmlns:c16="http://schemas.microsoft.com/office/drawing/2014/chart" uri="{C3380CC4-5D6E-409C-BE32-E72D297353CC}">
              <c16:uniqueId val="{00000006-0A7F-4467-9D3C-7A23A5D1347C}"/>
            </c:ext>
          </c:extLst>
        </c:ser>
        <c:dLbls>
          <c:showLegendKey val="0"/>
          <c:showVal val="0"/>
          <c:showCatName val="0"/>
          <c:showSerName val="0"/>
          <c:showPercent val="0"/>
          <c:showBubbleSize val="0"/>
        </c:dLbls>
        <c:gapWidth val="150"/>
        <c:overlap val="100"/>
        <c:axId val="300621536"/>
        <c:axId val="300626632"/>
      </c:barChart>
      <c:catAx>
        <c:axId val="300621536"/>
        <c:scaling>
          <c:orientation val="minMax"/>
        </c:scaling>
        <c:delete val="0"/>
        <c:axPos val="b"/>
        <c:numFmt formatCode="General" sourceLinked="1"/>
        <c:majorTickMark val="out"/>
        <c:minorTickMark val="none"/>
        <c:tickLblPos val="nextTo"/>
        <c:crossAx val="300626632"/>
        <c:crosses val="autoZero"/>
        <c:auto val="1"/>
        <c:lblAlgn val="ctr"/>
        <c:lblOffset val="100"/>
        <c:noMultiLvlLbl val="0"/>
      </c:catAx>
      <c:valAx>
        <c:axId val="300626632"/>
        <c:scaling>
          <c:orientation val="minMax"/>
        </c:scaling>
        <c:delete val="0"/>
        <c:axPos val="l"/>
        <c:majorGridlines/>
        <c:numFmt formatCode="_-* #,##0\ [$€-C0A]_-;\-* #,##0\ [$€-C0A]_-;_-* &quot;-&quot;??\ [$€-C0A]_-;_-@_-" sourceLinked="1"/>
        <c:majorTickMark val="out"/>
        <c:minorTickMark val="none"/>
        <c:tickLblPos val="nextTo"/>
        <c:crossAx val="3006215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extLst>
            <c:ext xmlns:c16="http://schemas.microsoft.com/office/drawing/2014/chart" uri="{C3380CC4-5D6E-409C-BE32-E72D297353CC}">
              <c16:uniqueId val="{00000000-D051-4470-915D-21D3A43D9C0B}"/>
            </c:ext>
          </c:extLst>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extLst>
            <c:ext xmlns:c16="http://schemas.microsoft.com/office/drawing/2014/chart" uri="{C3380CC4-5D6E-409C-BE32-E72D297353CC}">
              <c16:uniqueId val="{00000001-D051-4470-915D-21D3A43D9C0B}"/>
            </c:ext>
          </c:extLst>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extLst>
            <c:ext xmlns:c16="http://schemas.microsoft.com/office/drawing/2014/chart" uri="{C3380CC4-5D6E-409C-BE32-E72D297353CC}">
              <c16:uniqueId val="{00000002-D051-4470-915D-21D3A43D9C0B}"/>
            </c:ext>
          </c:extLst>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extLst>
            <c:ext xmlns:c16="http://schemas.microsoft.com/office/drawing/2014/chart" uri="{C3380CC4-5D6E-409C-BE32-E72D297353CC}">
              <c16:uniqueId val="{00000003-D051-4470-915D-21D3A43D9C0B}"/>
            </c:ext>
          </c:extLst>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extLst>
            <c:ext xmlns:c16="http://schemas.microsoft.com/office/drawing/2014/chart" uri="{C3380CC4-5D6E-409C-BE32-E72D297353CC}">
              <c16:uniqueId val="{00000004-D051-4470-915D-21D3A43D9C0B}"/>
            </c:ext>
          </c:extLst>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extLst>
            <c:ext xmlns:c16="http://schemas.microsoft.com/office/drawing/2014/chart" uri="{C3380CC4-5D6E-409C-BE32-E72D297353CC}">
              <c16:uniqueId val="{00000005-D051-4470-915D-21D3A43D9C0B}"/>
            </c:ext>
          </c:extLst>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extLst>
            <c:ext xmlns:c16="http://schemas.microsoft.com/office/drawing/2014/chart" uri="{C3380CC4-5D6E-409C-BE32-E72D297353CC}">
              <c16:uniqueId val="{00000006-D051-4470-915D-21D3A43D9C0B}"/>
            </c:ext>
          </c:extLst>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extLst>
            <c:ext xmlns:c16="http://schemas.microsoft.com/office/drawing/2014/chart" uri="{C3380CC4-5D6E-409C-BE32-E72D297353CC}">
              <c16:uniqueId val="{00000007-D051-4470-915D-21D3A43D9C0B}"/>
            </c:ext>
          </c:extLst>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extLst>
            <c:ext xmlns:c16="http://schemas.microsoft.com/office/drawing/2014/chart" uri="{C3380CC4-5D6E-409C-BE32-E72D297353CC}">
              <c16:uniqueId val="{00000008-D051-4470-915D-21D3A43D9C0B}"/>
            </c:ext>
          </c:extLst>
        </c:ser>
        <c:dLbls>
          <c:showLegendKey val="0"/>
          <c:showVal val="0"/>
          <c:showCatName val="0"/>
          <c:showSerName val="0"/>
          <c:showPercent val="0"/>
          <c:showBubbleSize val="0"/>
        </c:dLbls>
        <c:gapWidth val="150"/>
        <c:overlap val="100"/>
        <c:axId val="300627416"/>
        <c:axId val="300621928"/>
      </c:barChart>
      <c:catAx>
        <c:axId val="300627416"/>
        <c:scaling>
          <c:orientation val="minMax"/>
        </c:scaling>
        <c:delete val="0"/>
        <c:axPos val="b"/>
        <c:numFmt formatCode="General" sourceLinked="1"/>
        <c:majorTickMark val="out"/>
        <c:minorTickMark val="none"/>
        <c:tickLblPos val="nextTo"/>
        <c:crossAx val="300621928"/>
        <c:crosses val="autoZero"/>
        <c:auto val="1"/>
        <c:lblAlgn val="ctr"/>
        <c:lblOffset val="100"/>
        <c:noMultiLvlLbl val="0"/>
      </c:catAx>
      <c:valAx>
        <c:axId val="300621928"/>
        <c:scaling>
          <c:orientation val="minMax"/>
        </c:scaling>
        <c:delete val="0"/>
        <c:axPos val="l"/>
        <c:majorGridlines/>
        <c:numFmt formatCode="_-* #,##0\ [$€-C0A]_-;\-* #,##0\ [$€-C0A]_-;_-* &quot;-&quot;??\ [$€-C0A]_-;_-@_-" sourceLinked="1"/>
        <c:majorTickMark val="out"/>
        <c:minorTickMark val="none"/>
        <c:tickLblPos val="nextTo"/>
        <c:crossAx val="3006274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extLst>
            <c:ext xmlns:c16="http://schemas.microsoft.com/office/drawing/2014/chart" uri="{C3380CC4-5D6E-409C-BE32-E72D297353CC}">
              <c16:uniqueId val="{00000000-67EB-4F3C-9113-6B3533C12C7E}"/>
            </c:ext>
          </c:extLst>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extLst>
            <c:ext xmlns:c16="http://schemas.microsoft.com/office/drawing/2014/chart" uri="{C3380CC4-5D6E-409C-BE32-E72D297353CC}">
              <c16:uniqueId val="{00000001-67EB-4F3C-9113-6B3533C12C7E}"/>
            </c:ext>
          </c:extLst>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extLst>
            <c:ext xmlns:c16="http://schemas.microsoft.com/office/drawing/2014/chart" uri="{C3380CC4-5D6E-409C-BE32-E72D297353CC}">
              <c16:uniqueId val="{00000002-67EB-4F3C-9113-6B3533C12C7E}"/>
            </c:ext>
          </c:extLst>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extLst>
            <c:ext xmlns:c16="http://schemas.microsoft.com/office/drawing/2014/chart" uri="{C3380CC4-5D6E-409C-BE32-E72D297353CC}">
              <c16:uniqueId val="{00000003-67EB-4F3C-9113-6B3533C12C7E}"/>
            </c:ext>
          </c:extLst>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extLst>
            <c:ext xmlns:c16="http://schemas.microsoft.com/office/drawing/2014/chart" uri="{C3380CC4-5D6E-409C-BE32-E72D297353CC}">
              <c16:uniqueId val="{00000004-67EB-4F3C-9113-6B3533C12C7E}"/>
            </c:ext>
          </c:extLst>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extLst>
            <c:ext xmlns:c16="http://schemas.microsoft.com/office/drawing/2014/chart" uri="{C3380CC4-5D6E-409C-BE32-E72D297353CC}">
              <c16:uniqueId val="{00000005-67EB-4F3C-9113-6B3533C12C7E}"/>
            </c:ext>
          </c:extLst>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extLst>
            <c:ext xmlns:c16="http://schemas.microsoft.com/office/drawing/2014/chart" uri="{C3380CC4-5D6E-409C-BE32-E72D297353CC}">
              <c16:uniqueId val="{00000006-67EB-4F3C-9113-6B3533C12C7E}"/>
            </c:ext>
          </c:extLst>
        </c:ser>
        <c:dLbls>
          <c:showLegendKey val="0"/>
          <c:showVal val="0"/>
          <c:showCatName val="0"/>
          <c:showSerName val="0"/>
          <c:showPercent val="0"/>
          <c:showBubbleSize val="0"/>
        </c:dLbls>
        <c:gapWidth val="150"/>
        <c:overlap val="100"/>
        <c:axId val="300626240"/>
        <c:axId val="300620360"/>
      </c:barChart>
      <c:catAx>
        <c:axId val="300626240"/>
        <c:scaling>
          <c:orientation val="minMax"/>
        </c:scaling>
        <c:delete val="0"/>
        <c:axPos val="b"/>
        <c:numFmt formatCode="General" sourceLinked="1"/>
        <c:majorTickMark val="out"/>
        <c:minorTickMark val="none"/>
        <c:tickLblPos val="nextTo"/>
        <c:crossAx val="300620360"/>
        <c:crosses val="autoZero"/>
        <c:auto val="1"/>
        <c:lblAlgn val="ctr"/>
        <c:lblOffset val="100"/>
        <c:noMultiLvlLbl val="0"/>
      </c:catAx>
      <c:valAx>
        <c:axId val="300620360"/>
        <c:scaling>
          <c:orientation val="minMax"/>
        </c:scaling>
        <c:delete val="0"/>
        <c:axPos val="l"/>
        <c:majorGridlines/>
        <c:numFmt formatCode="_-* #,##0\ [$€-C0A]_-;\-* #,##0\ [$€-C0A]_-;_-* &quot;-&quot;??\ [$€-C0A]_-;_-@_-" sourceLinked="1"/>
        <c:majorTickMark val="out"/>
        <c:minorTickMark val="none"/>
        <c:tickLblPos val="nextTo"/>
        <c:crossAx val="3006262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extLst>
            <c:ext xmlns:c16="http://schemas.microsoft.com/office/drawing/2014/chart" uri="{C3380CC4-5D6E-409C-BE32-E72D297353CC}">
              <c16:uniqueId val="{00000000-DFDD-4ACB-B11C-4BE3E5CB6458}"/>
            </c:ext>
          </c:extLst>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extLst>
            <c:ext xmlns:c16="http://schemas.microsoft.com/office/drawing/2014/chart" uri="{C3380CC4-5D6E-409C-BE32-E72D297353CC}">
              <c16:uniqueId val="{00000001-DFDD-4ACB-B11C-4BE3E5CB6458}"/>
            </c:ext>
          </c:extLst>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extLst>
            <c:ext xmlns:c16="http://schemas.microsoft.com/office/drawing/2014/chart" uri="{C3380CC4-5D6E-409C-BE32-E72D297353CC}">
              <c16:uniqueId val="{00000002-DFDD-4ACB-B11C-4BE3E5CB6458}"/>
            </c:ext>
          </c:extLst>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extLst>
            <c:ext xmlns:c16="http://schemas.microsoft.com/office/drawing/2014/chart" uri="{C3380CC4-5D6E-409C-BE32-E72D297353CC}">
              <c16:uniqueId val="{00000003-DFDD-4ACB-B11C-4BE3E5CB6458}"/>
            </c:ext>
          </c:extLst>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extLst>
            <c:ext xmlns:c16="http://schemas.microsoft.com/office/drawing/2014/chart" uri="{C3380CC4-5D6E-409C-BE32-E72D297353CC}">
              <c16:uniqueId val="{00000004-DFDD-4ACB-B11C-4BE3E5CB6458}"/>
            </c:ext>
          </c:extLst>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extLst>
            <c:ext xmlns:c16="http://schemas.microsoft.com/office/drawing/2014/chart" uri="{C3380CC4-5D6E-409C-BE32-E72D297353CC}">
              <c16:uniqueId val="{00000005-DFDD-4ACB-B11C-4BE3E5CB6458}"/>
            </c:ext>
          </c:extLst>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extLst>
            <c:ext xmlns:c16="http://schemas.microsoft.com/office/drawing/2014/chart" uri="{C3380CC4-5D6E-409C-BE32-E72D297353CC}">
              <c16:uniqueId val="{00000006-DFDD-4ACB-B11C-4BE3E5CB6458}"/>
            </c:ext>
          </c:extLst>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extLst>
            <c:ext xmlns:c16="http://schemas.microsoft.com/office/drawing/2014/chart" uri="{C3380CC4-5D6E-409C-BE32-E72D297353CC}">
              <c16:uniqueId val="{00000007-DFDD-4ACB-B11C-4BE3E5CB6458}"/>
            </c:ext>
          </c:extLst>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extLst>
            <c:ext xmlns:c16="http://schemas.microsoft.com/office/drawing/2014/chart" uri="{C3380CC4-5D6E-409C-BE32-E72D297353CC}">
              <c16:uniqueId val="{00000008-DFDD-4ACB-B11C-4BE3E5CB6458}"/>
            </c:ext>
          </c:extLst>
        </c:ser>
        <c:dLbls>
          <c:showLegendKey val="0"/>
          <c:showVal val="0"/>
          <c:showCatName val="0"/>
          <c:showSerName val="0"/>
          <c:showPercent val="0"/>
          <c:showBubbleSize val="0"/>
        </c:dLbls>
        <c:gapWidth val="150"/>
        <c:overlap val="100"/>
        <c:axId val="300627024"/>
        <c:axId val="300622712"/>
      </c:barChart>
      <c:catAx>
        <c:axId val="300627024"/>
        <c:scaling>
          <c:orientation val="minMax"/>
        </c:scaling>
        <c:delete val="0"/>
        <c:axPos val="b"/>
        <c:numFmt formatCode="General" sourceLinked="1"/>
        <c:majorTickMark val="out"/>
        <c:minorTickMark val="none"/>
        <c:tickLblPos val="nextTo"/>
        <c:crossAx val="300622712"/>
        <c:crosses val="autoZero"/>
        <c:auto val="1"/>
        <c:lblAlgn val="ctr"/>
        <c:lblOffset val="100"/>
        <c:noMultiLvlLbl val="0"/>
      </c:catAx>
      <c:valAx>
        <c:axId val="300622712"/>
        <c:scaling>
          <c:orientation val="minMax"/>
        </c:scaling>
        <c:delete val="0"/>
        <c:axPos val="l"/>
        <c:majorGridlines/>
        <c:numFmt formatCode="_-* #,##0\ [$€-C0A]_-;\-* #,##0\ [$€-C0A]_-;_-* &quot;-&quot;??\ [$€-C0A]_-;_-@_-" sourceLinked="1"/>
        <c:majorTickMark val="out"/>
        <c:minorTickMark val="none"/>
        <c:tickLblPos val="nextTo"/>
        <c:crossAx val="3006270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extLst>
            <c:ext xmlns:c16="http://schemas.microsoft.com/office/drawing/2014/chart" uri="{C3380CC4-5D6E-409C-BE32-E72D297353CC}">
              <c16:uniqueId val="{00000000-27D7-4757-AC26-4D33D2778C91}"/>
            </c:ext>
          </c:extLst>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extLst>
            <c:ext xmlns:c16="http://schemas.microsoft.com/office/drawing/2014/chart" uri="{C3380CC4-5D6E-409C-BE32-E72D297353CC}">
              <c16:uniqueId val="{00000001-27D7-4757-AC26-4D33D2778C91}"/>
            </c:ext>
          </c:extLst>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extLst>
            <c:ext xmlns:c16="http://schemas.microsoft.com/office/drawing/2014/chart" uri="{C3380CC4-5D6E-409C-BE32-E72D297353CC}">
              <c16:uniqueId val="{00000002-27D7-4757-AC26-4D33D2778C91}"/>
            </c:ext>
          </c:extLst>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extLst>
            <c:ext xmlns:c16="http://schemas.microsoft.com/office/drawing/2014/chart" uri="{C3380CC4-5D6E-409C-BE32-E72D297353CC}">
              <c16:uniqueId val="{00000003-27D7-4757-AC26-4D33D2778C91}"/>
            </c:ext>
          </c:extLst>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extLst>
            <c:ext xmlns:c16="http://schemas.microsoft.com/office/drawing/2014/chart" uri="{C3380CC4-5D6E-409C-BE32-E72D297353CC}">
              <c16:uniqueId val="{00000004-27D7-4757-AC26-4D33D2778C91}"/>
            </c:ext>
          </c:extLst>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extLst>
            <c:ext xmlns:c16="http://schemas.microsoft.com/office/drawing/2014/chart" uri="{C3380CC4-5D6E-409C-BE32-E72D297353CC}">
              <c16:uniqueId val="{00000005-27D7-4757-AC26-4D33D2778C91}"/>
            </c:ext>
          </c:extLst>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extLst>
            <c:ext xmlns:c16="http://schemas.microsoft.com/office/drawing/2014/chart" uri="{C3380CC4-5D6E-409C-BE32-E72D297353CC}">
              <c16:uniqueId val="{00000006-27D7-4757-AC26-4D33D2778C91}"/>
            </c:ext>
          </c:extLst>
        </c:ser>
        <c:dLbls>
          <c:showLegendKey val="0"/>
          <c:showVal val="0"/>
          <c:showCatName val="0"/>
          <c:showSerName val="0"/>
          <c:showPercent val="0"/>
          <c:showBubbleSize val="0"/>
        </c:dLbls>
        <c:gapWidth val="150"/>
        <c:overlap val="100"/>
        <c:axId val="300620752"/>
        <c:axId val="300623104"/>
      </c:barChart>
      <c:catAx>
        <c:axId val="300620752"/>
        <c:scaling>
          <c:orientation val="minMax"/>
        </c:scaling>
        <c:delete val="0"/>
        <c:axPos val="b"/>
        <c:numFmt formatCode="General" sourceLinked="1"/>
        <c:majorTickMark val="out"/>
        <c:minorTickMark val="none"/>
        <c:tickLblPos val="nextTo"/>
        <c:crossAx val="300623104"/>
        <c:crosses val="autoZero"/>
        <c:auto val="1"/>
        <c:lblAlgn val="ctr"/>
        <c:lblOffset val="100"/>
        <c:noMultiLvlLbl val="0"/>
      </c:catAx>
      <c:valAx>
        <c:axId val="300623104"/>
        <c:scaling>
          <c:orientation val="minMax"/>
        </c:scaling>
        <c:delete val="0"/>
        <c:axPos val="l"/>
        <c:majorGridlines/>
        <c:numFmt formatCode="_-* #,##0\ [$€-C0A]_-;\-* #,##0\ [$€-C0A]_-;_-* &quot;-&quot;??\ [$€-C0A]_-;_-@_-" sourceLinked="1"/>
        <c:majorTickMark val="out"/>
        <c:minorTickMark val="none"/>
        <c:tickLblPos val="nextTo"/>
        <c:crossAx val="3006207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extLst>
            <c:ext xmlns:c16="http://schemas.microsoft.com/office/drawing/2014/chart" uri="{C3380CC4-5D6E-409C-BE32-E72D297353CC}">
              <c16:uniqueId val="{00000000-9520-4166-BC61-51C990E8FAA7}"/>
            </c:ext>
          </c:extLst>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extLst>
            <c:ext xmlns:c16="http://schemas.microsoft.com/office/drawing/2014/chart" uri="{C3380CC4-5D6E-409C-BE32-E72D297353CC}">
              <c16:uniqueId val="{00000001-9520-4166-BC61-51C990E8FAA7}"/>
            </c:ext>
          </c:extLst>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extLst>
            <c:ext xmlns:c16="http://schemas.microsoft.com/office/drawing/2014/chart" uri="{C3380CC4-5D6E-409C-BE32-E72D297353CC}">
              <c16:uniqueId val="{00000002-9520-4166-BC61-51C990E8FAA7}"/>
            </c:ext>
          </c:extLst>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extLst>
            <c:ext xmlns:c16="http://schemas.microsoft.com/office/drawing/2014/chart" uri="{C3380CC4-5D6E-409C-BE32-E72D297353CC}">
              <c16:uniqueId val="{00000003-9520-4166-BC61-51C990E8FAA7}"/>
            </c:ext>
          </c:extLst>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extLst>
            <c:ext xmlns:c16="http://schemas.microsoft.com/office/drawing/2014/chart" uri="{C3380CC4-5D6E-409C-BE32-E72D297353CC}">
              <c16:uniqueId val="{00000004-9520-4166-BC61-51C990E8FAA7}"/>
            </c:ext>
          </c:extLst>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extLst>
            <c:ext xmlns:c16="http://schemas.microsoft.com/office/drawing/2014/chart" uri="{C3380CC4-5D6E-409C-BE32-E72D297353CC}">
              <c16:uniqueId val="{00000005-9520-4166-BC61-51C990E8FAA7}"/>
            </c:ext>
          </c:extLst>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extLst>
            <c:ext xmlns:c16="http://schemas.microsoft.com/office/drawing/2014/chart" uri="{C3380CC4-5D6E-409C-BE32-E72D297353CC}">
              <c16:uniqueId val="{00000006-9520-4166-BC61-51C990E8FAA7}"/>
            </c:ext>
          </c:extLst>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extLst>
            <c:ext xmlns:c16="http://schemas.microsoft.com/office/drawing/2014/chart" uri="{C3380CC4-5D6E-409C-BE32-E72D297353CC}">
              <c16:uniqueId val="{00000007-9520-4166-BC61-51C990E8FAA7}"/>
            </c:ext>
          </c:extLst>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extLst>
            <c:ext xmlns:c16="http://schemas.microsoft.com/office/drawing/2014/chart" uri="{C3380CC4-5D6E-409C-BE32-E72D297353CC}">
              <c16:uniqueId val="{00000008-9520-4166-BC61-51C990E8FAA7}"/>
            </c:ext>
          </c:extLst>
        </c:ser>
        <c:dLbls>
          <c:showLegendKey val="0"/>
          <c:showVal val="0"/>
          <c:showCatName val="0"/>
          <c:showSerName val="0"/>
          <c:showPercent val="0"/>
          <c:showBubbleSize val="0"/>
        </c:dLbls>
        <c:gapWidth val="150"/>
        <c:overlap val="100"/>
        <c:axId val="298722224"/>
        <c:axId val="298721440"/>
      </c:barChart>
      <c:catAx>
        <c:axId val="298722224"/>
        <c:scaling>
          <c:orientation val="minMax"/>
        </c:scaling>
        <c:delete val="0"/>
        <c:axPos val="b"/>
        <c:numFmt formatCode="General" sourceLinked="1"/>
        <c:majorTickMark val="out"/>
        <c:minorTickMark val="none"/>
        <c:tickLblPos val="nextTo"/>
        <c:crossAx val="298721440"/>
        <c:crosses val="autoZero"/>
        <c:auto val="1"/>
        <c:lblAlgn val="ctr"/>
        <c:lblOffset val="100"/>
        <c:noMultiLvlLbl val="0"/>
      </c:catAx>
      <c:valAx>
        <c:axId val="298721440"/>
        <c:scaling>
          <c:orientation val="minMax"/>
        </c:scaling>
        <c:delete val="0"/>
        <c:axPos val="l"/>
        <c:majorGridlines/>
        <c:numFmt formatCode="_-* #,##0\ [$€-C0A]_-;\-* #,##0\ [$€-C0A]_-;_-* &quot;-&quot;??\ [$€-C0A]_-;_-@_-" sourceLinked="1"/>
        <c:majorTickMark val="out"/>
        <c:minorTickMark val="none"/>
        <c:tickLblPos val="nextTo"/>
        <c:crossAx val="2987222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extLst>
            <c:ext xmlns:c16="http://schemas.microsoft.com/office/drawing/2014/chart" uri="{C3380CC4-5D6E-409C-BE32-E72D297353CC}">
              <c16:uniqueId val="{00000000-E161-411B-9207-266263243D5D}"/>
            </c:ext>
          </c:extLst>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extLst>
            <c:ext xmlns:c16="http://schemas.microsoft.com/office/drawing/2014/chart" uri="{C3380CC4-5D6E-409C-BE32-E72D297353CC}">
              <c16:uniqueId val="{00000001-E161-411B-9207-266263243D5D}"/>
            </c:ext>
          </c:extLst>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extLst>
            <c:ext xmlns:c16="http://schemas.microsoft.com/office/drawing/2014/chart" uri="{C3380CC4-5D6E-409C-BE32-E72D297353CC}">
              <c16:uniqueId val="{00000002-E161-411B-9207-266263243D5D}"/>
            </c:ext>
          </c:extLst>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extLst>
            <c:ext xmlns:c16="http://schemas.microsoft.com/office/drawing/2014/chart" uri="{C3380CC4-5D6E-409C-BE32-E72D297353CC}">
              <c16:uniqueId val="{00000003-E161-411B-9207-266263243D5D}"/>
            </c:ext>
          </c:extLst>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extLst>
            <c:ext xmlns:c16="http://schemas.microsoft.com/office/drawing/2014/chart" uri="{C3380CC4-5D6E-409C-BE32-E72D297353CC}">
              <c16:uniqueId val="{00000004-E161-411B-9207-266263243D5D}"/>
            </c:ext>
          </c:extLst>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extLst>
            <c:ext xmlns:c16="http://schemas.microsoft.com/office/drawing/2014/chart" uri="{C3380CC4-5D6E-409C-BE32-E72D297353CC}">
              <c16:uniqueId val="{00000005-E161-411B-9207-266263243D5D}"/>
            </c:ext>
          </c:extLst>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extLst>
            <c:ext xmlns:c16="http://schemas.microsoft.com/office/drawing/2014/chart" uri="{C3380CC4-5D6E-409C-BE32-E72D297353CC}">
              <c16:uniqueId val="{00000006-E161-411B-9207-266263243D5D}"/>
            </c:ext>
          </c:extLst>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extLst>
            <c:ext xmlns:c16="http://schemas.microsoft.com/office/drawing/2014/chart" uri="{C3380CC4-5D6E-409C-BE32-E72D297353CC}">
              <c16:uniqueId val="{00000007-E161-411B-9207-266263243D5D}"/>
            </c:ext>
          </c:extLst>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extLst>
            <c:ext xmlns:c16="http://schemas.microsoft.com/office/drawing/2014/chart" uri="{C3380CC4-5D6E-409C-BE32-E72D297353CC}">
              <c16:uniqueId val="{00000008-E161-411B-9207-266263243D5D}"/>
            </c:ext>
          </c:extLst>
        </c:ser>
        <c:dLbls>
          <c:showLegendKey val="0"/>
          <c:showVal val="0"/>
          <c:showCatName val="0"/>
          <c:showSerName val="0"/>
          <c:showPercent val="0"/>
          <c:showBubbleSize val="0"/>
        </c:dLbls>
        <c:gapWidth val="150"/>
        <c:overlap val="100"/>
        <c:axId val="300624672"/>
        <c:axId val="282070712"/>
      </c:barChart>
      <c:catAx>
        <c:axId val="300624672"/>
        <c:scaling>
          <c:orientation val="minMax"/>
        </c:scaling>
        <c:delete val="0"/>
        <c:axPos val="b"/>
        <c:numFmt formatCode="General" sourceLinked="1"/>
        <c:majorTickMark val="out"/>
        <c:minorTickMark val="none"/>
        <c:tickLblPos val="nextTo"/>
        <c:crossAx val="282070712"/>
        <c:crosses val="autoZero"/>
        <c:auto val="1"/>
        <c:lblAlgn val="ctr"/>
        <c:lblOffset val="100"/>
        <c:noMultiLvlLbl val="0"/>
      </c:catAx>
      <c:valAx>
        <c:axId val="282070712"/>
        <c:scaling>
          <c:orientation val="minMax"/>
        </c:scaling>
        <c:delete val="0"/>
        <c:axPos val="l"/>
        <c:majorGridlines/>
        <c:numFmt formatCode="_-* #,##0\ [$€-C0A]_-;\-* #,##0\ [$€-C0A]_-;_-* &quot;-&quot;??\ [$€-C0A]_-;_-@_-" sourceLinked="1"/>
        <c:majorTickMark val="out"/>
        <c:minorTickMark val="none"/>
        <c:tickLblPos val="nextTo"/>
        <c:crossAx val="3006246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extLst>
            <c:ext xmlns:c16="http://schemas.microsoft.com/office/drawing/2014/chart" uri="{C3380CC4-5D6E-409C-BE32-E72D297353CC}">
              <c16:uniqueId val="{00000000-1DED-4817-8725-28119235A817}"/>
            </c:ext>
          </c:extLst>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extLst>
            <c:ext xmlns:c16="http://schemas.microsoft.com/office/drawing/2014/chart" uri="{C3380CC4-5D6E-409C-BE32-E72D297353CC}">
              <c16:uniqueId val="{00000001-1DED-4817-8725-28119235A817}"/>
            </c:ext>
          </c:extLst>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extLst>
            <c:ext xmlns:c16="http://schemas.microsoft.com/office/drawing/2014/chart" uri="{C3380CC4-5D6E-409C-BE32-E72D297353CC}">
              <c16:uniqueId val="{00000002-1DED-4817-8725-28119235A817}"/>
            </c:ext>
          </c:extLst>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extLst>
            <c:ext xmlns:c16="http://schemas.microsoft.com/office/drawing/2014/chart" uri="{C3380CC4-5D6E-409C-BE32-E72D297353CC}">
              <c16:uniqueId val="{00000003-1DED-4817-8725-28119235A817}"/>
            </c:ext>
          </c:extLst>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extLst>
            <c:ext xmlns:c16="http://schemas.microsoft.com/office/drawing/2014/chart" uri="{C3380CC4-5D6E-409C-BE32-E72D297353CC}">
              <c16:uniqueId val="{00000004-1DED-4817-8725-28119235A817}"/>
            </c:ext>
          </c:extLst>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extLst>
            <c:ext xmlns:c16="http://schemas.microsoft.com/office/drawing/2014/chart" uri="{C3380CC4-5D6E-409C-BE32-E72D297353CC}">
              <c16:uniqueId val="{00000005-1DED-4817-8725-28119235A817}"/>
            </c:ext>
          </c:extLst>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extLst>
            <c:ext xmlns:c16="http://schemas.microsoft.com/office/drawing/2014/chart" uri="{C3380CC4-5D6E-409C-BE32-E72D297353CC}">
              <c16:uniqueId val="{00000006-1DED-4817-8725-28119235A817}"/>
            </c:ext>
          </c:extLst>
        </c:ser>
        <c:dLbls>
          <c:showLegendKey val="0"/>
          <c:showVal val="0"/>
          <c:showCatName val="0"/>
          <c:showSerName val="0"/>
          <c:showPercent val="0"/>
          <c:showBubbleSize val="0"/>
        </c:dLbls>
        <c:gapWidth val="150"/>
        <c:overlap val="100"/>
        <c:axId val="302766656"/>
        <c:axId val="302765872"/>
      </c:barChart>
      <c:catAx>
        <c:axId val="302766656"/>
        <c:scaling>
          <c:orientation val="minMax"/>
        </c:scaling>
        <c:delete val="0"/>
        <c:axPos val="b"/>
        <c:numFmt formatCode="General" sourceLinked="1"/>
        <c:majorTickMark val="out"/>
        <c:minorTickMark val="none"/>
        <c:tickLblPos val="nextTo"/>
        <c:crossAx val="302765872"/>
        <c:crosses val="autoZero"/>
        <c:auto val="1"/>
        <c:lblAlgn val="ctr"/>
        <c:lblOffset val="100"/>
        <c:noMultiLvlLbl val="0"/>
      </c:catAx>
      <c:valAx>
        <c:axId val="302765872"/>
        <c:scaling>
          <c:orientation val="minMax"/>
        </c:scaling>
        <c:delete val="0"/>
        <c:axPos val="l"/>
        <c:majorGridlines/>
        <c:numFmt formatCode="_-* #,##0\ [$€-C0A]_-;\-* #,##0\ [$€-C0A]_-;_-* &quot;-&quot;??\ [$€-C0A]_-;_-@_-" sourceLinked="1"/>
        <c:majorTickMark val="out"/>
        <c:minorTickMark val="none"/>
        <c:tickLblPos val="nextTo"/>
        <c:crossAx val="3027666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extLst>
            <c:ext xmlns:c16="http://schemas.microsoft.com/office/drawing/2014/chart" uri="{C3380CC4-5D6E-409C-BE32-E72D297353CC}">
              <c16:uniqueId val="{00000000-7EC1-4B9F-A410-1823BB9DD949}"/>
            </c:ext>
          </c:extLst>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extLst>
            <c:ext xmlns:c16="http://schemas.microsoft.com/office/drawing/2014/chart" uri="{C3380CC4-5D6E-409C-BE32-E72D297353CC}">
              <c16:uniqueId val="{00000001-7EC1-4B9F-A410-1823BB9DD949}"/>
            </c:ext>
          </c:extLst>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extLst>
            <c:ext xmlns:c16="http://schemas.microsoft.com/office/drawing/2014/chart" uri="{C3380CC4-5D6E-409C-BE32-E72D297353CC}">
              <c16:uniqueId val="{00000002-7EC1-4B9F-A410-1823BB9DD949}"/>
            </c:ext>
          </c:extLst>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extLst>
            <c:ext xmlns:c16="http://schemas.microsoft.com/office/drawing/2014/chart" uri="{C3380CC4-5D6E-409C-BE32-E72D297353CC}">
              <c16:uniqueId val="{00000003-7EC1-4B9F-A410-1823BB9DD949}"/>
            </c:ext>
          </c:extLst>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extLst>
            <c:ext xmlns:c16="http://schemas.microsoft.com/office/drawing/2014/chart" uri="{C3380CC4-5D6E-409C-BE32-E72D297353CC}">
              <c16:uniqueId val="{00000004-7EC1-4B9F-A410-1823BB9DD949}"/>
            </c:ext>
          </c:extLst>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extLst>
            <c:ext xmlns:c16="http://schemas.microsoft.com/office/drawing/2014/chart" uri="{C3380CC4-5D6E-409C-BE32-E72D297353CC}">
              <c16:uniqueId val="{00000005-7EC1-4B9F-A410-1823BB9DD949}"/>
            </c:ext>
          </c:extLst>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extLst>
            <c:ext xmlns:c16="http://schemas.microsoft.com/office/drawing/2014/chart" uri="{C3380CC4-5D6E-409C-BE32-E72D297353CC}">
              <c16:uniqueId val="{00000006-7EC1-4B9F-A410-1823BB9DD949}"/>
            </c:ext>
          </c:extLst>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extLst>
            <c:ext xmlns:c16="http://schemas.microsoft.com/office/drawing/2014/chart" uri="{C3380CC4-5D6E-409C-BE32-E72D297353CC}">
              <c16:uniqueId val="{00000007-7EC1-4B9F-A410-1823BB9DD949}"/>
            </c:ext>
          </c:extLst>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extLst>
            <c:ext xmlns:c16="http://schemas.microsoft.com/office/drawing/2014/chart" uri="{C3380CC4-5D6E-409C-BE32-E72D297353CC}">
              <c16:uniqueId val="{00000008-7EC1-4B9F-A410-1823BB9DD949}"/>
            </c:ext>
          </c:extLst>
        </c:ser>
        <c:dLbls>
          <c:showLegendKey val="0"/>
          <c:showVal val="0"/>
          <c:showCatName val="0"/>
          <c:showSerName val="0"/>
          <c:showPercent val="0"/>
          <c:showBubbleSize val="0"/>
        </c:dLbls>
        <c:gapWidth val="150"/>
        <c:overlap val="100"/>
        <c:axId val="302764696"/>
        <c:axId val="302765088"/>
      </c:barChart>
      <c:catAx>
        <c:axId val="302764696"/>
        <c:scaling>
          <c:orientation val="minMax"/>
        </c:scaling>
        <c:delete val="0"/>
        <c:axPos val="b"/>
        <c:numFmt formatCode="General" sourceLinked="1"/>
        <c:majorTickMark val="out"/>
        <c:minorTickMark val="none"/>
        <c:tickLblPos val="nextTo"/>
        <c:crossAx val="302765088"/>
        <c:crosses val="autoZero"/>
        <c:auto val="1"/>
        <c:lblAlgn val="ctr"/>
        <c:lblOffset val="100"/>
        <c:noMultiLvlLbl val="0"/>
      </c:catAx>
      <c:valAx>
        <c:axId val="302765088"/>
        <c:scaling>
          <c:orientation val="minMax"/>
        </c:scaling>
        <c:delete val="0"/>
        <c:axPos val="l"/>
        <c:majorGridlines/>
        <c:numFmt formatCode="_-* #,##0\ [$€-C0A]_-;\-* #,##0\ [$€-C0A]_-;_-* &quot;-&quot;??\ [$€-C0A]_-;_-@_-" sourceLinked="1"/>
        <c:majorTickMark val="out"/>
        <c:minorTickMark val="none"/>
        <c:tickLblPos val="nextTo"/>
        <c:crossAx val="3027646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extLst>
            <c:ext xmlns:c16="http://schemas.microsoft.com/office/drawing/2014/chart" uri="{C3380CC4-5D6E-409C-BE32-E72D297353CC}">
              <c16:uniqueId val="{00000000-E985-4B9C-8E08-8CD9F9362E20}"/>
            </c:ext>
          </c:extLst>
        </c:ser>
        <c:dLbls>
          <c:showLegendKey val="0"/>
          <c:showVal val="0"/>
          <c:showCatName val="0"/>
          <c:showSerName val="0"/>
          <c:showPercent val="0"/>
          <c:showBubbleSize val="0"/>
        </c:dLbls>
        <c:marker val="1"/>
        <c:smooth val="0"/>
        <c:axId val="302763128"/>
        <c:axId val="302759992"/>
      </c:lineChart>
      <c:catAx>
        <c:axId val="302763128"/>
        <c:scaling>
          <c:orientation val="minMax"/>
        </c:scaling>
        <c:delete val="0"/>
        <c:axPos val="b"/>
        <c:numFmt formatCode="General" sourceLinked="0"/>
        <c:majorTickMark val="out"/>
        <c:minorTickMark val="none"/>
        <c:tickLblPos val="nextTo"/>
        <c:crossAx val="302759992"/>
        <c:crosses val="autoZero"/>
        <c:auto val="1"/>
        <c:lblAlgn val="ctr"/>
        <c:lblOffset val="100"/>
        <c:noMultiLvlLbl val="0"/>
      </c:catAx>
      <c:valAx>
        <c:axId val="302759992"/>
        <c:scaling>
          <c:orientation val="minMax"/>
          <c:min val="0"/>
        </c:scaling>
        <c:delete val="0"/>
        <c:axPos val="l"/>
        <c:majorGridlines/>
        <c:numFmt formatCode="General" sourceLinked="1"/>
        <c:majorTickMark val="out"/>
        <c:minorTickMark val="none"/>
        <c:tickLblPos val="nextTo"/>
        <c:crossAx val="3027631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extLst>
            <c:ext xmlns:c16="http://schemas.microsoft.com/office/drawing/2014/chart" uri="{C3380CC4-5D6E-409C-BE32-E72D297353CC}">
              <c16:uniqueId val="{00000000-C3E3-4DD7-BBB2-D8192AE294CE}"/>
            </c:ext>
          </c:extLst>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extLst>
            <c:ext xmlns:c16="http://schemas.microsoft.com/office/drawing/2014/chart" uri="{C3380CC4-5D6E-409C-BE32-E72D297353CC}">
              <c16:uniqueId val="{00000001-C3E3-4DD7-BBB2-D8192AE294CE}"/>
            </c:ext>
          </c:extLst>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extLst>
            <c:ext xmlns:c16="http://schemas.microsoft.com/office/drawing/2014/chart" uri="{C3380CC4-5D6E-409C-BE32-E72D297353CC}">
              <c16:uniqueId val="{00000002-C3E3-4DD7-BBB2-D8192AE294CE}"/>
            </c:ext>
          </c:extLst>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extLst>
            <c:ext xmlns:c16="http://schemas.microsoft.com/office/drawing/2014/chart" uri="{C3380CC4-5D6E-409C-BE32-E72D297353CC}">
              <c16:uniqueId val="{00000003-C3E3-4DD7-BBB2-D8192AE294CE}"/>
            </c:ext>
          </c:extLst>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extLst>
            <c:ext xmlns:c16="http://schemas.microsoft.com/office/drawing/2014/chart" uri="{C3380CC4-5D6E-409C-BE32-E72D297353CC}">
              <c16:uniqueId val="{00000004-C3E3-4DD7-BBB2-D8192AE294CE}"/>
            </c:ext>
          </c:extLst>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extLst>
            <c:ext xmlns:c16="http://schemas.microsoft.com/office/drawing/2014/chart" uri="{C3380CC4-5D6E-409C-BE32-E72D297353CC}">
              <c16:uniqueId val="{00000005-C3E3-4DD7-BBB2-D8192AE294CE}"/>
            </c:ext>
          </c:extLst>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extLst>
            <c:ext xmlns:c16="http://schemas.microsoft.com/office/drawing/2014/chart" uri="{C3380CC4-5D6E-409C-BE32-E72D297353CC}">
              <c16:uniqueId val="{00000006-C3E3-4DD7-BBB2-D8192AE294CE}"/>
            </c:ext>
          </c:extLst>
        </c:ser>
        <c:dLbls>
          <c:showLegendKey val="0"/>
          <c:showVal val="0"/>
          <c:showCatName val="0"/>
          <c:showSerName val="0"/>
          <c:showPercent val="0"/>
          <c:showBubbleSize val="0"/>
        </c:dLbls>
        <c:gapWidth val="150"/>
        <c:overlap val="100"/>
        <c:axId val="298723008"/>
        <c:axId val="298718696"/>
      </c:barChart>
      <c:catAx>
        <c:axId val="298723008"/>
        <c:scaling>
          <c:orientation val="minMax"/>
        </c:scaling>
        <c:delete val="0"/>
        <c:axPos val="b"/>
        <c:numFmt formatCode="General" sourceLinked="1"/>
        <c:majorTickMark val="out"/>
        <c:minorTickMark val="none"/>
        <c:tickLblPos val="nextTo"/>
        <c:crossAx val="298718696"/>
        <c:crosses val="autoZero"/>
        <c:auto val="1"/>
        <c:lblAlgn val="ctr"/>
        <c:lblOffset val="100"/>
        <c:noMultiLvlLbl val="0"/>
      </c:catAx>
      <c:valAx>
        <c:axId val="298718696"/>
        <c:scaling>
          <c:orientation val="minMax"/>
        </c:scaling>
        <c:delete val="0"/>
        <c:axPos val="l"/>
        <c:majorGridlines/>
        <c:numFmt formatCode="_-* #,##0\ [$€-C0A]_-;\-* #,##0\ [$€-C0A]_-;_-* &quot;-&quot;??\ [$€-C0A]_-;_-@_-" sourceLinked="1"/>
        <c:majorTickMark val="out"/>
        <c:minorTickMark val="none"/>
        <c:tickLblPos val="nextTo"/>
        <c:crossAx val="2987230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extLst>
            <c:ext xmlns:c16="http://schemas.microsoft.com/office/drawing/2014/chart" uri="{C3380CC4-5D6E-409C-BE32-E72D297353CC}">
              <c16:uniqueId val="{00000000-9887-45D6-B954-1C919B110AF4}"/>
            </c:ext>
          </c:extLst>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extLst>
            <c:ext xmlns:c16="http://schemas.microsoft.com/office/drawing/2014/chart" uri="{C3380CC4-5D6E-409C-BE32-E72D297353CC}">
              <c16:uniqueId val="{00000001-9887-45D6-B954-1C919B110AF4}"/>
            </c:ext>
          </c:extLst>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extLst>
            <c:ext xmlns:c16="http://schemas.microsoft.com/office/drawing/2014/chart" uri="{C3380CC4-5D6E-409C-BE32-E72D297353CC}">
              <c16:uniqueId val="{00000002-9887-45D6-B954-1C919B110AF4}"/>
            </c:ext>
          </c:extLst>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extLst>
            <c:ext xmlns:c16="http://schemas.microsoft.com/office/drawing/2014/chart" uri="{C3380CC4-5D6E-409C-BE32-E72D297353CC}">
              <c16:uniqueId val="{00000003-9887-45D6-B954-1C919B110AF4}"/>
            </c:ext>
          </c:extLst>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extLst>
            <c:ext xmlns:c16="http://schemas.microsoft.com/office/drawing/2014/chart" uri="{C3380CC4-5D6E-409C-BE32-E72D297353CC}">
              <c16:uniqueId val="{00000004-9887-45D6-B954-1C919B110AF4}"/>
            </c:ext>
          </c:extLst>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extLst>
            <c:ext xmlns:c16="http://schemas.microsoft.com/office/drawing/2014/chart" uri="{C3380CC4-5D6E-409C-BE32-E72D297353CC}">
              <c16:uniqueId val="{00000005-9887-45D6-B954-1C919B110AF4}"/>
            </c:ext>
          </c:extLst>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extLst>
            <c:ext xmlns:c16="http://schemas.microsoft.com/office/drawing/2014/chart" uri="{C3380CC4-5D6E-409C-BE32-E72D297353CC}">
              <c16:uniqueId val="{00000006-9887-45D6-B954-1C919B110AF4}"/>
            </c:ext>
          </c:extLst>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extLst>
            <c:ext xmlns:c16="http://schemas.microsoft.com/office/drawing/2014/chart" uri="{C3380CC4-5D6E-409C-BE32-E72D297353CC}">
              <c16:uniqueId val="{00000007-9887-45D6-B954-1C919B110AF4}"/>
            </c:ext>
          </c:extLst>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extLst>
            <c:ext xmlns:c16="http://schemas.microsoft.com/office/drawing/2014/chart" uri="{C3380CC4-5D6E-409C-BE32-E72D297353CC}">
              <c16:uniqueId val="{00000008-9887-45D6-B954-1C919B110AF4}"/>
            </c:ext>
          </c:extLst>
        </c:ser>
        <c:dLbls>
          <c:showLegendKey val="0"/>
          <c:showVal val="0"/>
          <c:showCatName val="0"/>
          <c:showSerName val="0"/>
          <c:showPercent val="0"/>
          <c:showBubbleSize val="0"/>
        </c:dLbls>
        <c:gapWidth val="150"/>
        <c:overlap val="100"/>
        <c:axId val="298725360"/>
        <c:axId val="298719480"/>
      </c:barChart>
      <c:catAx>
        <c:axId val="298725360"/>
        <c:scaling>
          <c:orientation val="minMax"/>
        </c:scaling>
        <c:delete val="0"/>
        <c:axPos val="b"/>
        <c:numFmt formatCode="General" sourceLinked="1"/>
        <c:majorTickMark val="out"/>
        <c:minorTickMark val="none"/>
        <c:tickLblPos val="nextTo"/>
        <c:crossAx val="298719480"/>
        <c:crosses val="autoZero"/>
        <c:auto val="1"/>
        <c:lblAlgn val="ctr"/>
        <c:lblOffset val="100"/>
        <c:noMultiLvlLbl val="0"/>
      </c:catAx>
      <c:valAx>
        <c:axId val="298719480"/>
        <c:scaling>
          <c:orientation val="minMax"/>
        </c:scaling>
        <c:delete val="0"/>
        <c:axPos val="l"/>
        <c:majorGridlines/>
        <c:numFmt formatCode="_-* #,##0\ [$€-C0A]_-;\-* #,##0\ [$€-C0A]_-;_-* &quot;-&quot;??\ [$€-C0A]_-;_-@_-" sourceLinked="1"/>
        <c:majorTickMark val="out"/>
        <c:minorTickMark val="none"/>
        <c:tickLblPos val="nextTo"/>
        <c:crossAx val="2987253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extLst>
            <c:ext xmlns:c16="http://schemas.microsoft.com/office/drawing/2014/chart" uri="{C3380CC4-5D6E-409C-BE32-E72D297353CC}">
              <c16:uniqueId val="{00000000-8E19-456D-9272-DD081655DBAB}"/>
            </c:ext>
          </c:extLst>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extLst>
            <c:ext xmlns:c16="http://schemas.microsoft.com/office/drawing/2014/chart" uri="{C3380CC4-5D6E-409C-BE32-E72D297353CC}">
              <c16:uniqueId val="{00000001-8E19-456D-9272-DD081655DBAB}"/>
            </c:ext>
          </c:extLst>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extLst>
            <c:ext xmlns:c16="http://schemas.microsoft.com/office/drawing/2014/chart" uri="{C3380CC4-5D6E-409C-BE32-E72D297353CC}">
              <c16:uniqueId val="{00000002-8E19-456D-9272-DD081655DBAB}"/>
            </c:ext>
          </c:extLst>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extLst>
            <c:ext xmlns:c16="http://schemas.microsoft.com/office/drawing/2014/chart" uri="{C3380CC4-5D6E-409C-BE32-E72D297353CC}">
              <c16:uniqueId val="{00000003-8E19-456D-9272-DD081655DBAB}"/>
            </c:ext>
          </c:extLst>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extLst>
            <c:ext xmlns:c16="http://schemas.microsoft.com/office/drawing/2014/chart" uri="{C3380CC4-5D6E-409C-BE32-E72D297353CC}">
              <c16:uniqueId val="{00000004-8E19-456D-9272-DD081655DBAB}"/>
            </c:ext>
          </c:extLst>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extLst>
            <c:ext xmlns:c16="http://schemas.microsoft.com/office/drawing/2014/chart" uri="{C3380CC4-5D6E-409C-BE32-E72D297353CC}">
              <c16:uniqueId val="{00000005-8E19-456D-9272-DD081655DBAB}"/>
            </c:ext>
          </c:extLst>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extLst>
            <c:ext xmlns:c16="http://schemas.microsoft.com/office/drawing/2014/chart" uri="{C3380CC4-5D6E-409C-BE32-E72D297353CC}">
              <c16:uniqueId val="{00000006-8E19-456D-9272-DD081655DBAB}"/>
            </c:ext>
          </c:extLst>
        </c:ser>
        <c:dLbls>
          <c:showLegendKey val="0"/>
          <c:showVal val="0"/>
          <c:showCatName val="0"/>
          <c:showSerName val="0"/>
          <c:showPercent val="0"/>
          <c:showBubbleSize val="0"/>
        </c:dLbls>
        <c:gapWidth val="150"/>
        <c:overlap val="100"/>
        <c:axId val="298721048"/>
        <c:axId val="298721832"/>
      </c:barChart>
      <c:catAx>
        <c:axId val="298721048"/>
        <c:scaling>
          <c:orientation val="minMax"/>
        </c:scaling>
        <c:delete val="0"/>
        <c:axPos val="b"/>
        <c:numFmt formatCode="General" sourceLinked="1"/>
        <c:majorTickMark val="out"/>
        <c:minorTickMark val="none"/>
        <c:tickLblPos val="nextTo"/>
        <c:crossAx val="298721832"/>
        <c:crosses val="autoZero"/>
        <c:auto val="1"/>
        <c:lblAlgn val="ctr"/>
        <c:lblOffset val="100"/>
        <c:noMultiLvlLbl val="0"/>
      </c:catAx>
      <c:valAx>
        <c:axId val="298721832"/>
        <c:scaling>
          <c:orientation val="minMax"/>
        </c:scaling>
        <c:delete val="0"/>
        <c:axPos val="l"/>
        <c:majorGridlines/>
        <c:numFmt formatCode="_-* #,##0\ [$€-C0A]_-;\-* #,##0\ [$€-C0A]_-;_-* &quot;-&quot;??\ [$€-C0A]_-;_-@_-" sourceLinked="1"/>
        <c:majorTickMark val="out"/>
        <c:minorTickMark val="none"/>
        <c:tickLblPos val="nextTo"/>
        <c:crossAx val="2987210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extLst>
            <c:ext xmlns:c16="http://schemas.microsoft.com/office/drawing/2014/chart" uri="{C3380CC4-5D6E-409C-BE32-E72D297353CC}">
              <c16:uniqueId val="{00000000-8E2F-4C1D-8BB2-1AA31BC4BBA7}"/>
            </c:ext>
          </c:extLst>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extLst>
            <c:ext xmlns:c16="http://schemas.microsoft.com/office/drawing/2014/chart" uri="{C3380CC4-5D6E-409C-BE32-E72D297353CC}">
              <c16:uniqueId val="{00000001-8E2F-4C1D-8BB2-1AA31BC4BBA7}"/>
            </c:ext>
          </c:extLst>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extLst>
            <c:ext xmlns:c16="http://schemas.microsoft.com/office/drawing/2014/chart" uri="{C3380CC4-5D6E-409C-BE32-E72D297353CC}">
              <c16:uniqueId val="{00000002-8E2F-4C1D-8BB2-1AA31BC4BBA7}"/>
            </c:ext>
          </c:extLst>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extLst>
            <c:ext xmlns:c16="http://schemas.microsoft.com/office/drawing/2014/chart" uri="{C3380CC4-5D6E-409C-BE32-E72D297353CC}">
              <c16:uniqueId val="{00000003-8E2F-4C1D-8BB2-1AA31BC4BBA7}"/>
            </c:ext>
          </c:extLst>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extLst>
            <c:ext xmlns:c16="http://schemas.microsoft.com/office/drawing/2014/chart" uri="{C3380CC4-5D6E-409C-BE32-E72D297353CC}">
              <c16:uniqueId val="{00000004-8E2F-4C1D-8BB2-1AA31BC4BBA7}"/>
            </c:ext>
          </c:extLst>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extLst>
            <c:ext xmlns:c16="http://schemas.microsoft.com/office/drawing/2014/chart" uri="{C3380CC4-5D6E-409C-BE32-E72D297353CC}">
              <c16:uniqueId val="{00000005-8E2F-4C1D-8BB2-1AA31BC4BBA7}"/>
            </c:ext>
          </c:extLst>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extLst>
            <c:ext xmlns:c16="http://schemas.microsoft.com/office/drawing/2014/chart" uri="{C3380CC4-5D6E-409C-BE32-E72D297353CC}">
              <c16:uniqueId val="{00000006-8E2F-4C1D-8BB2-1AA31BC4BBA7}"/>
            </c:ext>
          </c:extLst>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extLst>
            <c:ext xmlns:c16="http://schemas.microsoft.com/office/drawing/2014/chart" uri="{C3380CC4-5D6E-409C-BE32-E72D297353CC}">
              <c16:uniqueId val="{00000007-8E2F-4C1D-8BB2-1AA31BC4BBA7}"/>
            </c:ext>
          </c:extLst>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extLst>
            <c:ext xmlns:c16="http://schemas.microsoft.com/office/drawing/2014/chart" uri="{C3380CC4-5D6E-409C-BE32-E72D297353CC}">
              <c16:uniqueId val="{00000008-8E2F-4C1D-8BB2-1AA31BC4BBA7}"/>
            </c:ext>
          </c:extLst>
        </c:ser>
        <c:dLbls>
          <c:showLegendKey val="0"/>
          <c:showVal val="0"/>
          <c:showCatName val="0"/>
          <c:showSerName val="0"/>
          <c:showPercent val="0"/>
          <c:showBubbleSize val="0"/>
        </c:dLbls>
        <c:gapWidth val="150"/>
        <c:overlap val="100"/>
        <c:axId val="282069536"/>
        <c:axId val="282068752"/>
      </c:barChart>
      <c:catAx>
        <c:axId val="282069536"/>
        <c:scaling>
          <c:orientation val="minMax"/>
        </c:scaling>
        <c:delete val="0"/>
        <c:axPos val="b"/>
        <c:numFmt formatCode="General" sourceLinked="1"/>
        <c:majorTickMark val="out"/>
        <c:minorTickMark val="none"/>
        <c:tickLblPos val="nextTo"/>
        <c:crossAx val="282068752"/>
        <c:crosses val="autoZero"/>
        <c:auto val="1"/>
        <c:lblAlgn val="ctr"/>
        <c:lblOffset val="100"/>
        <c:noMultiLvlLbl val="0"/>
      </c:catAx>
      <c:valAx>
        <c:axId val="282068752"/>
        <c:scaling>
          <c:orientation val="minMax"/>
        </c:scaling>
        <c:delete val="0"/>
        <c:axPos val="l"/>
        <c:majorGridlines/>
        <c:numFmt formatCode="_-* #,##0\ [$€-C0A]_-;\-* #,##0\ [$€-C0A]_-;_-* &quot;-&quot;??\ [$€-C0A]_-;_-@_-" sourceLinked="1"/>
        <c:majorTickMark val="out"/>
        <c:minorTickMark val="none"/>
        <c:tickLblPos val="nextTo"/>
        <c:crossAx val="2820695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extLst>
            <c:ext xmlns:c16="http://schemas.microsoft.com/office/drawing/2014/chart" uri="{C3380CC4-5D6E-409C-BE32-E72D297353CC}">
              <c16:uniqueId val="{00000000-E0C3-428D-933B-1F395E043D68}"/>
            </c:ext>
          </c:extLst>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extLst>
            <c:ext xmlns:c16="http://schemas.microsoft.com/office/drawing/2014/chart" uri="{C3380CC4-5D6E-409C-BE32-E72D297353CC}">
              <c16:uniqueId val="{00000001-E0C3-428D-933B-1F395E043D68}"/>
            </c:ext>
          </c:extLst>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extLst>
            <c:ext xmlns:c16="http://schemas.microsoft.com/office/drawing/2014/chart" uri="{C3380CC4-5D6E-409C-BE32-E72D297353CC}">
              <c16:uniqueId val="{00000002-E0C3-428D-933B-1F395E043D68}"/>
            </c:ext>
          </c:extLst>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extLst>
            <c:ext xmlns:c16="http://schemas.microsoft.com/office/drawing/2014/chart" uri="{C3380CC4-5D6E-409C-BE32-E72D297353CC}">
              <c16:uniqueId val="{00000003-E0C3-428D-933B-1F395E043D68}"/>
            </c:ext>
          </c:extLst>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extLst>
            <c:ext xmlns:c16="http://schemas.microsoft.com/office/drawing/2014/chart" uri="{C3380CC4-5D6E-409C-BE32-E72D297353CC}">
              <c16:uniqueId val="{00000004-E0C3-428D-933B-1F395E043D68}"/>
            </c:ext>
          </c:extLst>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extLst>
            <c:ext xmlns:c16="http://schemas.microsoft.com/office/drawing/2014/chart" uri="{C3380CC4-5D6E-409C-BE32-E72D297353CC}">
              <c16:uniqueId val="{00000005-E0C3-428D-933B-1F395E043D68}"/>
            </c:ext>
          </c:extLst>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extLst>
            <c:ext xmlns:c16="http://schemas.microsoft.com/office/drawing/2014/chart" uri="{C3380CC4-5D6E-409C-BE32-E72D297353CC}">
              <c16:uniqueId val="{00000006-E0C3-428D-933B-1F395E043D68}"/>
            </c:ext>
          </c:extLst>
        </c:ser>
        <c:dLbls>
          <c:showLegendKey val="0"/>
          <c:showVal val="0"/>
          <c:showCatName val="0"/>
          <c:showSerName val="0"/>
          <c:showPercent val="0"/>
          <c:showBubbleSize val="0"/>
        </c:dLbls>
        <c:gapWidth val="150"/>
        <c:overlap val="100"/>
        <c:axId val="282071888"/>
        <c:axId val="282072280"/>
      </c:barChart>
      <c:catAx>
        <c:axId val="282071888"/>
        <c:scaling>
          <c:orientation val="minMax"/>
        </c:scaling>
        <c:delete val="0"/>
        <c:axPos val="b"/>
        <c:numFmt formatCode="General" sourceLinked="1"/>
        <c:majorTickMark val="out"/>
        <c:minorTickMark val="none"/>
        <c:tickLblPos val="nextTo"/>
        <c:crossAx val="282072280"/>
        <c:crosses val="autoZero"/>
        <c:auto val="1"/>
        <c:lblAlgn val="ctr"/>
        <c:lblOffset val="100"/>
        <c:noMultiLvlLbl val="0"/>
      </c:catAx>
      <c:valAx>
        <c:axId val="282072280"/>
        <c:scaling>
          <c:orientation val="minMax"/>
        </c:scaling>
        <c:delete val="0"/>
        <c:axPos val="l"/>
        <c:majorGridlines/>
        <c:numFmt formatCode="_-* #,##0\ [$€-C0A]_-;\-* #,##0\ [$€-C0A]_-;_-* &quot;-&quot;??\ [$€-C0A]_-;_-@_-" sourceLinked="1"/>
        <c:majorTickMark val="out"/>
        <c:minorTickMark val="none"/>
        <c:tickLblPos val="nextTo"/>
        <c:crossAx val="2820718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extLst>
            <c:ext xmlns:c16="http://schemas.microsoft.com/office/drawing/2014/chart" uri="{C3380CC4-5D6E-409C-BE32-E72D297353CC}">
              <c16:uniqueId val="{00000000-7207-4339-92F0-6F2CD94E42AB}"/>
            </c:ext>
          </c:extLst>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extLst>
            <c:ext xmlns:c16="http://schemas.microsoft.com/office/drawing/2014/chart" uri="{C3380CC4-5D6E-409C-BE32-E72D297353CC}">
              <c16:uniqueId val="{00000001-7207-4339-92F0-6F2CD94E42AB}"/>
            </c:ext>
          </c:extLst>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extLst>
            <c:ext xmlns:c16="http://schemas.microsoft.com/office/drawing/2014/chart" uri="{C3380CC4-5D6E-409C-BE32-E72D297353CC}">
              <c16:uniqueId val="{00000002-7207-4339-92F0-6F2CD94E42AB}"/>
            </c:ext>
          </c:extLst>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extLst>
            <c:ext xmlns:c16="http://schemas.microsoft.com/office/drawing/2014/chart" uri="{C3380CC4-5D6E-409C-BE32-E72D297353CC}">
              <c16:uniqueId val="{00000003-7207-4339-92F0-6F2CD94E42AB}"/>
            </c:ext>
          </c:extLst>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extLst>
            <c:ext xmlns:c16="http://schemas.microsoft.com/office/drawing/2014/chart" uri="{C3380CC4-5D6E-409C-BE32-E72D297353CC}">
              <c16:uniqueId val="{00000004-7207-4339-92F0-6F2CD94E42AB}"/>
            </c:ext>
          </c:extLst>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extLst>
            <c:ext xmlns:c16="http://schemas.microsoft.com/office/drawing/2014/chart" uri="{C3380CC4-5D6E-409C-BE32-E72D297353CC}">
              <c16:uniqueId val="{00000005-7207-4339-92F0-6F2CD94E42AB}"/>
            </c:ext>
          </c:extLst>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extLst>
            <c:ext xmlns:c16="http://schemas.microsoft.com/office/drawing/2014/chart" uri="{C3380CC4-5D6E-409C-BE32-E72D297353CC}">
              <c16:uniqueId val="{00000006-7207-4339-92F0-6F2CD94E42AB}"/>
            </c:ext>
          </c:extLst>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extLst>
            <c:ext xmlns:c16="http://schemas.microsoft.com/office/drawing/2014/chart" uri="{C3380CC4-5D6E-409C-BE32-E72D297353CC}">
              <c16:uniqueId val="{00000007-7207-4339-92F0-6F2CD94E42AB}"/>
            </c:ext>
          </c:extLst>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extLst>
            <c:ext xmlns:c16="http://schemas.microsoft.com/office/drawing/2014/chart" uri="{C3380CC4-5D6E-409C-BE32-E72D297353CC}">
              <c16:uniqueId val="{00000008-7207-4339-92F0-6F2CD94E42AB}"/>
            </c:ext>
          </c:extLst>
        </c:ser>
        <c:dLbls>
          <c:showLegendKey val="0"/>
          <c:showVal val="0"/>
          <c:showCatName val="0"/>
          <c:showSerName val="0"/>
          <c:showPercent val="0"/>
          <c:showBubbleSize val="0"/>
        </c:dLbls>
        <c:gapWidth val="150"/>
        <c:overlap val="100"/>
        <c:axId val="282070320"/>
        <c:axId val="282073064"/>
      </c:barChart>
      <c:catAx>
        <c:axId val="282070320"/>
        <c:scaling>
          <c:orientation val="minMax"/>
        </c:scaling>
        <c:delete val="0"/>
        <c:axPos val="b"/>
        <c:numFmt formatCode="General" sourceLinked="1"/>
        <c:majorTickMark val="out"/>
        <c:minorTickMark val="none"/>
        <c:tickLblPos val="nextTo"/>
        <c:crossAx val="282073064"/>
        <c:crosses val="autoZero"/>
        <c:auto val="1"/>
        <c:lblAlgn val="ctr"/>
        <c:lblOffset val="100"/>
        <c:noMultiLvlLbl val="0"/>
      </c:catAx>
      <c:valAx>
        <c:axId val="282073064"/>
        <c:scaling>
          <c:orientation val="minMax"/>
        </c:scaling>
        <c:delete val="0"/>
        <c:axPos val="l"/>
        <c:majorGridlines/>
        <c:numFmt formatCode="_-* #,##0\ [$€-C0A]_-;\-* #,##0\ [$€-C0A]_-;_-* &quot;-&quot;??\ [$€-C0A]_-;_-@_-" sourceLinked="1"/>
        <c:majorTickMark val="out"/>
        <c:minorTickMark val="none"/>
        <c:tickLblPos val="nextTo"/>
        <c:crossAx val="2820703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extLst>
            <c:ext xmlns:c16="http://schemas.microsoft.com/office/drawing/2014/chart" uri="{C3380CC4-5D6E-409C-BE32-E72D297353CC}">
              <c16:uniqueId val="{00000000-55E6-437F-8715-13950ADC3DD9}"/>
            </c:ext>
          </c:extLst>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extLst>
            <c:ext xmlns:c16="http://schemas.microsoft.com/office/drawing/2014/chart" uri="{C3380CC4-5D6E-409C-BE32-E72D297353CC}">
              <c16:uniqueId val="{00000001-55E6-437F-8715-13950ADC3DD9}"/>
            </c:ext>
          </c:extLst>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extLst>
            <c:ext xmlns:c16="http://schemas.microsoft.com/office/drawing/2014/chart" uri="{C3380CC4-5D6E-409C-BE32-E72D297353CC}">
              <c16:uniqueId val="{00000002-55E6-437F-8715-13950ADC3DD9}"/>
            </c:ext>
          </c:extLst>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extLst>
            <c:ext xmlns:c16="http://schemas.microsoft.com/office/drawing/2014/chart" uri="{C3380CC4-5D6E-409C-BE32-E72D297353CC}">
              <c16:uniqueId val="{00000003-55E6-437F-8715-13950ADC3DD9}"/>
            </c:ext>
          </c:extLst>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extLst>
            <c:ext xmlns:c16="http://schemas.microsoft.com/office/drawing/2014/chart" uri="{C3380CC4-5D6E-409C-BE32-E72D297353CC}">
              <c16:uniqueId val="{00000004-55E6-437F-8715-13950ADC3DD9}"/>
            </c:ext>
          </c:extLst>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extLst>
            <c:ext xmlns:c16="http://schemas.microsoft.com/office/drawing/2014/chart" uri="{C3380CC4-5D6E-409C-BE32-E72D297353CC}">
              <c16:uniqueId val="{00000005-55E6-437F-8715-13950ADC3DD9}"/>
            </c:ext>
          </c:extLst>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extLst>
            <c:ext xmlns:c16="http://schemas.microsoft.com/office/drawing/2014/chart" uri="{C3380CC4-5D6E-409C-BE32-E72D297353CC}">
              <c16:uniqueId val="{00000006-55E6-437F-8715-13950ADC3DD9}"/>
            </c:ext>
          </c:extLst>
        </c:ser>
        <c:dLbls>
          <c:showLegendKey val="0"/>
          <c:showVal val="0"/>
          <c:showCatName val="0"/>
          <c:showSerName val="0"/>
          <c:showPercent val="0"/>
          <c:showBubbleSize val="0"/>
        </c:dLbls>
        <c:gapWidth val="150"/>
        <c:overlap val="100"/>
        <c:axId val="282065616"/>
        <c:axId val="282066008"/>
      </c:barChart>
      <c:catAx>
        <c:axId val="282065616"/>
        <c:scaling>
          <c:orientation val="minMax"/>
        </c:scaling>
        <c:delete val="0"/>
        <c:axPos val="b"/>
        <c:numFmt formatCode="General" sourceLinked="1"/>
        <c:majorTickMark val="out"/>
        <c:minorTickMark val="none"/>
        <c:tickLblPos val="nextTo"/>
        <c:crossAx val="282066008"/>
        <c:crosses val="autoZero"/>
        <c:auto val="1"/>
        <c:lblAlgn val="ctr"/>
        <c:lblOffset val="100"/>
        <c:noMultiLvlLbl val="0"/>
      </c:catAx>
      <c:valAx>
        <c:axId val="282066008"/>
        <c:scaling>
          <c:orientation val="minMax"/>
        </c:scaling>
        <c:delete val="0"/>
        <c:axPos val="l"/>
        <c:majorGridlines/>
        <c:numFmt formatCode="_-* #,##0\ [$€-C0A]_-;\-* #,##0\ [$€-C0A]_-;_-* &quot;-&quot;??\ [$€-C0A]_-;_-@_-" sourceLinked="1"/>
        <c:majorTickMark val="out"/>
        <c:minorTickMark val="none"/>
        <c:tickLblPos val="nextTo"/>
        <c:crossAx val="2820656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a:extLst>
            <a:ext uri="{FF2B5EF4-FFF2-40B4-BE49-F238E27FC236}">
              <a16:creationId xmlns:a16="http://schemas.microsoft.com/office/drawing/2014/main" id="{00000000-0008-0000-0400-00001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a:extLst>
            <a:ext uri="{FF2B5EF4-FFF2-40B4-BE49-F238E27FC236}">
              <a16:creationId xmlns:a16="http://schemas.microsoft.com/office/drawing/2014/main" id="{00000000-0008-0000-0400-00002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a:extLst>
            <a:ext uri="{FF2B5EF4-FFF2-40B4-BE49-F238E27FC236}">
              <a16:creationId xmlns:a16="http://schemas.microsoft.com/office/drawing/2014/main" id="{00000000-0008-0000-0400-00002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a:extLst>
            <a:ext uri="{FF2B5EF4-FFF2-40B4-BE49-F238E27FC236}">
              <a16:creationId xmlns:a16="http://schemas.microsoft.com/office/drawing/2014/main" id="{00000000-0008-0000-0400-00002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a:extLst>
            <a:ext uri="{FF2B5EF4-FFF2-40B4-BE49-F238E27FC236}">
              <a16:creationId xmlns:a16="http://schemas.microsoft.com/office/drawing/2014/main" id="{00000000-0008-0000-0400-00002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a:extLst>
            <a:ext uri="{FF2B5EF4-FFF2-40B4-BE49-F238E27FC236}">
              <a16:creationId xmlns:a16="http://schemas.microsoft.com/office/drawing/2014/main" id="{00000000-0008-0000-0400-00003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a:extLst>
            <a:ext uri="{FF2B5EF4-FFF2-40B4-BE49-F238E27FC236}">
              <a16:creationId xmlns:a16="http://schemas.microsoft.com/office/drawing/2014/main" id="{00000000-0008-0000-0400-00004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a:extLst>
            <a:ext uri="{FF2B5EF4-FFF2-40B4-BE49-F238E27FC236}">
              <a16:creationId xmlns:a16="http://schemas.microsoft.com/office/drawing/2014/main" id="{00000000-0008-0000-0400-00004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a:extLst>
            <a:ext uri="{FF2B5EF4-FFF2-40B4-BE49-F238E27FC236}">
              <a16:creationId xmlns:a16="http://schemas.microsoft.com/office/drawing/2014/main" id="{00000000-0008-0000-0400-00004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a:extLst>
            <a:ext uri="{FF2B5EF4-FFF2-40B4-BE49-F238E27FC236}">
              <a16:creationId xmlns:a16="http://schemas.microsoft.com/office/drawing/2014/main" id="{00000000-0008-0000-0400-00004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a:extLst>
            <a:ext uri="{FF2B5EF4-FFF2-40B4-BE49-F238E27FC236}">
              <a16:creationId xmlns:a16="http://schemas.microsoft.com/office/drawing/2014/main" id="{00000000-0008-0000-0400-00004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a:extLst>
            <a:ext uri="{FF2B5EF4-FFF2-40B4-BE49-F238E27FC236}">
              <a16:creationId xmlns:a16="http://schemas.microsoft.com/office/drawing/2014/main" id="{00000000-0008-0000-0400-00004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a:extLst>
            <a:ext uri="{FF2B5EF4-FFF2-40B4-BE49-F238E27FC236}">
              <a16:creationId xmlns:a16="http://schemas.microsoft.com/office/drawing/2014/main" id="{00000000-0008-0000-0400-00004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a:extLst>
            <a:ext uri="{FF2B5EF4-FFF2-40B4-BE49-F238E27FC236}">
              <a16:creationId xmlns:a16="http://schemas.microsoft.com/office/drawing/2014/main" id="{00000000-0008-0000-0400-00004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a:extLst>
            <a:ext uri="{FF2B5EF4-FFF2-40B4-BE49-F238E27FC236}">
              <a16:creationId xmlns:a16="http://schemas.microsoft.com/office/drawing/2014/main" id="{00000000-0008-0000-0400-00004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a:extLst>
            <a:ext uri="{FF2B5EF4-FFF2-40B4-BE49-F238E27FC236}">
              <a16:creationId xmlns:a16="http://schemas.microsoft.com/office/drawing/2014/main" id="{00000000-0008-0000-0400-00004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a:extLst>
            <a:ext uri="{FF2B5EF4-FFF2-40B4-BE49-F238E27FC236}">
              <a16:creationId xmlns:a16="http://schemas.microsoft.com/office/drawing/2014/main" id="{00000000-0008-0000-0400-00004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a:extLst>
            <a:ext uri="{FF2B5EF4-FFF2-40B4-BE49-F238E27FC236}">
              <a16:creationId xmlns:a16="http://schemas.microsoft.com/office/drawing/2014/main" id="{00000000-0008-0000-0400-00005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a:extLst>
            <a:ext uri="{FF2B5EF4-FFF2-40B4-BE49-F238E27FC236}">
              <a16:creationId xmlns:a16="http://schemas.microsoft.com/office/drawing/2014/main" id="{00000000-0008-0000-0400-00005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a:extLst>
            <a:ext uri="{FF2B5EF4-FFF2-40B4-BE49-F238E27FC236}">
              <a16:creationId xmlns:a16="http://schemas.microsoft.com/office/drawing/2014/main" id="{00000000-0008-0000-04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a:extLst>
            <a:ext uri="{FF2B5EF4-FFF2-40B4-BE49-F238E27FC236}">
              <a16:creationId xmlns:a16="http://schemas.microsoft.com/office/drawing/2014/main" id="{00000000-0008-0000-0400-00005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a:extLst>
            <a:ext uri="{FF2B5EF4-FFF2-40B4-BE49-F238E27FC236}">
              <a16:creationId xmlns:a16="http://schemas.microsoft.com/office/drawing/2014/main" id="{00000000-0008-0000-0400-00005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a:extLst>
            <a:ext uri="{FF2B5EF4-FFF2-40B4-BE49-F238E27FC236}">
              <a16:creationId xmlns:a16="http://schemas.microsoft.com/office/drawing/2014/main" id="{00000000-0008-0000-0400-00005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a:extLst>
            <a:ext uri="{FF2B5EF4-FFF2-40B4-BE49-F238E27FC236}">
              <a16:creationId xmlns:a16="http://schemas.microsoft.com/office/drawing/2014/main" id="{00000000-0008-0000-0400-00005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a:extLst>
            <a:ext uri="{FF2B5EF4-FFF2-40B4-BE49-F238E27FC236}">
              <a16:creationId xmlns:a16="http://schemas.microsoft.com/office/drawing/2014/main" id="{00000000-0008-0000-04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a:extLst>
            <a:ext uri="{FF2B5EF4-FFF2-40B4-BE49-F238E27FC236}">
              <a16:creationId xmlns:a16="http://schemas.microsoft.com/office/drawing/2014/main" id="{00000000-0008-0000-0400-00005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a:extLst>
            <a:ext uri="{FF2B5EF4-FFF2-40B4-BE49-F238E27FC236}">
              <a16:creationId xmlns:a16="http://schemas.microsoft.com/office/drawing/2014/main" id="{00000000-0008-0000-0400-00005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a:extLst>
            <a:ext uri="{FF2B5EF4-FFF2-40B4-BE49-F238E27FC236}">
              <a16:creationId xmlns:a16="http://schemas.microsoft.com/office/drawing/2014/main" id="{00000000-0008-0000-0400-00005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a:extLst>
            <a:ext uri="{FF2B5EF4-FFF2-40B4-BE49-F238E27FC236}">
              <a16:creationId xmlns:a16="http://schemas.microsoft.com/office/drawing/2014/main" id="{00000000-0008-0000-0400-00005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a:extLst>
            <a:ext uri="{FF2B5EF4-FFF2-40B4-BE49-F238E27FC236}">
              <a16:creationId xmlns:a16="http://schemas.microsoft.com/office/drawing/2014/main" id="{00000000-0008-0000-0400-00005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a:extLst>
            <a:ext uri="{FF2B5EF4-FFF2-40B4-BE49-F238E27FC236}">
              <a16:creationId xmlns:a16="http://schemas.microsoft.com/office/drawing/2014/main" id="{00000000-0008-0000-0400-00005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a:extLst>
            <a:ext uri="{FF2B5EF4-FFF2-40B4-BE49-F238E27FC236}">
              <a16:creationId xmlns:a16="http://schemas.microsoft.com/office/drawing/2014/main" id="{00000000-0008-0000-0400-00006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a:extLst>
            <a:ext uri="{FF2B5EF4-FFF2-40B4-BE49-F238E27FC236}">
              <a16:creationId xmlns:a16="http://schemas.microsoft.com/office/drawing/2014/main" id="{00000000-0008-0000-0400-00006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a:extLst>
            <a:ext uri="{FF2B5EF4-FFF2-40B4-BE49-F238E27FC236}">
              <a16:creationId xmlns:a16="http://schemas.microsoft.com/office/drawing/2014/main" id="{00000000-0008-0000-0400-00006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a:extLst>
            <a:ext uri="{FF2B5EF4-FFF2-40B4-BE49-F238E27FC236}">
              <a16:creationId xmlns:a16="http://schemas.microsoft.com/office/drawing/2014/main" id="{00000000-0008-0000-0400-00006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a:extLst>
            <a:ext uri="{FF2B5EF4-FFF2-40B4-BE49-F238E27FC236}">
              <a16:creationId xmlns:a16="http://schemas.microsoft.com/office/drawing/2014/main" id="{00000000-0008-0000-0400-00006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a:extLst>
            <a:ext uri="{FF2B5EF4-FFF2-40B4-BE49-F238E27FC236}">
              <a16:creationId xmlns:a16="http://schemas.microsoft.com/office/drawing/2014/main" id="{00000000-0008-0000-0400-00006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a:extLst>
            <a:ext uri="{FF2B5EF4-FFF2-40B4-BE49-F238E27FC236}">
              <a16:creationId xmlns:a16="http://schemas.microsoft.com/office/drawing/2014/main" id="{00000000-0008-0000-0400-00006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a:extLst>
            <a:ext uri="{FF2B5EF4-FFF2-40B4-BE49-F238E27FC236}">
              <a16:creationId xmlns:a16="http://schemas.microsoft.com/office/drawing/2014/main" id="{00000000-0008-0000-0400-00006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a:extLst>
            <a:ext uri="{FF2B5EF4-FFF2-40B4-BE49-F238E27FC236}">
              <a16:creationId xmlns:a16="http://schemas.microsoft.com/office/drawing/2014/main" id="{00000000-0008-0000-0400-00006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a:extLst>
            <a:ext uri="{FF2B5EF4-FFF2-40B4-BE49-F238E27FC236}">
              <a16:creationId xmlns:a16="http://schemas.microsoft.com/office/drawing/2014/main" id="{00000000-0008-0000-0400-00006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a:extLst>
            <a:ext uri="{FF2B5EF4-FFF2-40B4-BE49-F238E27FC236}">
              <a16:creationId xmlns:a16="http://schemas.microsoft.com/office/drawing/2014/main" id="{00000000-0008-0000-0400-00006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a:extLst>
            <a:ext uri="{FF2B5EF4-FFF2-40B4-BE49-F238E27FC236}">
              <a16:creationId xmlns:a16="http://schemas.microsoft.com/office/drawing/2014/main" id="{00000000-0008-0000-0400-00006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a:extLst>
            <a:ext uri="{FF2B5EF4-FFF2-40B4-BE49-F238E27FC236}">
              <a16:creationId xmlns:a16="http://schemas.microsoft.com/office/drawing/2014/main" id="{00000000-0008-0000-0400-00006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a:extLst>
            <a:ext uri="{FF2B5EF4-FFF2-40B4-BE49-F238E27FC236}">
              <a16:creationId xmlns:a16="http://schemas.microsoft.com/office/drawing/2014/main" id="{00000000-0008-0000-0400-00006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a:extLst>
            <a:ext uri="{FF2B5EF4-FFF2-40B4-BE49-F238E27FC236}">
              <a16:creationId xmlns:a16="http://schemas.microsoft.com/office/drawing/2014/main" id="{00000000-0008-0000-0400-00006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a:extLst>
            <a:ext uri="{FF2B5EF4-FFF2-40B4-BE49-F238E27FC236}">
              <a16:creationId xmlns:a16="http://schemas.microsoft.com/office/drawing/2014/main" id="{00000000-0008-0000-0400-00006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a:extLst>
            <a:ext uri="{FF2B5EF4-FFF2-40B4-BE49-F238E27FC236}">
              <a16:creationId xmlns:a16="http://schemas.microsoft.com/office/drawing/2014/main" id="{00000000-0008-0000-0400-00007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a:extLst>
            <a:ext uri="{FF2B5EF4-FFF2-40B4-BE49-F238E27FC236}">
              <a16:creationId xmlns:a16="http://schemas.microsoft.com/office/drawing/2014/main" id="{00000000-0008-0000-0400-00007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a:extLst>
            <a:ext uri="{FF2B5EF4-FFF2-40B4-BE49-F238E27FC236}">
              <a16:creationId xmlns:a16="http://schemas.microsoft.com/office/drawing/2014/main" id="{00000000-0008-0000-0400-00007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a:extLst>
            <a:ext uri="{FF2B5EF4-FFF2-40B4-BE49-F238E27FC236}">
              <a16:creationId xmlns:a16="http://schemas.microsoft.com/office/drawing/2014/main" id="{00000000-0008-0000-0400-00007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a:extLst>
            <a:ext uri="{FF2B5EF4-FFF2-40B4-BE49-F238E27FC236}">
              <a16:creationId xmlns:a16="http://schemas.microsoft.com/office/drawing/2014/main" id="{00000000-0008-0000-0400-00007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a:extLst>
            <a:ext uri="{FF2B5EF4-FFF2-40B4-BE49-F238E27FC236}">
              <a16:creationId xmlns:a16="http://schemas.microsoft.com/office/drawing/2014/main" id="{00000000-0008-0000-0400-00007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a:extLst>
            <a:ext uri="{FF2B5EF4-FFF2-40B4-BE49-F238E27FC236}">
              <a16:creationId xmlns:a16="http://schemas.microsoft.com/office/drawing/2014/main" id="{00000000-0008-0000-0400-00007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a:extLst>
            <a:ext uri="{FF2B5EF4-FFF2-40B4-BE49-F238E27FC236}">
              <a16:creationId xmlns:a16="http://schemas.microsoft.com/office/drawing/2014/main" id="{00000000-0008-0000-0400-00007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a:extLst>
            <a:ext uri="{FF2B5EF4-FFF2-40B4-BE49-F238E27FC236}">
              <a16:creationId xmlns:a16="http://schemas.microsoft.com/office/drawing/2014/main" id="{00000000-0008-0000-0400-00007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a:extLst>
            <a:ext uri="{FF2B5EF4-FFF2-40B4-BE49-F238E27FC236}">
              <a16:creationId xmlns:a16="http://schemas.microsoft.com/office/drawing/2014/main" id="{00000000-0008-0000-0400-00007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a:extLst>
            <a:ext uri="{FF2B5EF4-FFF2-40B4-BE49-F238E27FC236}">
              <a16:creationId xmlns:a16="http://schemas.microsoft.com/office/drawing/2014/main" id="{00000000-0008-0000-0400-00007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a:extLst>
            <a:ext uri="{FF2B5EF4-FFF2-40B4-BE49-F238E27FC236}">
              <a16:creationId xmlns:a16="http://schemas.microsoft.com/office/drawing/2014/main" id="{00000000-0008-0000-0400-00007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a:extLst>
            <a:ext uri="{FF2B5EF4-FFF2-40B4-BE49-F238E27FC236}">
              <a16:creationId xmlns:a16="http://schemas.microsoft.com/office/drawing/2014/main" id="{00000000-0008-0000-0400-00007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a:extLst>
            <a:ext uri="{FF2B5EF4-FFF2-40B4-BE49-F238E27FC236}">
              <a16:creationId xmlns:a16="http://schemas.microsoft.com/office/drawing/2014/main" id="{00000000-0008-0000-0400-00007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a:extLst>
            <a:ext uri="{FF2B5EF4-FFF2-40B4-BE49-F238E27FC236}">
              <a16:creationId xmlns:a16="http://schemas.microsoft.com/office/drawing/2014/main" id="{00000000-0008-0000-0400-00007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a:extLst>
            <a:ext uri="{FF2B5EF4-FFF2-40B4-BE49-F238E27FC236}">
              <a16:creationId xmlns:a16="http://schemas.microsoft.com/office/drawing/2014/main" id="{00000000-0008-0000-0400-00007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a:extLst>
            <a:ext uri="{FF2B5EF4-FFF2-40B4-BE49-F238E27FC236}">
              <a16:creationId xmlns:a16="http://schemas.microsoft.com/office/drawing/2014/main" id="{00000000-0008-0000-0400-00008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a:extLst>
            <a:ext uri="{FF2B5EF4-FFF2-40B4-BE49-F238E27FC236}">
              <a16:creationId xmlns:a16="http://schemas.microsoft.com/office/drawing/2014/main" id="{00000000-0008-0000-04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a:extLst>
            <a:ext uri="{FF2B5EF4-FFF2-40B4-BE49-F238E27FC236}">
              <a16:creationId xmlns:a16="http://schemas.microsoft.com/office/drawing/2014/main" id="{00000000-0008-0000-0400-00008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a:extLst>
            <a:ext uri="{FF2B5EF4-FFF2-40B4-BE49-F238E27FC236}">
              <a16:creationId xmlns:a16="http://schemas.microsoft.com/office/drawing/2014/main" id="{00000000-0008-0000-0400-00008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a:extLst>
            <a:ext uri="{FF2B5EF4-FFF2-40B4-BE49-F238E27FC236}">
              <a16:creationId xmlns:a16="http://schemas.microsoft.com/office/drawing/2014/main" id="{00000000-0008-0000-0400-00008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a:extLst>
            <a:ext uri="{FF2B5EF4-FFF2-40B4-BE49-F238E27FC236}">
              <a16:creationId xmlns:a16="http://schemas.microsoft.com/office/drawing/2014/main" id="{00000000-0008-0000-0400-00008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a:extLst>
            <a:ext uri="{FF2B5EF4-FFF2-40B4-BE49-F238E27FC236}">
              <a16:creationId xmlns:a16="http://schemas.microsoft.com/office/drawing/2014/main" id="{00000000-0008-0000-0400-00008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a:extLst>
            <a:ext uri="{FF2B5EF4-FFF2-40B4-BE49-F238E27FC236}">
              <a16:creationId xmlns:a16="http://schemas.microsoft.com/office/drawing/2014/main" id="{00000000-0008-0000-0400-00008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a:extLst>
            <a:ext uri="{FF2B5EF4-FFF2-40B4-BE49-F238E27FC236}">
              <a16:creationId xmlns:a16="http://schemas.microsoft.com/office/drawing/2014/main" id="{00000000-0008-0000-0400-00008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a:extLst>
            <a:ext uri="{FF2B5EF4-FFF2-40B4-BE49-F238E27FC236}">
              <a16:creationId xmlns:a16="http://schemas.microsoft.com/office/drawing/2014/main" id="{00000000-0008-0000-0400-00008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a:extLst>
            <a:ext uri="{FF2B5EF4-FFF2-40B4-BE49-F238E27FC236}">
              <a16:creationId xmlns:a16="http://schemas.microsoft.com/office/drawing/2014/main" id="{00000000-0008-0000-0400-00008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a:extLst>
            <a:ext uri="{FF2B5EF4-FFF2-40B4-BE49-F238E27FC236}">
              <a16:creationId xmlns:a16="http://schemas.microsoft.com/office/drawing/2014/main" id="{00000000-0008-0000-0400-00008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a:extLst>
            <a:ext uri="{FF2B5EF4-FFF2-40B4-BE49-F238E27FC236}">
              <a16:creationId xmlns:a16="http://schemas.microsoft.com/office/drawing/2014/main" id="{00000000-0008-0000-0400-00008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a:extLst>
            <a:ext uri="{FF2B5EF4-FFF2-40B4-BE49-F238E27FC236}">
              <a16:creationId xmlns:a16="http://schemas.microsoft.com/office/drawing/2014/main" id="{00000000-0008-0000-0400-00008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a:extLst>
            <a:ext uri="{FF2B5EF4-FFF2-40B4-BE49-F238E27FC236}">
              <a16:creationId xmlns:a16="http://schemas.microsoft.com/office/drawing/2014/main" id="{00000000-0008-0000-0400-00008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a:extLst>
            <a:ext uri="{FF2B5EF4-FFF2-40B4-BE49-F238E27FC236}">
              <a16:creationId xmlns:a16="http://schemas.microsoft.com/office/drawing/2014/main" id="{00000000-0008-0000-04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a:extLst>
            <a:ext uri="{FF2B5EF4-FFF2-40B4-BE49-F238E27FC236}">
              <a16:creationId xmlns:a16="http://schemas.microsoft.com/office/drawing/2014/main" id="{00000000-0008-0000-0400-00009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a:extLst>
            <a:ext uri="{FF2B5EF4-FFF2-40B4-BE49-F238E27FC236}">
              <a16:creationId xmlns:a16="http://schemas.microsoft.com/office/drawing/2014/main" id="{00000000-0008-0000-0400-00009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a:extLst>
            <a:ext uri="{FF2B5EF4-FFF2-40B4-BE49-F238E27FC236}">
              <a16:creationId xmlns:a16="http://schemas.microsoft.com/office/drawing/2014/main" id="{00000000-0008-0000-0400-00009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a:extLst>
            <a:ext uri="{FF2B5EF4-FFF2-40B4-BE49-F238E27FC236}">
              <a16:creationId xmlns:a16="http://schemas.microsoft.com/office/drawing/2014/main" id="{00000000-0008-0000-0400-00009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a:extLst>
            <a:ext uri="{FF2B5EF4-FFF2-40B4-BE49-F238E27FC236}">
              <a16:creationId xmlns:a16="http://schemas.microsoft.com/office/drawing/2014/main" id="{00000000-0008-0000-0400-00009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a:extLst>
            <a:ext uri="{FF2B5EF4-FFF2-40B4-BE49-F238E27FC236}">
              <a16:creationId xmlns:a16="http://schemas.microsoft.com/office/drawing/2014/main" id="{00000000-0008-0000-0400-00009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a:extLst>
            <a:ext uri="{FF2B5EF4-FFF2-40B4-BE49-F238E27FC236}">
              <a16:creationId xmlns:a16="http://schemas.microsoft.com/office/drawing/2014/main" id="{00000000-0008-0000-04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a:extLst>
            <a:ext uri="{FF2B5EF4-FFF2-40B4-BE49-F238E27FC236}">
              <a16:creationId xmlns:a16="http://schemas.microsoft.com/office/drawing/2014/main" id="{00000000-0008-0000-0400-00009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a:extLst>
            <a:ext uri="{FF2B5EF4-FFF2-40B4-BE49-F238E27FC236}">
              <a16:creationId xmlns:a16="http://schemas.microsoft.com/office/drawing/2014/main" id="{00000000-0008-0000-0400-00009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a:extLst>
            <a:ext uri="{FF2B5EF4-FFF2-40B4-BE49-F238E27FC236}">
              <a16:creationId xmlns:a16="http://schemas.microsoft.com/office/drawing/2014/main" id="{00000000-0008-0000-0400-00009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a:extLst>
            <a:ext uri="{FF2B5EF4-FFF2-40B4-BE49-F238E27FC236}">
              <a16:creationId xmlns:a16="http://schemas.microsoft.com/office/drawing/2014/main" id="{00000000-0008-0000-0400-00009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a:extLst>
            <a:ext uri="{FF2B5EF4-FFF2-40B4-BE49-F238E27FC236}">
              <a16:creationId xmlns:a16="http://schemas.microsoft.com/office/drawing/2014/main" id="{00000000-0008-0000-0400-00009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a:extLst>
            <a:ext uri="{FF2B5EF4-FFF2-40B4-BE49-F238E27FC236}">
              <a16:creationId xmlns:a16="http://schemas.microsoft.com/office/drawing/2014/main" id="{00000000-0008-0000-0400-00009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a:extLst>
            <a:ext uri="{FF2B5EF4-FFF2-40B4-BE49-F238E27FC236}">
              <a16:creationId xmlns:a16="http://schemas.microsoft.com/office/drawing/2014/main" id="{00000000-0008-0000-0400-00009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a:extLst>
            <a:ext uri="{FF2B5EF4-FFF2-40B4-BE49-F238E27FC236}">
              <a16:creationId xmlns:a16="http://schemas.microsoft.com/office/drawing/2014/main" id="{00000000-0008-0000-0400-00009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a:extLst>
            <a:ext uri="{FF2B5EF4-FFF2-40B4-BE49-F238E27FC236}">
              <a16:creationId xmlns:a16="http://schemas.microsoft.com/office/drawing/2014/main" id="{00000000-0008-0000-04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a:extLst>
            <a:ext uri="{FF2B5EF4-FFF2-40B4-BE49-F238E27FC236}">
              <a16:creationId xmlns:a16="http://schemas.microsoft.com/office/drawing/2014/main" id="{00000000-0008-0000-0400-0000A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a:extLst>
            <a:ext uri="{FF2B5EF4-FFF2-40B4-BE49-F238E27FC236}">
              <a16:creationId xmlns:a16="http://schemas.microsoft.com/office/drawing/2014/main" id="{00000000-0008-0000-0400-0000A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a:extLst>
            <a:ext uri="{FF2B5EF4-FFF2-40B4-BE49-F238E27FC236}">
              <a16:creationId xmlns:a16="http://schemas.microsoft.com/office/drawing/2014/main" id="{00000000-0008-0000-04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a:extLst>
            <a:ext uri="{FF2B5EF4-FFF2-40B4-BE49-F238E27FC236}">
              <a16:creationId xmlns:a16="http://schemas.microsoft.com/office/drawing/2014/main" id="{00000000-0008-0000-0400-0000A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a:extLst>
            <a:ext uri="{FF2B5EF4-FFF2-40B4-BE49-F238E27FC236}">
              <a16:creationId xmlns:a16="http://schemas.microsoft.com/office/drawing/2014/main" id="{00000000-0008-0000-0400-0000A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a:extLst>
            <a:ext uri="{FF2B5EF4-FFF2-40B4-BE49-F238E27FC236}">
              <a16:creationId xmlns:a16="http://schemas.microsoft.com/office/drawing/2014/main" id="{00000000-0008-0000-0400-0000A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a:extLst>
            <a:ext uri="{FF2B5EF4-FFF2-40B4-BE49-F238E27FC236}">
              <a16:creationId xmlns:a16="http://schemas.microsoft.com/office/drawing/2014/main" id="{00000000-0008-0000-0400-0000A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a:extLst>
            <a:ext uri="{FF2B5EF4-FFF2-40B4-BE49-F238E27FC236}">
              <a16:creationId xmlns:a16="http://schemas.microsoft.com/office/drawing/2014/main" id="{00000000-0008-0000-0400-0000A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a:extLst>
            <a:ext uri="{FF2B5EF4-FFF2-40B4-BE49-F238E27FC236}">
              <a16:creationId xmlns:a16="http://schemas.microsoft.com/office/drawing/2014/main" id="{00000000-0008-0000-0400-0000A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a:extLst>
            <a:ext uri="{FF2B5EF4-FFF2-40B4-BE49-F238E27FC236}">
              <a16:creationId xmlns:a16="http://schemas.microsoft.com/office/drawing/2014/main" id="{00000000-0008-0000-0400-0000A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a:extLst>
            <a:ext uri="{FF2B5EF4-FFF2-40B4-BE49-F238E27FC236}">
              <a16:creationId xmlns:a16="http://schemas.microsoft.com/office/drawing/2014/main" id="{00000000-0008-0000-0400-0000A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a:extLst>
            <a:ext uri="{FF2B5EF4-FFF2-40B4-BE49-F238E27FC236}">
              <a16:creationId xmlns:a16="http://schemas.microsoft.com/office/drawing/2014/main" id="{00000000-0008-0000-0400-0000A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a:extLst>
            <a:ext uri="{FF2B5EF4-FFF2-40B4-BE49-F238E27FC236}">
              <a16:creationId xmlns:a16="http://schemas.microsoft.com/office/drawing/2014/main" id="{00000000-0008-0000-0400-0000A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a:extLst>
            <a:ext uri="{FF2B5EF4-FFF2-40B4-BE49-F238E27FC236}">
              <a16:creationId xmlns:a16="http://schemas.microsoft.com/office/drawing/2014/main" id="{00000000-0008-0000-0400-0000A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a:extLst>
            <a:ext uri="{FF2B5EF4-FFF2-40B4-BE49-F238E27FC236}">
              <a16:creationId xmlns:a16="http://schemas.microsoft.com/office/drawing/2014/main" id="{00000000-0008-0000-0400-0000A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a:extLst>
            <a:ext uri="{FF2B5EF4-FFF2-40B4-BE49-F238E27FC236}">
              <a16:creationId xmlns:a16="http://schemas.microsoft.com/office/drawing/2014/main" id="{00000000-0008-0000-0400-0000A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a:extLst>
            <a:ext uri="{FF2B5EF4-FFF2-40B4-BE49-F238E27FC236}">
              <a16:creationId xmlns:a16="http://schemas.microsoft.com/office/drawing/2014/main" id="{00000000-0008-0000-0400-0000B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a:extLst>
            <a:ext uri="{FF2B5EF4-FFF2-40B4-BE49-F238E27FC236}">
              <a16:creationId xmlns:a16="http://schemas.microsoft.com/office/drawing/2014/main" id="{00000000-0008-0000-0400-0000B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a:extLst>
            <a:ext uri="{FF2B5EF4-FFF2-40B4-BE49-F238E27FC236}">
              <a16:creationId xmlns:a16="http://schemas.microsoft.com/office/drawing/2014/main" id="{00000000-0008-0000-0400-0000B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a:extLst>
            <a:ext uri="{FF2B5EF4-FFF2-40B4-BE49-F238E27FC236}">
              <a16:creationId xmlns:a16="http://schemas.microsoft.com/office/drawing/2014/main" id="{00000000-0008-0000-0400-0000B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a:extLst>
            <a:ext uri="{FF2B5EF4-FFF2-40B4-BE49-F238E27FC236}">
              <a16:creationId xmlns:a16="http://schemas.microsoft.com/office/drawing/2014/main" id="{00000000-0008-0000-0400-0000B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a:extLst>
            <a:ext uri="{FF2B5EF4-FFF2-40B4-BE49-F238E27FC236}">
              <a16:creationId xmlns:a16="http://schemas.microsoft.com/office/drawing/2014/main" id="{00000000-0008-0000-0400-0000B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a:extLst>
            <a:ext uri="{FF2B5EF4-FFF2-40B4-BE49-F238E27FC236}">
              <a16:creationId xmlns:a16="http://schemas.microsoft.com/office/drawing/2014/main" id="{00000000-0008-0000-0400-0000B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a:extLst>
            <a:ext uri="{FF2B5EF4-FFF2-40B4-BE49-F238E27FC236}">
              <a16:creationId xmlns:a16="http://schemas.microsoft.com/office/drawing/2014/main" id="{00000000-0008-0000-0400-0000B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a:extLst>
            <a:ext uri="{FF2B5EF4-FFF2-40B4-BE49-F238E27FC236}">
              <a16:creationId xmlns:a16="http://schemas.microsoft.com/office/drawing/2014/main" id="{00000000-0008-0000-0400-0000B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a:extLst>
            <a:ext uri="{FF2B5EF4-FFF2-40B4-BE49-F238E27FC236}">
              <a16:creationId xmlns:a16="http://schemas.microsoft.com/office/drawing/2014/main" id="{00000000-0008-0000-0400-0000B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a:extLst>
            <a:ext uri="{FF2B5EF4-FFF2-40B4-BE49-F238E27FC236}">
              <a16:creationId xmlns:a16="http://schemas.microsoft.com/office/drawing/2014/main" id="{00000000-0008-0000-0400-0000B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a:extLst>
            <a:ext uri="{FF2B5EF4-FFF2-40B4-BE49-F238E27FC236}">
              <a16:creationId xmlns:a16="http://schemas.microsoft.com/office/drawing/2014/main" id="{00000000-0008-0000-0400-0000B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a:extLst>
            <a:ext uri="{FF2B5EF4-FFF2-40B4-BE49-F238E27FC236}">
              <a16:creationId xmlns:a16="http://schemas.microsoft.com/office/drawing/2014/main" id="{00000000-0008-0000-0400-0000B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a:extLst>
            <a:ext uri="{FF2B5EF4-FFF2-40B4-BE49-F238E27FC236}">
              <a16:creationId xmlns:a16="http://schemas.microsoft.com/office/drawing/2014/main" id="{00000000-0008-0000-0400-0000B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a:extLst>
            <a:ext uri="{FF2B5EF4-FFF2-40B4-BE49-F238E27FC236}">
              <a16:creationId xmlns:a16="http://schemas.microsoft.com/office/drawing/2014/main" id="{00000000-0008-0000-0400-0000B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a:extLst>
            <a:ext uri="{FF2B5EF4-FFF2-40B4-BE49-F238E27FC236}">
              <a16:creationId xmlns:a16="http://schemas.microsoft.com/office/drawing/2014/main" id="{00000000-0008-0000-0400-0000B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a:extLst>
            <a:ext uri="{FF2B5EF4-FFF2-40B4-BE49-F238E27FC236}">
              <a16:creationId xmlns:a16="http://schemas.microsoft.com/office/drawing/2014/main" id="{00000000-0008-0000-0400-0000C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a:extLst>
            <a:ext uri="{FF2B5EF4-FFF2-40B4-BE49-F238E27FC236}">
              <a16:creationId xmlns:a16="http://schemas.microsoft.com/office/drawing/2014/main" id="{00000000-0008-0000-0400-0000C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a:extLst>
            <a:ext uri="{FF2B5EF4-FFF2-40B4-BE49-F238E27FC236}">
              <a16:creationId xmlns:a16="http://schemas.microsoft.com/office/drawing/2014/main" id="{00000000-0008-0000-0400-0000C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a:extLst>
            <a:ext uri="{FF2B5EF4-FFF2-40B4-BE49-F238E27FC236}">
              <a16:creationId xmlns:a16="http://schemas.microsoft.com/office/drawing/2014/main" id="{00000000-0008-0000-0400-0000C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a:extLst>
            <a:ext uri="{FF2B5EF4-FFF2-40B4-BE49-F238E27FC236}">
              <a16:creationId xmlns:a16="http://schemas.microsoft.com/office/drawing/2014/main" id="{00000000-0008-0000-0400-0000C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a:extLst>
            <a:ext uri="{FF2B5EF4-FFF2-40B4-BE49-F238E27FC236}">
              <a16:creationId xmlns:a16="http://schemas.microsoft.com/office/drawing/2014/main" id="{00000000-0008-0000-0400-0000C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a:extLst>
            <a:ext uri="{FF2B5EF4-FFF2-40B4-BE49-F238E27FC236}">
              <a16:creationId xmlns:a16="http://schemas.microsoft.com/office/drawing/2014/main" id="{00000000-0008-0000-0400-0000C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a:extLst>
            <a:ext uri="{FF2B5EF4-FFF2-40B4-BE49-F238E27FC236}">
              <a16:creationId xmlns:a16="http://schemas.microsoft.com/office/drawing/2014/main" id="{00000000-0008-0000-0400-0000C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a:extLst>
            <a:ext uri="{FF2B5EF4-FFF2-40B4-BE49-F238E27FC236}">
              <a16:creationId xmlns:a16="http://schemas.microsoft.com/office/drawing/2014/main" id="{00000000-0008-0000-0400-0000C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a:extLst>
            <a:ext uri="{FF2B5EF4-FFF2-40B4-BE49-F238E27FC236}">
              <a16:creationId xmlns:a16="http://schemas.microsoft.com/office/drawing/2014/main" id="{00000000-0008-0000-0400-0000C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a:extLst>
            <a:ext uri="{FF2B5EF4-FFF2-40B4-BE49-F238E27FC236}">
              <a16:creationId xmlns:a16="http://schemas.microsoft.com/office/drawing/2014/main" id="{00000000-0008-0000-04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a:extLst>
            <a:ext uri="{FF2B5EF4-FFF2-40B4-BE49-F238E27FC236}">
              <a16:creationId xmlns:a16="http://schemas.microsoft.com/office/drawing/2014/main" id="{00000000-0008-0000-0400-0000C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a:extLst>
            <a:ext uri="{FF2B5EF4-FFF2-40B4-BE49-F238E27FC236}">
              <a16:creationId xmlns:a16="http://schemas.microsoft.com/office/drawing/2014/main" id="{00000000-0008-0000-0400-0000C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a:extLst>
            <a:ext uri="{FF2B5EF4-FFF2-40B4-BE49-F238E27FC236}">
              <a16:creationId xmlns:a16="http://schemas.microsoft.com/office/drawing/2014/main" id="{00000000-0008-0000-0400-0000C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a:extLst>
            <a:ext uri="{FF2B5EF4-FFF2-40B4-BE49-F238E27FC236}">
              <a16:creationId xmlns:a16="http://schemas.microsoft.com/office/drawing/2014/main" id="{00000000-0008-0000-0400-0000C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a:extLst>
            <a:ext uri="{FF2B5EF4-FFF2-40B4-BE49-F238E27FC236}">
              <a16:creationId xmlns:a16="http://schemas.microsoft.com/office/drawing/2014/main" id="{00000000-0008-0000-0400-0000C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a:extLst>
            <a:ext uri="{FF2B5EF4-FFF2-40B4-BE49-F238E27FC236}">
              <a16:creationId xmlns:a16="http://schemas.microsoft.com/office/drawing/2014/main" id="{00000000-0008-0000-0400-0000D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a:extLst>
            <a:ext uri="{FF2B5EF4-FFF2-40B4-BE49-F238E27FC236}">
              <a16:creationId xmlns:a16="http://schemas.microsoft.com/office/drawing/2014/main" id="{00000000-0008-0000-0400-0000D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a:extLst>
            <a:ext uri="{FF2B5EF4-FFF2-40B4-BE49-F238E27FC236}">
              <a16:creationId xmlns:a16="http://schemas.microsoft.com/office/drawing/2014/main" id="{00000000-0008-0000-0400-0000D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a:extLst>
            <a:ext uri="{FF2B5EF4-FFF2-40B4-BE49-F238E27FC236}">
              <a16:creationId xmlns:a16="http://schemas.microsoft.com/office/drawing/2014/main" id="{00000000-0008-0000-0400-0000D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a:extLst>
            <a:ext uri="{FF2B5EF4-FFF2-40B4-BE49-F238E27FC236}">
              <a16:creationId xmlns:a16="http://schemas.microsoft.com/office/drawing/2014/main" id="{00000000-0008-0000-0400-0000D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a:extLst>
            <a:ext uri="{FF2B5EF4-FFF2-40B4-BE49-F238E27FC236}">
              <a16:creationId xmlns:a16="http://schemas.microsoft.com/office/drawing/2014/main" id="{00000000-0008-0000-0400-0000D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a:extLst>
            <a:ext uri="{FF2B5EF4-FFF2-40B4-BE49-F238E27FC236}">
              <a16:creationId xmlns:a16="http://schemas.microsoft.com/office/drawing/2014/main" id="{00000000-0008-0000-0400-0000D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a:extLst>
            <a:ext uri="{FF2B5EF4-FFF2-40B4-BE49-F238E27FC236}">
              <a16:creationId xmlns:a16="http://schemas.microsoft.com/office/drawing/2014/main" id="{00000000-0008-0000-0400-0000D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a:extLst>
            <a:ext uri="{FF2B5EF4-FFF2-40B4-BE49-F238E27FC236}">
              <a16:creationId xmlns:a16="http://schemas.microsoft.com/office/drawing/2014/main" id="{00000000-0008-0000-0400-0000D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a:extLst>
            <a:ext uri="{FF2B5EF4-FFF2-40B4-BE49-F238E27FC236}">
              <a16:creationId xmlns:a16="http://schemas.microsoft.com/office/drawing/2014/main" id="{00000000-0008-0000-0400-0000D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a:extLst>
            <a:ext uri="{FF2B5EF4-FFF2-40B4-BE49-F238E27FC236}">
              <a16:creationId xmlns:a16="http://schemas.microsoft.com/office/drawing/2014/main" id="{00000000-0008-0000-0400-0000D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a:extLst>
            <a:ext uri="{FF2B5EF4-FFF2-40B4-BE49-F238E27FC236}">
              <a16:creationId xmlns:a16="http://schemas.microsoft.com/office/drawing/2014/main" id="{00000000-0008-0000-0400-0000D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a:extLst>
            <a:ext uri="{FF2B5EF4-FFF2-40B4-BE49-F238E27FC236}">
              <a16:creationId xmlns:a16="http://schemas.microsoft.com/office/drawing/2014/main" id="{00000000-0008-0000-0400-0000D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a:extLst>
            <a:ext uri="{FF2B5EF4-FFF2-40B4-BE49-F238E27FC236}">
              <a16:creationId xmlns:a16="http://schemas.microsoft.com/office/drawing/2014/main" id="{00000000-0008-0000-0400-0000D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a:extLst>
            <a:ext uri="{FF2B5EF4-FFF2-40B4-BE49-F238E27FC236}">
              <a16:creationId xmlns:a16="http://schemas.microsoft.com/office/drawing/2014/main" id="{00000000-0008-0000-0400-0000D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a:extLst>
            <a:ext uri="{FF2B5EF4-FFF2-40B4-BE49-F238E27FC236}">
              <a16:creationId xmlns:a16="http://schemas.microsoft.com/office/drawing/2014/main" id="{00000000-0008-0000-0400-0000D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a:extLst>
            <a:ext uri="{FF2B5EF4-FFF2-40B4-BE49-F238E27FC236}">
              <a16:creationId xmlns:a16="http://schemas.microsoft.com/office/drawing/2014/main" id="{00000000-0008-0000-0400-0000E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a:extLst>
            <a:ext uri="{FF2B5EF4-FFF2-40B4-BE49-F238E27FC236}">
              <a16:creationId xmlns:a16="http://schemas.microsoft.com/office/drawing/2014/main" id="{00000000-0008-0000-0400-0000E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a:extLst>
            <a:ext uri="{FF2B5EF4-FFF2-40B4-BE49-F238E27FC236}">
              <a16:creationId xmlns:a16="http://schemas.microsoft.com/office/drawing/2014/main" id="{00000000-0008-0000-0400-0000E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a:extLst>
            <a:ext uri="{FF2B5EF4-FFF2-40B4-BE49-F238E27FC236}">
              <a16:creationId xmlns:a16="http://schemas.microsoft.com/office/drawing/2014/main" id="{00000000-0008-0000-0400-0000E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a:extLst>
            <a:ext uri="{FF2B5EF4-FFF2-40B4-BE49-F238E27FC236}">
              <a16:creationId xmlns:a16="http://schemas.microsoft.com/office/drawing/2014/main" id="{00000000-0008-0000-0400-0000E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a:extLst>
            <a:ext uri="{FF2B5EF4-FFF2-40B4-BE49-F238E27FC236}">
              <a16:creationId xmlns:a16="http://schemas.microsoft.com/office/drawing/2014/main" id="{00000000-0008-0000-04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a:extLst>
            <a:ext uri="{FF2B5EF4-FFF2-40B4-BE49-F238E27FC236}">
              <a16:creationId xmlns:a16="http://schemas.microsoft.com/office/drawing/2014/main" id="{00000000-0008-0000-0400-0000E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a:extLst>
            <a:ext uri="{FF2B5EF4-FFF2-40B4-BE49-F238E27FC236}">
              <a16:creationId xmlns:a16="http://schemas.microsoft.com/office/drawing/2014/main" id="{00000000-0008-0000-04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a:extLst>
            <a:ext uri="{FF2B5EF4-FFF2-40B4-BE49-F238E27FC236}">
              <a16:creationId xmlns:a16="http://schemas.microsoft.com/office/drawing/2014/main" id="{00000000-0008-0000-0400-0000E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a:extLst>
            <a:ext uri="{FF2B5EF4-FFF2-40B4-BE49-F238E27FC236}">
              <a16:creationId xmlns:a16="http://schemas.microsoft.com/office/drawing/2014/main" id="{00000000-0008-0000-0400-0000E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a:extLst>
            <a:ext uri="{FF2B5EF4-FFF2-40B4-BE49-F238E27FC236}">
              <a16:creationId xmlns:a16="http://schemas.microsoft.com/office/drawing/2014/main" id="{00000000-0008-0000-0400-0000E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a:extLst>
            <a:ext uri="{FF2B5EF4-FFF2-40B4-BE49-F238E27FC236}">
              <a16:creationId xmlns:a16="http://schemas.microsoft.com/office/drawing/2014/main" id="{00000000-0008-0000-0400-0000E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a:extLst>
            <a:ext uri="{FF2B5EF4-FFF2-40B4-BE49-F238E27FC236}">
              <a16:creationId xmlns:a16="http://schemas.microsoft.com/office/drawing/2014/main" id="{00000000-0008-0000-0400-0000E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a:extLst>
            <a:ext uri="{FF2B5EF4-FFF2-40B4-BE49-F238E27FC236}">
              <a16:creationId xmlns:a16="http://schemas.microsoft.com/office/drawing/2014/main" id="{00000000-0008-0000-0400-0000E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a:extLst>
            <a:ext uri="{FF2B5EF4-FFF2-40B4-BE49-F238E27FC236}">
              <a16:creationId xmlns:a16="http://schemas.microsoft.com/office/drawing/2014/main" id="{00000000-0008-0000-0400-0000E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a:extLst>
            <a:ext uri="{FF2B5EF4-FFF2-40B4-BE49-F238E27FC236}">
              <a16:creationId xmlns:a16="http://schemas.microsoft.com/office/drawing/2014/main" id="{00000000-0008-0000-04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a:extLst>
            <a:ext uri="{FF2B5EF4-FFF2-40B4-BE49-F238E27FC236}">
              <a16:creationId xmlns:a16="http://schemas.microsoft.com/office/drawing/2014/main" id="{00000000-0008-0000-0400-0000F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a:extLst>
            <a:ext uri="{FF2B5EF4-FFF2-40B4-BE49-F238E27FC236}">
              <a16:creationId xmlns:a16="http://schemas.microsoft.com/office/drawing/2014/main" id="{00000000-0008-0000-0400-0000F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a:extLst>
            <a:ext uri="{FF2B5EF4-FFF2-40B4-BE49-F238E27FC236}">
              <a16:creationId xmlns:a16="http://schemas.microsoft.com/office/drawing/2014/main" id="{00000000-0008-0000-0400-0000F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a:extLst>
            <a:ext uri="{FF2B5EF4-FFF2-40B4-BE49-F238E27FC236}">
              <a16:creationId xmlns:a16="http://schemas.microsoft.com/office/drawing/2014/main" id="{00000000-0008-0000-0400-0000F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a:extLst>
            <a:ext uri="{FF2B5EF4-FFF2-40B4-BE49-F238E27FC236}">
              <a16:creationId xmlns:a16="http://schemas.microsoft.com/office/drawing/2014/main" id="{00000000-0008-0000-0400-0000F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a:extLst>
            <a:ext uri="{FF2B5EF4-FFF2-40B4-BE49-F238E27FC236}">
              <a16:creationId xmlns:a16="http://schemas.microsoft.com/office/drawing/2014/main" id="{00000000-0008-0000-0400-0000F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a:extLst>
            <a:ext uri="{FF2B5EF4-FFF2-40B4-BE49-F238E27FC236}">
              <a16:creationId xmlns:a16="http://schemas.microsoft.com/office/drawing/2014/main" id="{00000000-0008-0000-0400-0000F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a:extLst>
            <a:ext uri="{FF2B5EF4-FFF2-40B4-BE49-F238E27FC236}">
              <a16:creationId xmlns:a16="http://schemas.microsoft.com/office/drawing/2014/main" id="{00000000-0008-0000-0400-0000F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a:extLst>
            <a:ext uri="{FF2B5EF4-FFF2-40B4-BE49-F238E27FC236}">
              <a16:creationId xmlns:a16="http://schemas.microsoft.com/office/drawing/2014/main" id="{00000000-0008-0000-0400-0000F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a:extLst>
            <a:ext uri="{FF2B5EF4-FFF2-40B4-BE49-F238E27FC236}">
              <a16:creationId xmlns:a16="http://schemas.microsoft.com/office/drawing/2014/main" id="{00000000-0008-0000-0400-0000F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a:extLst>
            <a:ext uri="{FF2B5EF4-FFF2-40B4-BE49-F238E27FC236}">
              <a16:creationId xmlns:a16="http://schemas.microsoft.com/office/drawing/2014/main" id="{00000000-0008-0000-0400-0000F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a:extLst>
            <a:ext uri="{FF2B5EF4-FFF2-40B4-BE49-F238E27FC236}">
              <a16:creationId xmlns:a16="http://schemas.microsoft.com/office/drawing/2014/main" id="{00000000-0008-0000-0400-0000F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a:extLst>
            <a:ext uri="{FF2B5EF4-FFF2-40B4-BE49-F238E27FC236}">
              <a16:creationId xmlns:a16="http://schemas.microsoft.com/office/drawing/2014/main" id="{00000000-0008-0000-0400-0000F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a:extLst>
            <a:ext uri="{FF2B5EF4-FFF2-40B4-BE49-F238E27FC236}">
              <a16:creationId xmlns:a16="http://schemas.microsoft.com/office/drawing/2014/main" id="{00000000-0008-0000-0400-0000F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a:extLst>
            <a:ext uri="{FF2B5EF4-FFF2-40B4-BE49-F238E27FC236}">
              <a16:creationId xmlns:a16="http://schemas.microsoft.com/office/drawing/2014/main" id="{00000000-0008-0000-0400-0000F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a:extLst>
            <a:ext uri="{FF2B5EF4-FFF2-40B4-BE49-F238E27FC236}">
              <a16:creationId xmlns:a16="http://schemas.microsoft.com/office/drawing/2014/main" id="{00000000-0008-0000-0400-0000F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a:extLst>
            <a:ext uri="{FF2B5EF4-FFF2-40B4-BE49-F238E27FC236}">
              <a16:creationId xmlns:a16="http://schemas.microsoft.com/office/drawing/2014/main" id="{00000000-0008-0000-0400-00000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a:extLst>
            <a:ext uri="{FF2B5EF4-FFF2-40B4-BE49-F238E27FC236}">
              <a16:creationId xmlns:a16="http://schemas.microsoft.com/office/drawing/2014/main" id="{00000000-0008-0000-04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a:extLst>
            <a:ext uri="{FF2B5EF4-FFF2-40B4-BE49-F238E27FC236}">
              <a16:creationId xmlns:a16="http://schemas.microsoft.com/office/drawing/2014/main" id="{00000000-0008-0000-0400-00000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a:extLst>
            <a:ext uri="{FF2B5EF4-FFF2-40B4-BE49-F238E27FC236}">
              <a16:creationId xmlns:a16="http://schemas.microsoft.com/office/drawing/2014/main" id="{00000000-0008-0000-0400-00000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a:extLst>
            <a:ext uri="{FF2B5EF4-FFF2-40B4-BE49-F238E27FC236}">
              <a16:creationId xmlns:a16="http://schemas.microsoft.com/office/drawing/2014/main" id="{00000000-0008-0000-0400-00000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a:extLst>
            <a:ext uri="{FF2B5EF4-FFF2-40B4-BE49-F238E27FC236}">
              <a16:creationId xmlns:a16="http://schemas.microsoft.com/office/drawing/2014/main" id="{00000000-0008-0000-0400-00000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a:extLst>
            <a:ext uri="{FF2B5EF4-FFF2-40B4-BE49-F238E27FC236}">
              <a16:creationId xmlns:a16="http://schemas.microsoft.com/office/drawing/2014/main" id="{00000000-0008-0000-0400-00000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a:extLst>
            <a:ext uri="{FF2B5EF4-FFF2-40B4-BE49-F238E27FC236}">
              <a16:creationId xmlns:a16="http://schemas.microsoft.com/office/drawing/2014/main" id="{00000000-0008-0000-0400-00000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a:extLst>
            <a:ext uri="{FF2B5EF4-FFF2-40B4-BE49-F238E27FC236}">
              <a16:creationId xmlns:a16="http://schemas.microsoft.com/office/drawing/2014/main" id="{00000000-0008-0000-0400-00000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a:extLst>
            <a:ext uri="{FF2B5EF4-FFF2-40B4-BE49-F238E27FC236}">
              <a16:creationId xmlns:a16="http://schemas.microsoft.com/office/drawing/2014/main" id="{00000000-0008-0000-0400-00000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a:extLst>
            <a:ext uri="{FF2B5EF4-FFF2-40B4-BE49-F238E27FC236}">
              <a16:creationId xmlns:a16="http://schemas.microsoft.com/office/drawing/2014/main" id="{00000000-0008-0000-0400-00000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a:extLst>
            <a:ext uri="{FF2B5EF4-FFF2-40B4-BE49-F238E27FC236}">
              <a16:creationId xmlns:a16="http://schemas.microsoft.com/office/drawing/2014/main" id="{00000000-0008-0000-0400-00000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a:extLst>
            <a:ext uri="{FF2B5EF4-FFF2-40B4-BE49-F238E27FC236}">
              <a16:creationId xmlns:a16="http://schemas.microsoft.com/office/drawing/2014/main" id="{00000000-0008-0000-0400-00000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a:extLst>
            <a:ext uri="{FF2B5EF4-FFF2-40B4-BE49-F238E27FC236}">
              <a16:creationId xmlns:a16="http://schemas.microsoft.com/office/drawing/2014/main" id="{00000000-0008-0000-0400-00000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a:extLst>
            <a:ext uri="{FF2B5EF4-FFF2-40B4-BE49-F238E27FC236}">
              <a16:creationId xmlns:a16="http://schemas.microsoft.com/office/drawing/2014/main" id="{00000000-0008-0000-0400-00000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a:extLst>
            <a:ext uri="{FF2B5EF4-FFF2-40B4-BE49-F238E27FC236}">
              <a16:creationId xmlns:a16="http://schemas.microsoft.com/office/drawing/2014/main" id="{00000000-0008-0000-0400-00000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a:extLst>
            <a:ext uri="{FF2B5EF4-FFF2-40B4-BE49-F238E27FC236}">
              <a16:creationId xmlns:a16="http://schemas.microsoft.com/office/drawing/2014/main" id="{00000000-0008-0000-0400-00001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a:extLst>
            <a:ext uri="{FF2B5EF4-FFF2-40B4-BE49-F238E27FC236}">
              <a16:creationId xmlns:a16="http://schemas.microsoft.com/office/drawing/2014/main" id="{00000000-0008-0000-0400-00001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a:extLst>
            <a:ext uri="{FF2B5EF4-FFF2-40B4-BE49-F238E27FC236}">
              <a16:creationId xmlns:a16="http://schemas.microsoft.com/office/drawing/2014/main" id="{00000000-0008-0000-0400-00001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a:extLst>
            <a:ext uri="{FF2B5EF4-FFF2-40B4-BE49-F238E27FC236}">
              <a16:creationId xmlns:a16="http://schemas.microsoft.com/office/drawing/2014/main" id="{00000000-0008-0000-0400-00001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a:extLst>
            <a:ext uri="{FF2B5EF4-FFF2-40B4-BE49-F238E27FC236}">
              <a16:creationId xmlns:a16="http://schemas.microsoft.com/office/drawing/2014/main" id="{00000000-0008-0000-0400-00001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a:extLst>
            <a:ext uri="{FF2B5EF4-FFF2-40B4-BE49-F238E27FC236}">
              <a16:creationId xmlns:a16="http://schemas.microsoft.com/office/drawing/2014/main" id="{00000000-0008-0000-0400-00001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a:extLst>
            <a:ext uri="{FF2B5EF4-FFF2-40B4-BE49-F238E27FC236}">
              <a16:creationId xmlns:a16="http://schemas.microsoft.com/office/drawing/2014/main" id="{00000000-0008-0000-0400-00001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a:extLst>
            <a:ext uri="{FF2B5EF4-FFF2-40B4-BE49-F238E27FC236}">
              <a16:creationId xmlns:a16="http://schemas.microsoft.com/office/drawing/2014/main" id="{00000000-0008-0000-0400-00001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a:extLst>
            <a:ext uri="{FF2B5EF4-FFF2-40B4-BE49-F238E27FC236}">
              <a16:creationId xmlns:a16="http://schemas.microsoft.com/office/drawing/2014/main" id="{00000000-0008-0000-0400-00001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a:extLst>
            <a:ext uri="{FF2B5EF4-FFF2-40B4-BE49-F238E27FC236}">
              <a16:creationId xmlns:a16="http://schemas.microsoft.com/office/drawing/2014/main" id="{00000000-0008-0000-0400-00001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a:extLst>
            <a:ext uri="{FF2B5EF4-FFF2-40B4-BE49-F238E27FC236}">
              <a16:creationId xmlns:a16="http://schemas.microsoft.com/office/drawing/2014/main" id="{00000000-0008-0000-0400-00001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a:extLst>
            <a:ext uri="{FF2B5EF4-FFF2-40B4-BE49-F238E27FC236}">
              <a16:creationId xmlns:a16="http://schemas.microsoft.com/office/drawing/2014/main" id="{00000000-0008-0000-0400-00001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a:extLst>
            <a:ext uri="{FF2B5EF4-FFF2-40B4-BE49-F238E27FC236}">
              <a16:creationId xmlns:a16="http://schemas.microsoft.com/office/drawing/2014/main" id="{00000000-0008-0000-0400-00001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a:extLst>
            <a:ext uri="{FF2B5EF4-FFF2-40B4-BE49-F238E27FC236}">
              <a16:creationId xmlns:a16="http://schemas.microsoft.com/office/drawing/2014/main" id="{00000000-0008-0000-0400-00001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a:extLst>
            <a:ext uri="{FF2B5EF4-FFF2-40B4-BE49-F238E27FC236}">
              <a16:creationId xmlns:a16="http://schemas.microsoft.com/office/drawing/2014/main" id="{00000000-0008-0000-0400-00001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a:extLst>
            <a:ext uri="{FF2B5EF4-FFF2-40B4-BE49-F238E27FC236}">
              <a16:creationId xmlns:a16="http://schemas.microsoft.com/office/drawing/2014/main" id="{00000000-0008-0000-0400-00001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a:extLst>
            <a:ext uri="{FF2B5EF4-FFF2-40B4-BE49-F238E27FC236}">
              <a16:creationId xmlns:a16="http://schemas.microsoft.com/office/drawing/2014/main" id="{00000000-0008-0000-0400-00002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a:extLst>
            <a:ext uri="{FF2B5EF4-FFF2-40B4-BE49-F238E27FC236}">
              <a16:creationId xmlns:a16="http://schemas.microsoft.com/office/drawing/2014/main" id="{00000000-0008-0000-0400-00002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a:extLst>
            <a:ext uri="{FF2B5EF4-FFF2-40B4-BE49-F238E27FC236}">
              <a16:creationId xmlns:a16="http://schemas.microsoft.com/office/drawing/2014/main" id="{00000000-0008-0000-0400-00002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a:extLst>
            <a:ext uri="{FF2B5EF4-FFF2-40B4-BE49-F238E27FC236}">
              <a16:creationId xmlns:a16="http://schemas.microsoft.com/office/drawing/2014/main" id="{00000000-0008-0000-0400-00002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a:extLst>
            <a:ext uri="{FF2B5EF4-FFF2-40B4-BE49-F238E27FC236}">
              <a16:creationId xmlns:a16="http://schemas.microsoft.com/office/drawing/2014/main" id="{00000000-0008-0000-0400-00002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a:extLst>
            <a:ext uri="{FF2B5EF4-FFF2-40B4-BE49-F238E27FC236}">
              <a16:creationId xmlns:a16="http://schemas.microsoft.com/office/drawing/2014/main" id="{00000000-0008-0000-0400-00002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a:extLst>
            <a:ext uri="{FF2B5EF4-FFF2-40B4-BE49-F238E27FC236}">
              <a16:creationId xmlns:a16="http://schemas.microsoft.com/office/drawing/2014/main" id="{00000000-0008-0000-0400-00002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a:extLst>
            <a:ext uri="{FF2B5EF4-FFF2-40B4-BE49-F238E27FC236}">
              <a16:creationId xmlns:a16="http://schemas.microsoft.com/office/drawing/2014/main" id="{00000000-0008-0000-0400-00002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a:extLst>
            <a:ext uri="{FF2B5EF4-FFF2-40B4-BE49-F238E27FC236}">
              <a16:creationId xmlns:a16="http://schemas.microsoft.com/office/drawing/2014/main" id="{00000000-0008-0000-0400-00002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a:extLst>
            <a:ext uri="{FF2B5EF4-FFF2-40B4-BE49-F238E27FC236}">
              <a16:creationId xmlns:a16="http://schemas.microsoft.com/office/drawing/2014/main" id="{00000000-0008-0000-0400-00002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a:extLst>
            <a:ext uri="{FF2B5EF4-FFF2-40B4-BE49-F238E27FC236}">
              <a16:creationId xmlns:a16="http://schemas.microsoft.com/office/drawing/2014/main" id="{00000000-0008-0000-0400-00002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a:extLst>
            <a:ext uri="{FF2B5EF4-FFF2-40B4-BE49-F238E27FC236}">
              <a16:creationId xmlns:a16="http://schemas.microsoft.com/office/drawing/2014/main" id="{00000000-0008-0000-04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a:extLst>
            <a:ext uri="{FF2B5EF4-FFF2-40B4-BE49-F238E27FC236}">
              <a16:creationId xmlns:a16="http://schemas.microsoft.com/office/drawing/2014/main" id="{00000000-0008-0000-0400-00002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a:extLst>
            <a:ext uri="{FF2B5EF4-FFF2-40B4-BE49-F238E27FC236}">
              <a16:creationId xmlns:a16="http://schemas.microsoft.com/office/drawing/2014/main" id="{00000000-0008-0000-0400-00002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a:extLst>
            <a:ext uri="{FF2B5EF4-FFF2-40B4-BE49-F238E27FC236}">
              <a16:creationId xmlns:a16="http://schemas.microsoft.com/office/drawing/2014/main" id="{00000000-0008-0000-0400-00002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a:extLst>
            <a:ext uri="{FF2B5EF4-FFF2-40B4-BE49-F238E27FC236}">
              <a16:creationId xmlns:a16="http://schemas.microsoft.com/office/drawing/2014/main" id="{00000000-0008-0000-0400-00002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a:extLst>
            <a:ext uri="{FF2B5EF4-FFF2-40B4-BE49-F238E27FC236}">
              <a16:creationId xmlns:a16="http://schemas.microsoft.com/office/drawing/2014/main" id="{00000000-0008-0000-0400-00003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a:extLst>
            <a:ext uri="{FF2B5EF4-FFF2-40B4-BE49-F238E27FC236}">
              <a16:creationId xmlns:a16="http://schemas.microsoft.com/office/drawing/2014/main" id="{00000000-0008-0000-0400-00003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a:extLst>
            <a:ext uri="{FF2B5EF4-FFF2-40B4-BE49-F238E27FC236}">
              <a16:creationId xmlns:a16="http://schemas.microsoft.com/office/drawing/2014/main" id="{00000000-0008-0000-0400-00003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a:extLst>
            <a:ext uri="{FF2B5EF4-FFF2-40B4-BE49-F238E27FC236}">
              <a16:creationId xmlns:a16="http://schemas.microsoft.com/office/drawing/2014/main" id="{00000000-0008-0000-0400-00003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a:extLst>
            <a:ext uri="{FF2B5EF4-FFF2-40B4-BE49-F238E27FC236}">
              <a16:creationId xmlns:a16="http://schemas.microsoft.com/office/drawing/2014/main" id="{00000000-0008-0000-0400-00003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a:extLst>
            <a:ext uri="{FF2B5EF4-FFF2-40B4-BE49-F238E27FC236}">
              <a16:creationId xmlns:a16="http://schemas.microsoft.com/office/drawing/2014/main" id="{00000000-0008-0000-0400-00003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a:extLst>
            <a:ext uri="{FF2B5EF4-FFF2-40B4-BE49-F238E27FC236}">
              <a16:creationId xmlns:a16="http://schemas.microsoft.com/office/drawing/2014/main" id="{00000000-0008-0000-0400-00003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a:extLst>
            <a:ext uri="{FF2B5EF4-FFF2-40B4-BE49-F238E27FC236}">
              <a16:creationId xmlns:a16="http://schemas.microsoft.com/office/drawing/2014/main" id="{00000000-0008-0000-0400-00003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a:extLst>
            <a:ext uri="{FF2B5EF4-FFF2-40B4-BE49-F238E27FC236}">
              <a16:creationId xmlns:a16="http://schemas.microsoft.com/office/drawing/2014/main" id="{00000000-0008-0000-0400-00003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a:extLst>
            <a:ext uri="{FF2B5EF4-FFF2-40B4-BE49-F238E27FC236}">
              <a16:creationId xmlns:a16="http://schemas.microsoft.com/office/drawing/2014/main" id="{00000000-0008-0000-0400-00003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a:extLst>
            <a:ext uri="{FF2B5EF4-FFF2-40B4-BE49-F238E27FC236}">
              <a16:creationId xmlns:a16="http://schemas.microsoft.com/office/drawing/2014/main" id="{00000000-0008-0000-0400-00003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a:extLst>
            <a:ext uri="{FF2B5EF4-FFF2-40B4-BE49-F238E27FC236}">
              <a16:creationId xmlns:a16="http://schemas.microsoft.com/office/drawing/2014/main" id="{00000000-0008-0000-0400-00003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a:extLst>
            <a:ext uri="{FF2B5EF4-FFF2-40B4-BE49-F238E27FC236}">
              <a16:creationId xmlns:a16="http://schemas.microsoft.com/office/drawing/2014/main" id="{00000000-0008-0000-0400-00003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a:extLst>
            <a:ext uri="{FF2B5EF4-FFF2-40B4-BE49-F238E27FC236}">
              <a16:creationId xmlns:a16="http://schemas.microsoft.com/office/drawing/2014/main" id="{00000000-0008-0000-0400-00003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a:extLst>
            <a:ext uri="{FF2B5EF4-FFF2-40B4-BE49-F238E27FC236}">
              <a16:creationId xmlns:a16="http://schemas.microsoft.com/office/drawing/2014/main" id="{00000000-0008-0000-0400-00003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a:extLst>
            <a:ext uri="{FF2B5EF4-FFF2-40B4-BE49-F238E27FC236}">
              <a16:creationId xmlns:a16="http://schemas.microsoft.com/office/drawing/2014/main" id="{00000000-0008-0000-04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a:extLst>
            <a:ext uri="{FF2B5EF4-FFF2-40B4-BE49-F238E27FC236}">
              <a16:creationId xmlns:a16="http://schemas.microsoft.com/office/drawing/2014/main" id="{00000000-0008-0000-0400-00004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a:extLst>
            <a:ext uri="{FF2B5EF4-FFF2-40B4-BE49-F238E27FC236}">
              <a16:creationId xmlns:a16="http://schemas.microsoft.com/office/drawing/2014/main" id="{00000000-0008-0000-0400-00004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a:extLst>
            <a:ext uri="{FF2B5EF4-FFF2-40B4-BE49-F238E27FC236}">
              <a16:creationId xmlns:a16="http://schemas.microsoft.com/office/drawing/2014/main" id="{00000000-0008-0000-0400-00004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a:extLst>
            <a:ext uri="{FF2B5EF4-FFF2-40B4-BE49-F238E27FC236}">
              <a16:creationId xmlns:a16="http://schemas.microsoft.com/office/drawing/2014/main" id="{00000000-0008-0000-0400-00004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a:extLst>
            <a:ext uri="{FF2B5EF4-FFF2-40B4-BE49-F238E27FC236}">
              <a16:creationId xmlns:a16="http://schemas.microsoft.com/office/drawing/2014/main" id="{00000000-0008-0000-0400-00004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a:extLst>
            <a:ext uri="{FF2B5EF4-FFF2-40B4-BE49-F238E27FC236}">
              <a16:creationId xmlns:a16="http://schemas.microsoft.com/office/drawing/2014/main" id="{00000000-0008-0000-0400-00004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a:extLst>
            <a:ext uri="{FF2B5EF4-FFF2-40B4-BE49-F238E27FC236}">
              <a16:creationId xmlns:a16="http://schemas.microsoft.com/office/drawing/2014/main" id="{00000000-0008-0000-0400-00004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a:extLst>
            <a:ext uri="{FF2B5EF4-FFF2-40B4-BE49-F238E27FC236}">
              <a16:creationId xmlns:a16="http://schemas.microsoft.com/office/drawing/2014/main" id="{00000000-0008-0000-0400-00004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a:extLst>
            <a:ext uri="{FF2B5EF4-FFF2-40B4-BE49-F238E27FC236}">
              <a16:creationId xmlns:a16="http://schemas.microsoft.com/office/drawing/2014/main" id="{00000000-0008-0000-0400-00004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a:extLst>
            <a:ext uri="{FF2B5EF4-FFF2-40B4-BE49-F238E27FC236}">
              <a16:creationId xmlns:a16="http://schemas.microsoft.com/office/drawing/2014/main" id="{00000000-0008-0000-0400-00004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a:extLst>
            <a:ext uri="{FF2B5EF4-FFF2-40B4-BE49-F238E27FC236}">
              <a16:creationId xmlns:a16="http://schemas.microsoft.com/office/drawing/2014/main" id="{00000000-0008-0000-0400-00004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a:extLst>
            <a:ext uri="{FF2B5EF4-FFF2-40B4-BE49-F238E27FC236}">
              <a16:creationId xmlns:a16="http://schemas.microsoft.com/office/drawing/2014/main" id="{00000000-0008-0000-0400-00004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a:extLst>
            <a:ext uri="{FF2B5EF4-FFF2-40B4-BE49-F238E27FC236}">
              <a16:creationId xmlns:a16="http://schemas.microsoft.com/office/drawing/2014/main" id="{00000000-0008-0000-0400-00004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a:extLst>
            <a:ext uri="{FF2B5EF4-FFF2-40B4-BE49-F238E27FC236}">
              <a16:creationId xmlns:a16="http://schemas.microsoft.com/office/drawing/2014/main" id="{00000000-0008-0000-0400-00004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a:extLst>
            <a:ext uri="{FF2B5EF4-FFF2-40B4-BE49-F238E27FC236}">
              <a16:creationId xmlns:a16="http://schemas.microsoft.com/office/drawing/2014/main" id="{00000000-0008-0000-0400-00004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a:extLst>
            <a:ext uri="{FF2B5EF4-FFF2-40B4-BE49-F238E27FC236}">
              <a16:creationId xmlns:a16="http://schemas.microsoft.com/office/drawing/2014/main" id="{00000000-0008-0000-0400-00004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a:extLst>
            <a:ext uri="{FF2B5EF4-FFF2-40B4-BE49-F238E27FC236}">
              <a16:creationId xmlns:a16="http://schemas.microsoft.com/office/drawing/2014/main" id="{00000000-0008-0000-0400-00005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a:extLst>
            <a:ext uri="{FF2B5EF4-FFF2-40B4-BE49-F238E27FC236}">
              <a16:creationId xmlns:a16="http://schemas.microsoft.com/office/drawing/2014/main" id="{00000000-0008-0000-0400-00005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a:extLst>
            <a:ext uri="{FF2B5EF4-FFF2-40B4-BE49-F238E27FC236}">
              <a16:creationId xmlns:a16="http://schemas.microsoft.com/office/drawing/2014/main" id="{00000000-0008-0000-0400-00005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a:extLst>
            <a:ext uri="{FF2B5EF4-FFF2-40B4-BE49-F238E27FC236}">
              <a16:creationId xmlns:a16="http://schemas.microsoft.com/office/drawing/2014/main" id="{00000000-0008-0000-0400-00005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a:extLst>
            <a:ext uri="{FF2B5EF4-FFF2-40B4-BE49-F238E27FC236}">
              <a16:creationId xmlns:a16="http://schemas.microsoft.com/office/drawing/2014/main" id="{00000000-0008-0000-0400-00005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a:extLst>
            <a:ext uri="{FF2B5EF4-FFF2-40B4-BE49-F238E27FC236}">
              <a16:creationId xmlns:a16="http://schemas.microsoft.com/office/drawing/2014/main" id="{00000000-0008-0000-0400-00005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a:extLst>
            <a:ext uri="{FF2B5EF4-FFF2-40B4-BE49-F238E27FC236}">
              <a16:creationId xmlns:a16="http://schemas.microsoft.com/office/drawing/2014/main" id="{00000000-0008-0000-0400-00005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a:extLst>
            <a:ext uri="{FF2B5EF4-FFF2-40B4-BE49-F238E27FC236}">
              <a16:creationId xmlns:a16="http://schemas.microsoft.com/office/drawing/2014/main" id="{00000000-0008-0000-0400-00005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a:extLst>
            <a:ext uri="{FF2B5EF4-FFF2-40B4-BE49-F238E27FC236}">
              <a16:creationId xmlns:a16="http://schemas.microsoft.com/office/drawing/2014/main" id="{00000000-0008-0000-0400-00005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a:extLst>
            <a:ext uri="{FF2B5EF4-FFF2-40B4-BE49-F238E27FC236}">
              <a16:creationId xmlns:a16="http://schemas.microsoft.com/office/drawing/2014/main" id="{00000000-0008-0000-0400-00005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a:extLst>
            <a:ext uri="{FF2B5EF4-FFF2-40B4-BE49-F238E27FC236}">
              <a16:creationId xmlns:a16="http://schemas.microsoft.com/office/drawing/2014/main" id="{00000000-0008-0000-0400-00005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a:extLst>
            <a:ext uri="{FF2B5EF4-FFF2-40B4-BE49-F238E27FC236}">
              <a16:creationId xmlns:a16="http://schemas.microsoft.com/office/drawing/2014/main" id="{00000000-0008-0000-0400-00005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a:extLst>
            <a:ext uri="{FF2B5EF4-FFF2-40B4-BE49-F238E27FC236}">
              <a16:creationId xmlns:a16="http://schemas.microsoft.com/office/drawing/2014/main" id="{00000000-0008-0000-0400-00005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a:extLst>
            <a:ext uri="{FF2B5EF4-FFF2-40B4-BE49-F238E27FC236}">
              <a16:creationId xmlns:a16="http://schemas.microsoft.com/office/drawing/2014/main" id="{00000000-0008-0000-0400-00005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a:extLst>
            <a:ext uri="{FF2B5EF4-FFF2-40B4-BE49-F238E27FC236}">
              <a16:creationId xmlns:a16="http://schemas.microsoft.com/office/drawing/2014/main" id="{00000000-0008-0000-0400-00005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a:extLst>
            <a:ext uri="{FF2B5EF4-FFF2-40B4-BE49-F238E27FC236}">
              <a16:creationId xmlns:a16="http://schemas.microsoft.com/office/drawing/2014/main" id="{00000000-0008-0000-0400-00005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a:extLst>
            <a:ext uri="{FF2B5EF4-FFF2-40B4-BE49-F238E27FC236}">
              <a16:creationId xmlns:a16="http://schemas.microsoft.com/office/drawing/2014/main" id="{00000000-0008-0000-0400-00006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a:extLst>
            <a:ext uri="{FF2B5EF4-FFF2-40B4-BE49-F238E27FC236}">
              <a16:creationId xmlns:a16="http://schemas.microsoft.com/office/drawing/2014/main" id="{00000000-0008-0000-0400-00006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a:extLst>
            <a:ext uri="{FF2B5EF4-FFF2-40B4-BE49-F238E27FC236}">
              <a16:creationId xmlns:a16="http://schemas.microsoft.com/office/drawing/2014/main" id="{00000000-0008-0000-0400-00006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a:extLst>
            <a:ext uri="{FF2B5EF4-FFF2-40B4-BE49-F238E27FC236}">
              <a16:creationId xmlns:a16="http://schemas.microsoft.com/office/drawing/2014/main" id="{00000000-0008-0000-0400-00006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a:extLst>
            <a:ext uri="{FF2B5EF4-FFF2-40B4-BE49-F238E27FC236}">
              <a16:creationId xmlns:a16="http://schemas.microsoft.com/office/drawing/2014/main" id="{00000000-0008-0000-0400-00006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a:extLst>
            <a:ext uri="{FF2B5EF4-FFF2-40B4-BE49-F238E27FC236}">
              <a16:creationId xmlns:a16="http://schemas.microsoft.com/office/drawing/2014/main" id="{00000000-0008-0000-0400-00006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a:extLst>
            <a:ext uri="{FF2B5EF4-FFF2-40B4-BE49-F238E27FC236}">
              <a16:creationId xmlns:a16="http://schemas.microsoft.com/office/drawing/2014/main" id="{00000000-0008-0000-0400-00006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a:extLst>
            <a:ext uri="{FF2B5EF4-FFF2-40B4-BE49-F238E27FC236}">
              <a16:creationId xmlns:a16="http://schemas.microsoft.com/office/drawing/2014/main" id="{00000000-0008-0000-0400-00006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a:extLst>
            <a:ext uri="{FF2B5EF4-FFF2-40B4-BE49-F238E27FC236}">
              <a16:creationId xmlns:a16="http://schemas.microsoft.com/office/drawing/2014/main" id="{00000000-0008-0000-0400-00006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a:extLst>
            <a:ext uri="{FF2B5EF4-FFF2-40B4-BE49-F238E27FC236}">
              <a16:creationId xmlns:a16="http://schemas.microsoft.com/office/drawing/2014/main" id="{00000000-0008-0000-0400-00006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a:extLst>
            <a:ext uri="{FF2B5EF4-FFF2-40B4-BE49-F238E27FC236}">
              <a16:creationId xmlns:a16="http://schemas.microsoft.com/office/drawing/2014/main" id="{00000000-0008-0000-0400-00006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a:extLst>
            <a:ext uri="{FF2B5EF4-FFF2-40B4-BE49-F238E27FC236}">
              <a16:creationId xmlns:a16="http://schemas.microsoft.com/office/drawing/2014/main" id="{00000000-0008-0000-0400-00006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a:extLst>
            <a:ext uri="{FF2B5EF4-FFF2-40B4-BE49-F238E27FC236}">
              <a16:creationId xmlns:a16="http://schemas.microsoft.com/office/drawing/2014/main" id="{00000000-0008-0000-0400-00006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a:extLst>
            <a:ext uri="{FF2B5EF4-FFF2-40B4-BE49-F238E27FC236}">
              <a16:creationId xmlns:a16="http://schemas.microsoft.com/office/drawing/2014/main" id="{00000000-0008-0000-0400-00006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a:extLst>
            <a:ext uri="{FF2B5EF4-FFF2-40B4-BE49-F238E27FC236}">
              <a16:creationId xmlns:a16="http://schemas.microsoft.com/office/drawing/2014/main" id="{00000000-0008-0000-0400-00006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a:extLst>
            <a:ext uri="{FF2B5EF4-FFF2-40B4-BE49-F238E27FC236}">
              <a16:creationId xmlns:a16="http://schemas.microsoft.com/office/drawing/2014/main" id="{00000000-0008-0000-0400-00006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a:extLst>
            <a:ext uri="{FF2B5EF4-FFF2-40B4-BE49-F238E27FC236}">
              <a16:creationId xmlns:a16="http://schemas.microsoft.com/office/drawing/2014/main" id="{00000000-0008-0000-0400-00007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a:extLst>
            <a:ext uri="{FF2B5EF4-FFF2-40B4-BE49-F238E27FC236}">
              <a16:creationId xmlns:a16="http://schemas.microsoft.com/office/drawing/2014/main" id="{00000000-0008-0000-0400-00007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a:extLst>
            <a:ext uri="{FF2B5EF4-FFF2-40B4-BE49-F238E27FC236}">
              <a16:creationId xmlns:a16="http://schemas.microsoft.com/office/drawing/2014/main" id="{00000000-0008-0000-0400-00007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a:extLst>
            <a:ext uri="{FF2B5EF4-FFF2-40B4-BE49-F238E27FC236}">
              <a16:creationId xmlns:a16="http://schemas.microsoft.com/office/drawing/2014/main" id="{00000000-0008-0000-0400-00007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a:extLst>
            <a:ext uri="{FF2B5EF4-FFF2-40B4-BE49-F238E27FC236}">
              <a16:creationId xmlns:a16="http://schemas.microsoft.com/office/drawing/2014/main" id="{00000000-0008-0000-0400-00007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a:extLst>
            <a:ext uri="{FF2B5EF4-FFF2-40B4-BE49-F238E27FC236}">
              <a16:creationId xmlns:a16="http://schemas.microsoft.com/office/drawing/2014/main" id="{00000000-0008-0000-0400-00007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a:extLst>
            <a:ext uri="{FF2B5EF4-FFF2-40B4-BE49-F238E27FC236}">
              <a16:creationId xmlns:a16="http://schemas.microsoft.com/office/drawing/2014/main" id="{00000000-0008-0000-0400-00007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a:extLst>
            <a:ext uri="{FF2B5EF4-FFF2-40B4-BE49-F238E27FC236}">
              <a16:creationId xmlns:a16="http://schemas.microsoft.com/office/drawing/2014/main" id="{00000000-0008-0000-0400-00007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a:extLst>
            <a:ext uri="{FF2B5EF4-FFF2-40B4-BE49-F238E27FC236}">
              <a16:creationId xmlns:a16="http://schemas.microsoft.com/office/drawing/2014/main" id="{00000000-0008-0000-0400-00007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a:extLst>
            <a:ext uri="{FF2B5EF4-FFF2-40B4-BE49-F238E27FC236}">
              <a16:creationId xmlns:a16="http://schemas.microsoft.com/office/drawing/2014/main" id="{00000000-0008-0000-0400-00007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a:extLst>
            <a:ext uri="{FF2B5EF4-FFF2-40B4-BE49-F238E27FC236}">
              <a16:creationId xmlns:a16="http://schemas.microsoft.com/office/drawing/2014/main" id="{00000000-0008-0000-0400-00007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a:extLst>
            <a:ext uri="{FF2B5EF4-FFF2-40B4-BE49-F238E27FC236}">
              <a16:creationId xmlns:a16="http://schemas.microsoft.com/office/drawing/2014/main" id="{00000000-0008-0000-0400-00007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a:extLst>
            <a:ext uri="{FF2B5EF4-FFF2-40B4-BE49-F238E27FC236}">
              <a16:creationId xmlns:a16="http://schemas.microsoft.com/office/drawing/2014/main" id="{00000000-0008-0000-0400-00007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a:extLst>
            <a:ext uri="{FF2B5EF4-FFF2-40B4-BE49-F238E27FC236}">
              <a16:creationId xmlns:a16="http://schemas.microsoft.com/office/drawing/2014/main" id="{00000000-0008-0000-0400-00007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a:extLst>
            <a:ext uri="{FF2B5EF4-FFF2-40B4-BE49-F238E27FC236}">
              <a16:creationId xmlns:a16="http://schemas.microsoft.com/office/drawing/2014/main" id="{00000000-0008-0000-0400-00007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a:extLst>
            <a:ext uri="{FF2B5EF4-FFF2-40B4-BE49-F238E27FC236}">
              <a16:creationId xmlns:a16="http://schemas.microsoft.com/office/drawing/2014/main" id="{00000000-0008-0000-0400-00007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a:extLst>
            <a:ext uri="{FF2B5EF4-FFF2-40B4-BE49-F238E27FC236}">
              <a16:creationId xmlns:a16="http://schemas.microsoft.com/office/drawing/2014/main" id="{00000000-0008-0000-0400-00008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a:extLst>
            <a:ext uri="{FF2B5EF4-FFF2-40B4-BE49-F238E27FC236}">
              <a16:creationId xmlns:a16="http://schemas.microsoft.com/office/drawing/2014/main" id="{00000000-0008-0000-0400-00008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a:extLst>
            <a:ext uri="{FF2B5EF4-FFF2-40B4-BE49-F238E27FC236}">
              <a16:creationId xmlns:a16="http://schemas.microsoft.com/office/drawing/2014/main" id="{00000000-0008-0000-0400-00008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a:extLst>
            <a:ext uri="{FF2B5EF4-FFF2-40B4-BE49-F238E27FC236}">
              <a16:creationId xmlns:a16="http://schemas.microsoft.com/office/drawing/2014/main" id="{00000000-0008-0000-0400-00008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a:extLst>
            <a:ext uri="{FF2B5EF4-FFF2-40B4-BE49-F238E27FC236}">
              <a16:creationId xmlns:a16="http://schemas.microsoft.com/office/drawing/2014/main" id="{00000000-0008-0000-0400-00008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a:extLst>
            <a:ext uri="{FF2B5EF4-FFF2-40B4-BE49-F238E27FC236}">
              <a16:creationId xmlns:a16="http://schemas.microsoft.com/office/drawing/2014/main" id="{00000000-0008-0000-0400-00008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a:extLst>
            <a:ext uri="{FF2B5EF4-FFF2-40B4-BE49-F238E27FC236}">
              <a16:creationId xmlns:a16="http://schemas.microsoft.com/office/drawing/2014/main" id="{00000000-0008-0000-0400-00008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a:extLst>
            <a:ext uri="{FF2B5EF4-FFF2-40B4-BE49-F238E27FC236}">
              <a16:creationId xmlns:a16="http://schemas.microsoft.com/office/drawing/2014/main" id="{00000000-0008-0000-0400-00008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a:extLst>
            <a:ext uri="{FF2B5EF4-FFF2-40B4-BE49-F238E27FC236}">
              <a16:creationId xmlns:a16="http://schemas.microsoft.com/office/drawing/2014/main" id="{00000000-0008-0000-0400-00008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a:extLst>
            <a:ext uri="{FF2B5EF4-FFF2-40B4-BE49-F238E27FC236}">
              <a16:creationId xmlns:a16="http://schemas.microsoft.com/office/drawing/2014/main" id="{00000000-0008-0000-0400-00008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a:extLst>
            <a:ext uri="{FF2B5EF4-FFF2-40B4-BE49-F238E27FC236}">
              <a16:creationId xmlns:a16="http://schemas.microsoft.com/office/drawing/2014/main" id="{00000000-0008-0000-0400-00008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a:extLst>
            <a:ext uri="{FF2B5EF4-FFF2-40B4-BE49-F238E27FC236}">
              <a16:creationId xmlns:a16="http://schemas.microsoft.com/office/drawing/2014/main" id="{00000000-0008-0000-0400-00008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a:extLst>
            <a:ext uri="{FF2B5EF4-FFF2-40B4-BE49-F238E27FC236}">
              <a16:creationId xmlns:a16="http://schemas.microsoft.com/office/drawing/2014/main" id="{00000000-0008-0000-0400-00008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a:extLst>
            <a:ext uri="{FF2B5EF4-FFF2-40B4-BE49-F238E27FC236}">
              <a16:creationId xmlns:a16="http://schemas.microsoft.com/office/drawing/2014/main" id="{00000000-0008-0000-0400-00008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a:extLst>
            <a:ext uri="{FF2B5EF4-FFF2-40B4-BE49-F238E27FC236}">
              <a16:creationId xmlns:a16="http://schemas.microsoft.com/office/drawing/2014/main" id="{00000000-0008-0000-0400-00008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a:extLst>
            <a:ext uri="{FF2B5EF4-FFF2-40B4-BE49-F238E27FC236}">
              <a16:creationId xmlns:a16="http://schemas.microsoft.com/office/drawing/2014/main" id="{00000000-0008-0000-0400-00008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a:extLst>
            <a:ext uri="{FF2B5EF4-FFF2-40B4-BE49-F238E27FC236}">
              <a16:creationId xmlns:a16="http://schemas.microsoft.com/office/drawing/2014/main" id="{00000000-0008-0000-0400-00009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a:extLst>
            <a:ext uri="{FF2B5EF4-FFF2-40B4-BE49-F238E27FC236}">
              <a16:creationId xmlns:a16="http://schemas.microsoft.com/office/drawing/2014/main" id="{00000000-0008-0000-0400-00009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a:extLst>
            <a:ext uri="{FF2B5EF4-FFF2-40B4-BE49-F238E27FC236}">
              <a16:creationId xmlns:a16="http://schemas.microsoft.com/office/drawing/2014/main" id="{00000000-0008-0000-0400-00009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a:extLst>
            <a:ext uri="{FF2B5EF4-FFF2-40B4-BE49-F238E27FC236}">
              <a16:creationId xmlns:a16="http://schemas.microsoft.com/office/drawing/2014/main" id="{00000000-0008-0000-0400-00009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a:extLst>
            <a:ext uri="{FF2B5EF4-FFF2-40B4-BE49-F238E27FC236}">
              <a16:creationId xmlns:a16="http://schemas.microsoft.com/office/drawing/2014/main" id="{00000000-0008-0000-0400-00009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a:extLst>
            <a:ext uri="{FF2B5EF4-FFF2-40B4-BE49-F238E27FC236}">
              <a16:creationId xmlns:a16="http://schemas.microsoft.com/office/drawing/2014/main" id="{00000000-0008-0000-0400-00009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a:extLst>
            <a:ext uri="{FF2B5EF4-FFF2-40B4-BE49-F238E27FC236}">
              <a16:creationId xmlns:a16="http://schemas.microsoft.com/office/drawing/2014/main" id="{00000000-0008-0000-0400-00009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a:extLst>
            <a:ext uri="{FF2B5EF4-FFF2-40B4-BE49-F238E27FC236}">
              <a16:creationId xmlns:a16="http://schemas.microsoft.com/office/drawing/2014/main" id="{00000000-0008-0000-0400-00009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a:extLst>
            <a:ext uri="{FF2B5EF4-FFF2-40B4-BE49-F238E27FC236}">
              <a16:creationId xmlns:a16="http://schemas.microsoft.com/office/drawing/2014/main" id="{00000000-0008-0000-0400-00009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a:extLst>
            <a:ext uri="{FF2B5EF4-FFF2-40B4-BE49-F238E27FC236}">
              <a16:creationId xmlns:a16="http://schemas.microsoft.com/office/drawing/2014/main" id="{00000000-0008-0000-0400-00009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a:extLst>
            <a:ext uri="{FF2B5EF4-FFF2-40B4-BE49-F238E27FC236}">
              <a16:creationId xmlns:a16="http://schemas.microsoft.com/office/drawing/2014/main" id="{00000000-0008-0000-0400-00009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a:extLst>
            <a:ext uri="{FF2B5EF4-FFF2-40B4-BE49-F238E27FC236}">
              <a16:creationId xmlns:a16="http://schemas.microsoft.com/office/drawing/2014/main" id="{00000000-0008-0000-0400-00009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a:extLst>
            <a:ext uri="{FF2B5EF4-FFF2-40B4-BE49-F238E27FC236}">
              <a16:creationId xmlns:a16="http://schemas.microsoft.com/office/drawing/2014/main" id="{00000000-0008-0000-0400-00009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a:extLst>
            <a:ext uri="{FF2B5EF4-FFF2-40B4-BE49-F238E27FC236}">
              <a16:creationId xmlns:a16="http://schemas.microsoft.com/office/drawing/2014/main" id="{00000000-0008-0000-0400-00009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a:extLst>
            <a:ext uri="{FF2B5EF4-FFF2-40B4-BE49-F238E27FC236}">
              <a16:creationId xmlns:a16="http://schemas.microsoft.com/office/drawing/2014/main" id="{00000000-0008-0000-0400-00009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a:extLst>
            <a:ext uri="{FF2B5EF4-FFF2-40B4-BE49-F238E27FC236}">
              <a16:creationId xmlns:a16="http://schemas.microsoft.com/office/drawing/2014/main" id="{00000000-0008-0000-0400-00009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a:extLst>
            <a:ext uri="{FF2B5EF4-FFF2-40B4-BE49-F238E27FC236}">
              <a16:creationId xmlns:a16="http://schemas.microsoft.com/office/drawing/2014/main" id="{00000000-0008-0000-0400-0000A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a:extLst>
            <a:ext uri="{FF2B5EF4-FFF2-40B4-BE49-F238E27FC236}">
              <a16:creationId xmlns:a16="http://schemas.microsoft.com/office/drawing/2014/main" id="{00000000-0008-0000-0400-0000A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a:extLst>
            <a:ext uri="{FF2B5EF4-FFF2-40B4-BE49-F238E27FC236}">
              <a16:creationId xmlns:a16="http://schemas.microsoft.com/office/drawing/2014/main" id="{00000000-0008-0000-0400-0000A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a:extLst>
            <a:ext uri="{FF2B5EF4-FFF2-40B4-BE49-F238E27FC236}">
              <a16:creationId xmlns:a16="http://schemas.microsoft.com/office/drawing/2014/main" id="{00000000-0008-0000-0400-0000A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a:extLst>
            <a:ext uri="{FF2B5EF4-FFF2-40B4-BE49-F238E27FC236}">
              <a16:creationId xmlns:a16="http://schemas.microsoft.com/office/drawing/2014/main" id="{00000000-0008-0000-0400-0000A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a:extLst>
            <a:ext uri="{FF2B5EF4-FFF2-40B4-BE49-F238E27FC236}">
              <a16:creationId xmlns:a16="http://schemas.microsoft.com/office/drawing/2014/main" id="{00000000-0008-0000-0400-0000A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a:extLst>
            <a:ext uri="{FF2B5EF4-FFF2-40B4-BE49-F238E27FC236}">
              <a16:creationId xmlns:a16="http://schemas.microsoft.com/office/drawing/2014/main" id="{00000000-0008-0000-0400-0000A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a:extLst>
            <a:ext uri="{FF2B5EF4-FFF2-40B4-BE49-F238E27FC236}">
              <a16:creationId xmlns:a16="http://schemas.microsoft.com/office/drawing/2014/main" id="{00000000-0008-0000-0400-0000A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a:extLst>
            <a:ext uri="{FF2B5EF4-FFF2-40B4-BE49-F238E27FC236}">
              <a16:creationId xmlns:a16="http://schemas.microsoft.com/office/drawing/2014/main" id="{00000000-0008-0000-0400-0000A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a:extLst>
            <a:ext uri="{FF2B5EF4-FFF2-40B4-BE49-F238E27FC236}">
              <a16:creationId xmlns:a16="http://schemas.microsoft.com/office/drawing/2014/main" id="{00000000-0008-0000-0400-0000A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a:extLst>
            <a:ext uri="{FF2B5EF4-FFF2-40B4-BE49-F238E27FC236}">
              <a16:creationId xmlns:a16="http://schemas.microsoft.com/office/drawing/2014/main" id="{00000000-0008-0000-0400-0000A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a:extLst>
            <a:ext uri="{FF2B5EF4-FFF2-40B4-BE49-F238E27FC236}">
              <a16:creationId xmlns:a16="http://schemas.microsoft.com/office/drawing/2014/main" id="{00000000-0008-0000-0400-0000A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a:extLst>
            <a:ext uri="{FF2B5EF4-FFF2-40B4-BE49-F238E27FC236}">
              <a16:creationId xmlns:a16="http://schemas.microsoft.com/office/drawing/2014/main" id="{00000000-0008-0000-0400-0000A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a:extLst>
            <a:ext uri="{FF2B5EF4-FFF2-40B4-BE49-F238E27FC236}">
              <a16:creationId xmlns:a16="http://schemas.microsoft.com/office/drawing/2014/main" id="{00000000-0008-0000-0400-0000A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a:extLst>
            <a:ext uri="{FF2B5EF4-FFF2-40B4-BE49-F238E27FC236}">
              <a16:creationId xmlns:a16="http://schemas.microsoft.com/office/drawing/2014/main" id="{00000000-0008-0000-0400-0000A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a:extLst>
            <a:ext uri="{FF2B5EF4-FFF2-40B4-BE49-F238E27FC236}">
              <a16:creationId xmlns:a16="http://schemas.microsoft.com/office/drawing/2014/main" id="{00000000-0008-0000-0400-0000A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a:extLst>
            <a:ext uri="{FF2B5EF4-FFF2-40B4-BE49-F238E27FC236}">
              <a16:creationId xmlns:a16="http://schemas.microsoft.com/office/drawing/2014/main" id="{00000000-0008-0000-0400-0000B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a:extLst>
            <a:ext uri="{FF2B5EF4-FFF2-40B4-BE49-F238E27FC236}">
              <a16:creationId xmlns:a16="http://schemas.microsoft.com/office/drawing/2014/main" id="{00000000-0008-0000-0400-0000B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a:extLst>
            <a:ext uri="{FF2B5EF4-FFF2-40B4-BE49-F238E27FC236}">
              <a16:creationId xmlns:a16="http://schemas.microsoft.com/office/drawing/2014/main" id="{00000000-0008-0000-0400-0000B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a:extLst>
            <a:ext uri="{FF2B5EF4-FFF2-40B4-BE49-F238E27FC236}">
              <a16:creationId xmlns:a16="http://schemas.microsoft.com/office/drawing/2014/main" id="{00000000-0008-0000-0400-0000B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a:extLst>
            <a:ext uri="{FF2B5EF4-FFF2-40B4-BE49-F238E27FC236}">
              <a16:creationId xmlns:a16="http://schemas.microsoft.com/office/drawing/2014/main" id="{00000000-0008-0000-0400-0000B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a:extLst>
            <a:ext uri="{FF2B5EF4-FFF2-40B4-BE49-F238E27FC236}">
              <a16:creationId xmlns:a16="http://schemas.microsoft.com/office/drawing/2014/main" id="{00000000-0008-0000-0400-0000B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a:extLst>
            <a:ext uri="{FF2B5EF4-FFF2-40B4-BE49-F238E27FC236}">
              <a16:creationId xmlns:a16="http://schemas.microsoft.com/office/drawing/2014/main" id="{00000000-0008-0000-0400-0000B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a:extLst>
            <a:ext uri="{FF2B5EF4-FFF2-40B4-BE49-F238E27FC236}">
              <a16:creationId xmlns:a16="http://schemas.microsoft.com/office/drawing/2014/main" id="{00000000-0008-0000-0400-0000B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a:extLst>
            <a:ext uri="{FF2B5EF4-FFF2-40B4-BE49-F238E27FC236}">
              <a16:creationId xmlns:a16="http://schemas.microsoft.com/office/drawing/2014/main" id="{00000000-0008-0000-0400-0000B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a:extLst>
            <a:ext uri="{FF2B5EF4-FFF2-40B4-BE49-F238E27FC236}">
              <a16:creationId xmlns:a16="http://schemas.microsoft.com/office/drawing/2014/main" id="{00000000-0008-0000-0400-0000B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a:extLst>
            <a:ext uri="{FF2B5EF4-FFF2-40B4-BE49-F238E27FC236}">
              <a16:creationId xmlns:a16="http://schemas.microsoft.com/office/drawing/2014/main" id="{00000000-0008-0000-0400-0000B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a:extLst>
            <a:ext uri="{FF2B5EF4-FFF2-40B4-BE49-F238E27FC236}">
              <a16:creationId xmlns:a16="http://schemas.microsoft.com/office/drawing/2014/main" id="{00000000-0008-0000-0400-0000B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a:extLst>
            <a:ext uri="{FF2B5EF4-FFF2-40B4-BE49-F238E27FC236}">
              <a16:creationId xmlns:a16="http://schemas.microsoft.com/office/drawing/2014/main" id="{00000000-0008-0000-0400-0000B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a:extLst>
            <a:ext uri="{FF2B5EF4-FFF2-40B4-BE49-F238E27FC236}">
              <a16:creationId xmlns:a16="http://schemas.microsoft.com/office/drawing/2014/main" id="{00000000-0008-0000-0400-0000B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a:extLst>
            <a:ext uri="{FF2B5EF4-FFF2-40B4-BE49-F238E27FC236}">
              <a16:creationId xmlns:a16="http://schemas.microsoft.com/office/drawing/2014/main" id="{00000000-0008-0000-0400-0000B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a:extLst>
            <a:ext uri="{FF2B5EF4-FFF2-40B4-BE49-F238E27FC236}">
              <a16:creationId xmlns:a16="http://schemas.microsoft.com/office/drawing/2014/main" id="{00000000-0008-0000-0400-0000B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a:extLst>
            <a:ext uri="{FF2B5EF4-FFF2-40B4-BE49-F238E27FC236}">
              <a16:creationId xmlns:a16="http://schemas.microsoft.com/office/drawing/2014/main" id="{00000000-0008-0000-0400-0000C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a:extLst>
            <a:ext uri="{FF2B5EF4-FFF2-40B4-BE49-F238E27FC236}">
              <a16:creationId xmlns:a16="http://schemas.microsoft.com/office/drawing/2014/main" id="{00000000-0008-0000-0400-0000C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a:extLst>
            <a:ext uri="{FF2B5EF4-FFF2-40B4-BE49-F238E27FC236}">
              <a16:creationId xmlns:a16="http://schemas.microsoft.com/office/drawing/2014/main" id="{00000000-0008-0000-0400-0000C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a:extLst>
            <a:ext uri="{FF2B5EF4-FFF2-40B4-BE49-F238E27FC236}">
              <a16:creationId xmlns:a16="http://schemas.microsoft.com/office/drawing/2014/main" id="{00000000-0008-0000-0400-0000C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a:extLst>
            <a:ext uri="{FF2B5EF4-FFF2-40B4-BE49-F238E27FC236}">
              <a16:creationId xmlns:a16="http://schemas.microsoft.com/office/drawing/2014/main" id="{00000000-0008-0000-0400-0000C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a:extLst>
            <a:ext uri="{FF2B5EF4-FFF2-40B4-BE49-F238E27FC236}">
              <a16:creationId xmlns:a16="http://schemas.microsoft.com/office/drawing/2014/main" id="{00000000-0008-0000-0400-0000C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a:extLst>
            <a:ext uri="{FF2B5EF4-FFF2-40B4-BE49-F238E27FC236}">
              <a16:creationId xmlns:a16="http://schemas.microsoft.com/office/drawing/2014/main" id="{00000000-0008-0000-0400-0000C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a:extLst>
            <a:ext uri="{FF2B5EF4-FFF2-40B4-BE49-F238E27FC236}">
              <a16:creationId xmlns:a16="http://schemas.microsoft.com/office/drawing/2014/main" id="{00000000-0008-0000-0400-0000C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a:extLst>
            <a:ext uri="{FF2B5EF4-FFF2-40B4-BE49-F238E27FC236}">
              <a16:creationId xmlns:a16="http://schemas.microsoft.com/office/drawing/2014/main" id="{00000000-0008-0000-0400-0000C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a:extLst>
            <a:ext uri="{FF2B5EF4-FFF2-40B4-BE49-F238E27FC236}">
              <a16:creationId xmlns:a16="http://schemas.microsoft.com/office/drawing/2014/main" id="{00000000-0008-0000-0400-0000C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a:extLst>
            <a:ext uri="{FF2B5EF4-FFF2-40B4-BE49-F238E27FC236}">
              <a16:creationId xmlns:a16="http://schemas.microsoft.com/office/drawing/2014/main" id="{00000000-0008-0000-0400-0000C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a:extLst>
            <a:ext uri="{FF2B5EF4-FFF2-40B4-BE49-F238E27FC236}">
              <a16:creationId xmlns:a16="http://schemas.microsoft.com/office/drawing/2014/main" id="{00000000-0008-0000-0400-0000C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a:extLst>
            <a:ext uri="{FF2B5EF4-FFF2-40B4-BE49-F238E27FC236}">
              <a16:creationId xmlns:a16="http://schemas.microsoft.com/office/drawing/2014/main" id="{00000000-0008-0000-0400-0000C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a:extLst>
            <a:ext uri="{FF2B5EF4-FFF2-40B4-BE49-F238E27FC236}">
              <a16:creationId xmlns:a16="http://schemas.microsoft.com/office/drawing/2014/main" id="{00000000-0008-0000-0400-0000C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a:extLst>
            <a:ext uri="{FF2B5EF4-FFF2-40B4-BE49-F238E27FC236}">
              <a16:creationId xmlns:a16="http://schemas.microsoft.com/office/drawing/2014/main" id="{00000000-0008-0000-0400-0000C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a:extLst>
            <a:ext uri="{FF2B5EF4-FFF2-40B4-BE49-F238E27FC236}">
              <a16:creationId xmlns:a16="http://schemas.microsoft.com/office/drawing/2014/main" id="{00000000-0008-0000-0400-0000C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a:extLst>
            <a:ext uri="{FF2B5EF4-FFF2-40B4-BE49-F238E27FC236}">
              <a16:creationId xmlns:a16="http://schemas.microsoft.com/office/drawing/2014/main" id="{00000000-0008-0000-0400-0000D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a:extLst>
            <a:ext uri="{FF2B5EF4-FFF2-40B4-BE49-F238E27FC236}">
              <a16:creationId xmlns:a16="http://schemas.microsoft.com/office/drawing/2014/main" id="{00000000-0008-0000-0400-0000D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a:extLst>
            <a:ext uri="{FF2B5EF4-FFF2-40B4-BE49-F238E27FC236}">
              <a16:creationId xmlns:a16="http://schemas.microsoft.com/office/drawing/2014/main" id="{00000000-0008-0000-0400-0000D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a:extLst>
            <a:ext uri="{FF2B5EF4-FFF2-40B4-BE49-F238E27FC236}">
              <a16:creationId xmlns:a16="http://schemas.microsoft.com/office/drawing/2014/main" id="{00000000-0008-0000-0400-0000D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a:extLst>
            <a:ext uri="{FF2B5EF4-FFF2-40B4-BE49-F238E27FC236}">
              <a16:creationId xmlns:a16="http://schemas.microsoft.com/office/drawing/2014/main" id="{00000000-0008-0000-0400-0000D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a:extLst>
            <a:ext uri="{FF2B5EF4-FFF2-40B4-BE49-F238E27FC236}">
              <a16:creationId xmlns:a16="http://schemas.microsoft.com/office/drawing/2014/main" id="{00000000-0008-0000-0400-0000D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a:extLst>
            <a:ext uri="{FF2B5EF4-FFF2-40B4-BE49-F238E27FC236}">
              <a16:creationId xmlns:a16="http://schemas.microsoft.com/office/drawing/2014/main" id="{00000000-0008-0000-0400-0000D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a:extLst>
            <a:ext uri="{FF2B5EF4-FFF2-40B4-BE49-F238E27FC236}">
              <a16:creationId xmlns:a16="http://schemas.microsoft.com/office/drawing/2014/main" id="{00000000-0008-0000-0400-0000D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a:extLst>
            <a:ext uri="{FF2B5EF4-FFF2-40B4-BE49-F238E27FC236}">
              <a16:creationId xmlns:a16="http://schemas.microsoft.com/office/drawing/2014/main" id="{00000000-0008-0000-0400-0000D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a:extLst>
            <a:ext uri="{FF2B5EF4-FFF2-40B4-BE49-F238E27FC236}">
              <a16:creationId xmlns:a16="http://schemas.microsoft.com/office/drawing/2014/main" id="{00000000-0008-0000-0400-0000D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a:extLst>
            <a:ext uri="{FF2B5EF4-FFF2-40B4-BE49-F238E27FC236}">
              <a16:creationId xmlns:a16="http://schemas.microsoft.com/office/drawing/2014/main" id="{00000000-0008-0000-0400-0000D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a:extLst>
            <a:ext uri="{FF2B5EF4-FFF2-40B4-BE49-F238E27FC236}">
              <a16:creationId xmlns:a16="http://schemas.microsoft.com/office/drawing/2014/main" id="{00000000-0008-0000-0400-0000D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a:extLst>
            <a:ext uri="{FF2B5EF4-FFF2-40B4-BE49-F238E27FC236}">
              <a16:creationId xmlns:a16="http://schemas.microsoft.com/office/drawing/2014/main" id="{00000000-0008-0000-0400-0000D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a:extLst>
            <a:ext uri="{FF2B5EF4-FFF2-40B4-BE49-F238E27FC236}">
              <a16:creationId xmlns:a16="http://schemas.microsoft.com/office/drawing/2014/main" id="{00000000-0008-0000-0400-0000D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a:extLst>
            <a:ext uri="{FF2B5EF4-FFF2-40B4-BE49-F238E27FC236}">
              <a16:creationId xmlns:a16="http://schemas.microsoft.com/office/drawing/2014/main" id="{00000000-0008-0000-0400-0000D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a:extLst>
            <a:ext uri="{FF2B5EF4-FFF2-40B4-BE49-F238E27FC236}">
              <a16:creationId xmlns:a16="http://schemas.microsoft.com/office/drawing/2014/main" id="{00000000-0008-0000-0400-0000D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a:extLst>
            <a:ext uri="{FF2B5EF4-FFF2-40B4-BE49-F238E27FC236}">
              <a16:creationId xmlns:a16="http://schemas.microsoft.com/office/drawing/2014/main" id="{00000000-0008-0000-0400-0000E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a:extLst>
            <a:ext uri="{FF2B5EF4-FFF2-40B4-BE49-F238E27FC236}">
              <a16:creationId xmlns:a16="http://schemas.microsoft.com/office/drawing/2014/main" id="{00000000-0008-0000-0400-0000E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a:extLst>
            <a:ext uri="{FF2B5EF4-FFF2-40B4-BE49-F238E27FC236}">
              <a16:creationId xmlns:a16="http://schemas.microsoft.com/office/drawing/2014/main" id="{00000000-0008-0000-0400-0000E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a:extLst>
            <a:ext uri="{FF2B5EF4-FFF2-40B4-BE49-F238E27FC236}">
              <a16:creationId xmlns:a16="http://schemas.microsoft.com/office/drawing/2014/main" id="{00000000-0008-0000-0400-0000E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a:extLst>
            <a:ext uri="{FF2B5EF4-FFF2-40B4-BE49-F238E27FC236}">
              <a16:creationId xmlns:a16="http://schemas.microsoft.com/office/drawing/2014/main" id="{00000000-0008-0000-0400-0000E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a:extLst>
            <a:ext uri="{FF2B5EF4-FFF2-40B4-BE49-F238E27FC236}">
              <a16:creationId xmlns:a16="http://schemas.microsoft.com/office/drawing/2014/main" id="{00000000-0008-0000-0400-0000E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a:extLst>
            <a:ext uri="{FF2B5EF4-FFF2-40B4-BE49-F238E27FC236}">
              <a16:creationId xmlns:a16="http://schemas.microsoft.com/office/drawing/2014/main" id="{00000000-0008-0000-0400-0000E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a:extLst>
            <a:ext uri="{FF2B5EF4-FFF2-40B4-BE49-F238E27FC236}">
              <a16:creationId xmlns:a16="http://schemas.microsoft.com/office/drawing/2014/main" id="{00000000-0008-0000-0400-0000E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a:extLst>
            <a:ext uri="{FF2B5EF4-FFF2-40B4-BE49-F238E27FC236}">
              <a16:creationId xmlns:a16="http://schemas.microsoft.com/office/drawing/2014/main" id="{00000000-0008-0000-0400-0000E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a:extLst>
            <a:ext uri="{FF2B5EF4-FFF2-40B4-BE49-F238E27FC236}">
              <a16:creationId xmlns:a16="http://schemas.microsoft.com/office/drawing/2014/main" id="{00000000-0008-0000-0400-0000E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a:extLst>
            <a:ext uri="{FF2B5EF4-FFF2-40B4-BE49-F238E27FC236}">
              <a16:creationId xmlns:a16="http://schemas.microsoft.com/office/drawing/2014/main" id="{00000000-0008-0000-0400-0000E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a:extLst>
            <a:ext uri="{FF2B5EF4-FFF2-40B4-BE49-F238E27FC236}">
              <a16:creationId xmlns:a16="http://schemas.microsoft.com/office/drawing/2014/main" id="{00000000-0008-0000-0400-0000E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a:extLst>
            <a:ext uri="{FF2B5EF4-FFF2-40B4-BE49-F238E27FC236}">
              <a16:creationId xmlns:a16="http://schemas.microsoft.com/office/drawing/2014/main" id="{00000000-0008-0000-0400-0000E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a:extLst>
            <a:ext uri="{FF2B5EF4-FFF2-40B4-BE49-F238E27FC236}">
              <a16:creationId xmlns:a16="http://schemas.microsoft.com/office/drawing/2014/main" id="{00000000-0008-0000-0400-0000E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a:extLst>
            <a:ext uri="{FF2B5EF4-FFF2-40B4-BE49-F238E27FC236}">
              <a16:creationId xmlns:a16="http://schemas.microsoft.com/office/drawing/2014/main" id="{00000000-0008-0000-0400-0000E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a:extLst>
            <a:ext uri="{FF2B5EF4-FFF2-40B4-BE49-F238E27FC236}">
              <a16:creationId xmlns:a16="http://schemas.microsoft.com/office/drawing/2014/main" id="{00000000-0008-0000-0400-0000E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a:extLst>
            <a:ext uri="{FF2B5EF4-FFF2-40B4-BE49-F238E27FC236}">
              <a16:creationId xmlns:a16="http://schemas.microsoft.com/office/drawing/2014/main" id="{00000000-0008-0000-0400-0000F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a:extLst>
            <a:ext uri="{FF2B5EF4-FFF2-40B4-BE49-F238E27FC236}">
              <a16:creationId xmlns:a16="http://schemas.microsoft.com/office/drawing/2014/main" id="{00000000-0008-0000-0400-0000F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a:extLst>
            <a:ext uri="{FF2B5EF4-FFF2-40B4-BE49-F238E27FC236}">
              <a16:creationId xmlns:a16="http://schemas.microsoft.com/office/drawing/2014/main" id="{00000000-0008-0000-0400-0000F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a:extLst>
            <a:ext uri="{FF2B5EF4-FFF2-40B4-BE49-F238E27FC236}">
              <a16:creationId xmlns:a16="http://schemas.microsoft.com/office/drawing/2014/main" id="{00000000-0008-0000-0400-0000F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a:extLst>
            <a:ext uri="{FF2B5EF4-FFF2-40B4-BE49-F238E27FC236}">
              <a16:creationId xmlns:a16="http://schemas.microsoft.com/office/drawing/2014/main" id="{00000000-0008-0000-0400-0000F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a:extLst>
            <a:ext uri="{FF2B5EF4-FFF2-40B4-BE49-F238E27FC236}">
              <a16:creationId xmlns:a16="http://schemas.microsoft.com/office/drawing/2014/main" id="{00000000-0008-0000-0400-0000F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a:extLst>
            <a:ext uri="{FF2B5EF4-FFF2-40B4-BE49-F238E27FC236}">
              <a16:creationId xmlns:a16="http://schemas.microsoft.com/office/drawing/2014/main" id="{00000000-0008-0000-0400-0000F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a:extLst>
            <a:ext uri="{FF2B5EF4-FFF2-40B4-BE49-F238E27FC236}">
              <a16:creationId xmlns:a16="http://schemas.microsoft.com/office/drawing/2014/main" id="{00000000-0008-0000-0400-0000F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a:extLst>
            <a:ext uri="{FF2B5EF4-FFF2-40B4-BE49-F238E27FC236}">
              <a16:creationId xmlns:a16="http://schemas.microsoft.com/office/drawing/2014/main" id="{00000000-0008-0000-0400-0000F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a:extLst>
            <a:ext uri="{FF2B5EF4-FFF2-40B4-BE49-F238E27FC236}">
              <a16:creationId xmlns:a16="http://schemas.microsoft.com/office/drawing/2014/main" id="{00000000-0008-0000-0400-0000F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a:extLst>
            <a:ext uri="{FF2B5EF4-FFF2-40B4-BE49-F238E27FC236}">
              <a16:creationId xmlns:a16="http://schemas.microsoft.com/office/drawing/2014/main" id="{00000000-0008-0000-0400-0000F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a:extLst>
            <a:ext uri="{FF2B5EF4-FFF2-40B4-BE49-F238E27FC236}">
              <a16:creationId xmlns:a16="http://schemas.microsoft.com/office/drawing/2014/main" id="{00000000-0008-0000-0400-0000F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a:extLst>
            <a:ext uri="{FF2B5EF4-FFF2-40B4-BE49-F238E27FC236}">
              <a16:creationId xmlns:a16="http://schemas.microsoft.com/office/drawing/2014/main" id="{00000000-0008-0000-0400-0000F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a:extLst>
            <a:ext uri="{FF2B5EF4-FFF2-40B4-BE49-F238E27FC236}">
              <a16:creationId xmlns:a16="http://schemas.microsoft.com/office/drawing/2014/main" id="{00000000-0008-0000-0400-0000F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a:extLst>
            <a:ext uri="{FF2B5EF4-FFF2-40B4-BE49-F238E27FC236}">
              <a16:creationId xmlns:a16="http://schemas.microsoft.com/office/drawing/2014/main" id="{00000000-0008-0000-0400-0000F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a:extLst>
            <a:ext uri="{FF2B5EF4-FFF2-40B4-BE49-F238E27FC236}">
              <a16:creationId xmlns:a16="http://schemas.microsoft.com/office/drawing/2014/main" id="{00000000-0008-0000-0400-0000F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a:extLst>
            <a:ext uri="{FF2B5EF4-FFF2-40B4-BE49-F238E27FC236}">
              <a16:creationId xmlns:a16="http://schemas.microsoft.com/office/drawing/2014/main" id="{00000000-0008-0000-0400-00000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a:extLst>
            <a:ext uri="{FF2B5EF4-FFF2-40B4-BE49-F238E27FC236}">
              <a16:creationId xmlns:a16="http://schemas.microsoft.com/office/drawing/2014/main" id="{00000000-0008-0000-0400-00000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a:extLst>
            <a:ext uri="{FF2B5EF4-FFF2-40B4-BE49-F238E27FC236}">
              <a16:creationId xmlns:a16="http://schemas.microsoft.com/office/drawing/2014/main" id="{00000000-0008-0000-0400-00000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a:extLst>
            <a:ext uri="{FF2B5EF4-FFF2-40B4-BE49-F238E27FC236}">
              <a16:creationId xmlns:a16="http://schemas.microsoft.com/office/drawing/2014/main" id="{00000000-0008-0000-0400-00000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a:extLst>
            <a:ext uri="{FF2B5EF4-FFF2-40B4-BE49-F238E27FC236}">
              <a16:creationId xmlns:a16="http://schemas.microsoft.com/office/drawing/2014/main" id="{00000000-0008-0000-0400-00000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a:extLst>
            <a:ext uri="{FF2B5EF4-FFF2-40B4-BE49-F238E27FC236}">
              <a16:creationId xmlns:a16="http://schemas.microsoft.com/office/drawing/2014/main" id="{00000000-0008-0000-0400-00000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a:extLst>
            <a:ext uri="{FF2B5EF4-FFF2-40B4-BE49-F238E27FC236}">
              <a16:creationId xmlns:a16="http://schemas.microsoft.com/office/drawing/2014/main" id="{00000000-0008-0000-0400-00000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a:extLst>
            <a:ext uri="{FF2B5EF4-FFF2-40B4-BE49-F238E27FC236}">
              <a16:creationId xmlns:a16="http://schemas.microsoft.com/office/drawing/2014/main" id="{00000000-0008-0000-0400-00000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a:extLst>
            <a:ext uri="{FF2B5EF4-FFF2-40B4-BE49-F238E27FC236}">
              <a16:creationId xmlns:a16="http://schemas.microsoft.com/office/drawing/2014/main" id="{00000000-0008-0000-0400-00000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a:extLst>
            <a:ext uri="{FF2B5EF4-FFF2-40B4-BE49-F238E27FC236}">
              <a16:creationId xmlns:a16="http://schemas.microsoft.com/office/drawing/2014/main" id="{00000000-0008-0000-0400-00000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a:extLst>
            <a:ext uri="{FF2B5EF4-FFF2-40B4-BE49-F238E27FC236}">
              <a16:creationId xmlns:a16="http://schemas.microsoft.com/office/drawing/2014/main" id="{00000000-0008-0000-0400-00000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a:extLst>
            <a:ext uri="{FF2B5EF4-FFF2-40B4-BE49-F238E27FC236}">
              <a16:creationId xmlns:a16="http://schemas.microsoft.com/office/drawing/2014/main" id="{00000000-0008-0000-0400-00000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a:extLst>
            <a:ext uri="{FF2B5EF4-FFF2-40B4-BE49-F238E27FC236}">
              <a16:creationId xmlns:a16="http://schemas.microsoft.com/office/drawing/2014/main" id="{00000000-0008-0000-0400-00000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a:extLst>
            <a:ext uri="{FF2B5EF4-FFF2-40B4-BE49-F238E27FC236}">
              <a16:creationId xmlns:a16="http://schemas.microsoft.com/office/drawing/2014/main" id="{00000000-0008-0000-0400-00000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a:extLst>
            <a:ext uri="{FF2B5EF4-FFF2-40B4-BE49-F238E27FC236}">
              <a16:creationId xmlns:a16="http://schemas.microsoft.com/office/drawing/2014/main" id="{00000000-0008-0000-0400-00000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a:extLst>
            <a:ext uri="{FF2B5EF4-FFF2-40B4-BE49-F238E27FC236}">
              <a16:creationId xmlns:a16="http://schemas.microsoft.com/office/drawing/2014/main" id="{00000000-0008-0000-0400-00000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a:extLst>
            <a:ext uri="{FF2B5EF4-FFF2-40B4-BE49-F238E27FC236}">
              <a16:creationId xmlns:a16="http://schemas.microsoft.com/office/drawing/2014/main" id="{00000000-0008-0000-0400-00001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a:extLst>
            <a:ext uri="{FF2B5EF4-FFF2-40B4-BE49-F238E27FC236}">
              <a16:creationId xmlns:a16="http://schemas.microsoft.com/office/drawing/2014/main" id="{00000000-0008-0000-0400-00001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a:extLst>
            <a:ext uri="{FF2B5EF4-FFF2-40B4-BE49-F238E27FC236}">
              <a16:creationId xmlns:a16="http://schemas.microsoft.com/office/drawing/2014/main" id="{00000000-0008-0000-0400-00001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a:extLst>
            <a:ext uri="{FF2B5EF4-FFF2-40B4-BE49-F238E27FC236}">
              <a16:creationId xmlns:a16="http://schemas.microsoft.com/office/drawing/2014/main" id="{00000000-0008-0000-0400-00001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a:extLst>
            <a:ext uri="{FF2B5EF4-FFF2-40B4-BE49-F238E27FC236}">
              <a16:creationId xmlns:a16="http://schemas.microsoft.com/office/drawing/2014/main" id="{00000000-0008-0000-0400-00001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a:extLst>
            <a:ext uri="{FF2B5EF4-FFF2-40B4-BE49-F238E27FC236}">
              <a16:creationId xmlns:a16="http://schemas.microsoft.com/office/drawing/2014/main" id="{00000000-0008-0000-0400-00001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a:extLst>
            <a:ext uri="{FF2B5EF4-FFF2-40B4-BE49-F238E27FC236}">
              <a16:creationId xmlns:a16="http://schemas.microsoft.com/office/drawing/2014/main" id="{00000000-0008-0000-0400-00001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a:extLst>
            <a:ext uri="{FF2B5EF4-FFF2-40B4-BE49-F238E27FC236}">
              <a16:creationId xmlns:a16="http://schemas.microsoft.com/office/drawing/2014/main" id="{00000000-0008-0000-0400-00001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a:extLst>
            <a:ext uri="{FF2B5EF4-FFF2-40B4-BE49-F238E27FC236}">
              <a16:creationId xmlns:a16="http://schemas.microsoft.com/office/drawing/2014/main" id="{00000000-0008-0000-0400-00001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a:extLst>
            <a:ext uri="{FF2B5EF4-FFF2-40B4-BE49-F238E27FC236}">
              <a16:creationId xmlns:a16="http://schemas.microsoft.com/office/drawing/2014/main" id="{00000000-0008-0000-0400-00001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a:extLst>
            <a:ext uri="{FF2B5EF4-FFF2-40B4-BE49-F238E27FC236}">
              <a16:creationId xmlns:a16="http://schemas.microsoft.com/office/drawing/2014/main" id="{00000000-0008-0000-0400-00001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a:extLst>
            <a:ext uri="{FF2B5EF4-FFF2-40B4-BE49-F238E27FC236}">
              <a16:creationId xmlns:a16="http://schemas.microsoft.com/office/drawing/2014/main" id="{00000000-0008-0000-0400-00001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a:extLst>
            <a:ext uri="{FF2B5EF4-FFF2-40B4-BE49-F238E27FC236}">
              <a16:creationId xmlns:a16="http://schemas.microsoft.com/office/drawing/2014/main" id="{00000000-0008-0000-0400-00001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a:extLst>
            <a:ext uri="{FF2B5EF4-FFF2-40B4-BE49-F238E27FC236}">
              <a16:creationId xmlns:a16="http://schemas.microsoft.com/office/drawing/2014/main" id="{00000000-0008-0000-0400-00001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a:extLst>
            <a:ext uri="{FF2B5EF4-FFF2-40B4-BE49-F238E27FC236}">
              <a16:creationId xmlns:a16="http://schemas.microsoft.com/office/drawing/2014/main" id="{00000000-0008-0000-0400-00001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a:extLst>
            <a:ext uri="{FF2B5EF4-FFF2-40B4-BE49-F238E27FC236}">
              <a16:creationId xmlns:a16="http://schemas.microsoft.com/office/drawing/2014/main" id="{00000000-0008-0000-0400-00001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a:extLst>
            <a:ext uri="{FF2B5EF4-FFF2-40B4-BE49-F238E27FC236}">
              <a16:creationId xmlns:a16="http://schemas.microsoft.com/office/drawing/2014/main" id="{00000000-0008-0000-0400-00002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a:extLst>
            <a:ext uri="{FF2B5EF4-FFF2-40B4-BE49-F238E27FC236}">
              <a16:creationId xmlns:a16="http://schemas.microsoft.com/office/drawing/2014/main" id="{00000000-0008-0000-0400-00002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a:extLst>
            <a:ext uri="{FF2B5EF4-FFF2-40B4-BE49-F238E27FC236}">
              <a16:creationId xmlns:a16="http://schemas.microsoft.com/office/drawing/2014/main" id="{00000000-0008-0000-0400-00002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a:extLst>
            <a:ext uri="{FF2B5EF4-FFF2-40B4-BE49-F238E27FC236}">
              <a16:creationId xmlns:a16="http://schemas.microsoft.com/office/drawing/2014/main" id="{00000000-0008-0000-0400-00002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a:extLst>
            <a:ext uri="{FF2B5EF4-FFF2-40B4-BE49-F238E27FC236}">
              <a16:creationId xmlns:a16="http://schemas.microsoft.com/office/drawing/2014/main" id="{00000000-0008-0000-0400-00002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a:extLst>
            <a:ext uri="{FF2B5EF4-FFF2-40B4-BE49-F238E27FC236}">
              <a16:creationId xmlns:a16="http://schemas.microsoft.com/office/drawing/2014/main" id="{00000000-0008-0000-0400-00002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a:extLst>
            <a:ext uri="{FF2B5EF4-FFF2-40B4-BE49-F238E27FC236}">
              <a16:creationId xmlns:a16="http://schemas.microsoft.com/office/drawing/2014/main" id="{00000000-0008-0000-0400-00002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a:extLst>
            <a:ext uri="{FF2B5EF4-FFF2-40B4-BE49-F238E27FC236}">
              <a16:creationId xmlns:a16="http://schemas.microsoft.com/office/drawing/2014/main" id="{00000000-0008-0000-0400-00002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a:extLst>
            <a:ext uri="{FF2B5EF4-FFF2-40B4-BE49-F238E27FC236}">
              <a16:creationId xmlns:a16="http://schemas.microsoft.com/office/drawing/2014/main" id="{00000000-0008-0000-0400-00002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a:extLst>
            <a:ext uri="{FF2B5EF4-FFF2-40B4-BE49-F238E27FC236}">
              <a16:creationId xmlns:a16="http://schemas.microsoft.com/office/drawing/2014/main" id="{00000000-0008-0000-0400-00002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a:extLst>
            <a:ext uri="{FF2B5EF4-FFF2-40B4-BE49-F238E27FC236}">
              <a16:creationId xmlns:a16="http://schemas.microsoft.com/office/drawing/2014/main" id="{00000000-0008-0000-0400-00002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a:extLst>
            <a:ext uri="{FF2B5EF4-FFF2-40B4-BE49-F238E27FC236}">
              <a16:creationId xmlns:a16="http://schemas.microsoft.com/office/drawing/2014/main" id="{00000000-0008-0000-0400-00002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a:extLst>
            <a:ext uri="{FF2B5EF4-FFF2-40B4-BE49-F238E27FC236}">
              <a16:creationId xmlns:a16="http://schemas.microsoft.com/office/drawing/2014/main" id="{00000000-0008-0000-0400-00002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a:extLst>
            <a:ext uri="{FF2B5EF4-FFF2-40B4-BE49-F238E27FC236}">
              <a16:creationId xmlns:a16="http://schemas.microsoft.com/office/drawing/2014/main" id="{00000000-0008-0000-0400-00002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a:extLst>
            <a:ext uri="{FF2B5EF4-FFF2-40B4-BE49-F238E27FC236}">
              <a16:creationId xmlns:a16="http://schemas.microsoft.com/office/drawing/2014/main" id="{00000000-0008-0000-0400-00002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a:extLst>
            <a:ext uri="{FF2B5EF4-FFF2-40B4-BE49-F238E27FC236}">
              <a16:creationId xmlns:a16="http://schemas.microsoft.com/office/drawing/2014/main" id="{00000000-0008-0000-0400-00002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a:extLst>
            <a:ext uri="{FF2B5EF4-FFF2-40B4-BE49-F238E27FC236}">
              <a16:creationId xmlns:a16="http://schemas.microsoft.com/office/drawing/2014/main" id="{00000000-0008-0000-0400-00003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a:extLst>
            <a:ext uri="{FF2B5EF4-FFF2-40B4-BE49-F238E27FC236}">
              <a16:creationId xmlns:a16="http://schemas.microsoft.com/office/drawing/2014/main" id="{00000000-0008-0000-0400-00003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a:extLst>
            <a:ext uri="{FF2B5EF4-FFF2-40B4-BE49-F238E27FC236}">
              <a16:creationId xmlns:a16="http://schemas.microsoft.com/office/drawing/2014/main" id="{00000000-0008-0000-0400-00003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a:extLst>
            <a:ext uri="{FF2B5EF4-FFF2-40B4-BE49-F238E27FC236}">
              <a16:creationId xmlns:a16="http://schemas.microsoft.com/office/drawing/2014/main" id="{00000000-0008-0000-0400-00003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a:extLst>
            <a:ext uri="{FF2B5EF4-FFF2-40B4-BE49-F238E27FC236}">
              <a16:creationId xmlns:a16="http://schemas.microsoft.com/office/drawing/2014/main" id="{00000000-0008-0000-0400-00003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a:extLst>
            <a:ext uri="{FF2B5EF4-FFF2-40B4-BE49-F238E27FC236}">
              <a16:creationId xmlns:a16="http://schemas.microsoft.com/office/drawing/2014/main" id="{00000000-0008-0000-0400-00003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a:extLst>
            <a:ext uri="{FF2B5EF4-FFF2-40B4-BE49-F238E27FC236}">
              <a16:creationId xmlns:a16="http://schemas.microsoft.com/office/drawing/2014/main" id="{00000000-0008-0000-0400-00003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a:extLst>
            <a:ext uri="{FF2B5EF4-FFF2-40B4-BE49-F238E27FC236}">
              <a16:creationId xmlns:a16="http://schemas.microsoft.com/office/drawing/2014/main" id="{00000000-0008-0000-0400-00003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a:extLst>
            <a:ext uri="{FF2B5EF4-FFF2-40B4-BE49-F238E27FC236}">
              <a16:creationId xmlns:a16="http://schemas.microsoft.com/office/drawing/2014/main" id="{00000000-0008-0000-0400-00003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a:extLst>
            <a:ext uri="{FF2B5EF4-FFF2-40B4-BE49-F238E27FC236}">
              <a16:creationId xmlns:a16="http://schemas.microsoft.com/office/drawing/2014/main" id="{00000000-0008-0000-0400-00003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a:extLst>
            <a:ext uri="{FF2B5EF4-FFF2-40B4-BE49-F238E27FC236}">
              <a16:creationId xmlns:a16="http://schemas.microsoft.com/office/drawing/2014/main" id="{00000000-0008-0000-0400-00003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a:extLst>
            <a:ext uri="{FF2B5EF4-FFF2-40B4-BE49-F238E27FC236}">
              <a16:creationId xmlns:a16="http://schemas.microsoft.com/office/drawing/2014/main" id="{00000000-0008-0000-0400-00003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a:extLst>
            <a:ext uri="{FF2B5EF4-FFF2-40B4-BE49-F238E27FC236}">
              <a16:creationId xmlns:a16="http://schemas.microsoft.com/office/drawing/2014/main" id="{00000000-0008-0000-0400-00003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a:extLst>
            <a:ext uri="{FF2B5EF4-FFF2-40B4-BE49-F238E27FC236}">
              <a16:creationId xmlns:a16="http://schemas.microsoft.com/office/drawing/2014/main" id="{00000000-0008-0000-0400-00003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a:extLst>
            <a:ext uri="{FF2B5EF4-FFF2-40B4-BE49-F238E27FC236}">
              <a16:creationId xmlns:a16="http://schemas.microsoft.com/office/drawing/2014/main" id="{00000000-0008-0000-0400-00003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a:extLst>
            <a:ext uri="{FF2B5EF4-FFF2-40B4-BE49-F238E27FC236}">
              <a16:creationId xmlns:a16="http://schemas.microsoft.com/office/drawing/2014/main" id="{00000000-0008-0000-0400-00003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a:extLst>
            <a:ext uri="{FF2B5EF4-FFF2-40B4-BE49-F238E27FC236}">
              <a16:creationId xmlns:a16="http://schemas.microsoft.com/office/drawing/2014/main" id="{00000000-0008-0000-0400-00004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a:extLst>
            <a:ext uri="{FF2B5EF4-FFF2-40B4-BE49-F238E27FC236}">
              <a16:creationId xmlns:a16="http://schemas.microsoft.com/office/drawing/2014/main" id="{00000000-0008-0000-0400-00004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a:extLst>
            <a:ext uri="{FF2B5EF4-FFF2-40B4-BE49-F238E27FC236}">
              <a16:creationId xmlns:a16="http://schemas.microsoft.com/office/drawing/2014/main" id="{00000000-0008-0000-0400-00004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a:extLst>
            <a:ext uri="{FF2B5EF4-FFF2-40B4-BE49-F238E27FC236}">
              <a16:creationId xmlns:a16="http://schemas.microsoft.com/office/drawing/2014/main" id="{00000000-0008-0000-0400-00004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a:extLst>
            <a:ext uri="{FF2B5EF4-FFF2-40B4-BE49-F238E27FC236}">
              <a16:creationId xmlns:a16="http://schemas.microsoft.com/office/drawing/2014/main" id="{00000000-0008-0000-0400-00004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a:extLst>
            <a:ext uri="{FF2B5EF4-FFF2-40B4-BE49-F238E27FC236}">
              <a16:creationId xmlns:a16="http://schemas.microsoft.com/office/drawing/2014/main" id="{00000000-0008-0000-0400-00004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a:extLst>
            <a:ext uri="{FF2B5EF4-FFF2-40B4-BE49-F238E27FC236}">
              <a16:creationId xmlns:a16="http://schemas.microsoft.com/office/drawing/2014/main" id="{00000000-0008-0000-0400-00004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a:extLst>
            <a:ext uri="{FF2B5EF4-FFF2-40B4-BE49-F238E27FC236}">
              <a16:creationId xmlns:a16="http://schemas.microsoft.com/office/drawing/2014/main" id="{00000000-0008-0000-0400-00004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a:extLst>
            <a:ext uri="{FF2B5EF4-FFF2-40B4-BE49-F238E27FC236}">
              <a16:creationId xmlns:a16="http://schemas.microsoft.com/office/drawing/2014/main" id="{00000000-0008-0000-0400-00004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a:extLst>
            <a:ext uri="{FF2B5EF4-FFF2-40B4-BE49-F238E27FC236}">
              <a16:creationId xmlns:a16="http://schemas.microsoft.com/office/drawing/2014/main" id="{00000000-0008-0000-0400-00004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a:extLst>
            <a:ext uri="{FF2B5EF4-FFF2-40B4-BE49-F238E27FC236}">
              <a16:creationId xmlns:a16="http://schemas.microsoft.com/office/drawing/2014/main" id="{00000000-0008-0000-0400-00004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a:extLst>
            <a:ext uri="{FF2B5EF4-FFF2-40B4-BE49-F238E27FC236}">
              <a16:creationId xmlns:a16="http://schemas.microsoft.com/office/drawing/2014/main" id="{00000000-0008-0000-0400-00004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a:extLst>
            <a:ext uri="{FF2B5EF4-FFF2-40B4-BE49-F238E27FC236}">
              <a16:creationId xmlns:a16="http://schemas.microsoft.com/office/drawing/2014/main" id="{00000000-0008-0000-0400-00004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a:extLst>
            <a:ext uri="{FF2B5EF4-FFF2-40B4-BE49-F238E27FC236}">
              <a16:creationId xmlns:a16="http://schemas.microsoft.com/office/drawing/2014/main" id="{00000000-0008-0000-0400-00004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a:extLst>
            <a:ext uri="{FF2B5EF4-FFF2-40B4-BE49-F238E27FC236}">
              <a16:creationId xmlns:a16="http://schemas.microsoft.com/office/drawing/2014/main" id="{00000000-0008-0000-0400-00004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a:extLst>
            <a:ext uri="{FF2B5EF4-FFF2-40B4-BE49-F238E27FC236}">
              <a16:creationId xmlns:a16="http://schemas.microsoft.com/office/drawing/2014/main" id="{00000000-0008-0000-0400-00004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a:extLst>
            <a:ext uri="{FF2B5EF4-FFF2-40B4-BE49-F238E27FC236}">
              <a16:creationId xmlns:a16="http://schemas.microsoft.com/office/drawing/2014/main" id="{00000000-0008-0000-0400-00005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a:extLst>
            <a:ext uri="{FF2B5EF4-FFF2-40B4-BE49-F238E27FC236}">
              <a16:creationId xmlns:a16="http://schemas.microsoft.com/office/drawing/2014/main" id="{00000000-0008-0000-0400-00005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a:extLst>
            <a:ext uri="{FF2B5EF4-FFF2-40B4-BE49-F238E27FC236}">
              <a16:creationId xmlns:a16="http://schemas.microsoft.com/office/drawing/2014/main" id="{00000000-0008-0000-0400-00005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a:extLst>
            <a:ext uri="{FF2B5EF4-FFF2-40B4-BE49-F238E27FC236}">
              <a16:creationId xmlns:a16="http://schemas.microsoft.com/office/drawing/2014/main" id="{00000000-0008-0000-0400-00005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a:extLst>
            <a:ext uri="{FF2B5EF4-FFF2-40B4-BE49-F238E27FC236}">
              <a16:creationId xmlns:a16="http://schemas.microsoft.com/office/drawing/2014/main" id="{00000000-0008-0000-0400-00005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a:extLst>
            <a:ext uri="{FF2B5EF4-FFF2-40B4-BE49-F238E27FC236}">
              <a16:creationId xmlns:a16="http://schemas.microsoft.com/office/drawing/2014/main" id="{00000000-0008-0000-0400-00005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a:extLst>
            <a:ext uri="{FF2B5EF4-FFF2-40B4-BE49-F238E27FC236}">
              <a16:creationId xmlns:a16="http://schemas.microsoft.com/office/drawing/2014/main" id="{00000000-0008-0000-0400-00005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a:extLst>
            <a:ext uri="{FF2B5EF4-FFF2-40B4-BE49-F238E27FC236}">
              <a16:creationId xmlns:a16="http://schemas.microsoft.com/office/drawing/2014/main" id="{00000000-0008-0000-0400-00005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a:extLst>
            <a:ext uri="{FF2B5EF4-FFF2-40B4-BE49-F238E27FC236}">
              <a16:creationId xmlns:a16="http://schemas.microsoft.com/office/drawing/2014/main" id="{00000000-0008-0000-0400-00005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a:extLst>
            <a:ext uri="{FF2B5EF4-FFF2-40B4-BE49-F238E27FC236}">
              <a16:creationId xmlns:a16="http://schemas.microsoft.com/office/drawing/2014/main" id="{00000000-0008-0000-0400-00005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a:extLst>
            <a:ext uri="{FF2B5EF4-FFF2-40B4-BE49-F238E27FC236}">
              <a16:creationId xmlns:a16="http://schemas.microsoft.com/office/drawing/2014/main" id="{00000000-0008-0000-0400-00005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a:extLst>
            <a:ext uri="{FF2B5EF4-FFF2-40B4-BE49-F238E27FC236}">
              <a16:creationId xmlns:a16="http://schemas.microsoft.com/office/drawing/2014/main" id="{00000000-0008-0000-0400-00005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a:extLst>
            <a:ext uri="{FF2B5EF4-FFF2-40B4-BE49-F238E27FC236}">
              <a16:creationId xmlns:a16="http://schemas.microsoft.com/office/drawing/2014/main" id="{00000000-0008-0000-0400-00005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a:extLst>
            <a:ext uri="{FF2B5EF4-FFF2-40B4-BE49-F238E27FC236}">
              <a16:creationId xmlns:a16="http://schemas.microsoft.com/office/drawing/2014/main" id="{00000000-0008-0000-0400-00005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a:extLst>
            <a:ext uri="{FF2B5EF4-FFF2-40B4-BE49-F238E27FC236}">
              <a16:creationId xmlns:a16="http://schemas.microsoft.com/office/drawing/2014/main" id="{00000000-0008-0000-0400-00005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a:extLst>
            <a:ext uri="{FF2B5EF4-FFF2-40B4-BE49-F238E27FC236}">
              <a16:creationId xmlns:a16="http://schemas.microsoft.com/office/drawing/2014/main" id="{00000000-0008-0000-0400-00005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a:extLst>
            <a:ext uri="{FF2B5EF4-FFF2-40B4-BE49-F238E27FC236}">
              <a16:creationId xmlns:a16="http://schemas.microsoft.com/office/drawing/2014/main" id="{00000000-0008-0000-0400-00006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a:extLst>
            <a:ext uri="{FF2B5EF4-FFF2-40B4-BE49-F238E27FC236}">
              <a16:creationId xmlns:a16="http://schemas.microsoft.com/office/drawing/2014/main" id="{00000000-0008-0000-0400-00006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a:extLst>
            <a:ext uri="{FF2B5EF4-FFF2-40B4-BE49-F238E27FC236}">
              <a16:creationId xmlns:a16="http://schemas.microsoft.com/office/drawing/2014/main" id="{00000000-0008-0000-0400-00006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a:extLst>
            <a:ext uri="{FF2B5EF4-FFF2-40B4-BE49-F238E27FC236}">
              <a16:creationId xmlns:a16="http://schemas.microsoft.com/office/drawing/2014/main" id="{00000000-0008-0000-0400-00006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a:extLst>
            <a:ext uri="{FF2B5EF4-FFF2-40B4-BE49-F238E27FC236}">
              <a16:creationId xmlns:a16="http://schemas.microsoft.com/office/drawing/2014/main" id="{00000000-0008-0000-0400-00006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a:extLst>
            <a:ext uri="{FF2B5EF4-FFF2-40B4-BE49-F238E27FC236}">
              <a16:creationId xmlns:a16="http://schemas.microsoft.com/office/drawing/2014/main" id="{00000000-0008-0000-0400-00006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a:extLst>
            <a:ext uri="{FF2B5EF4-FFF2-40B4-BE49-F238E27FC236}">
              <a16:creationId xmlns:a16="http://schemas.microsoft.com/office/drawing/2014/main" id="{00000000-0008-0000-0400-00006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a:extLst>
            <a:ext uri="{FF2B5EF4-FFF2-40B4-BE49-F238E27FC236}">
              <a16:creationId xmlns:a16="http://schemas.microsoft.com/office/drawing/2014/main" id="{00000000-0008-0000-0400-00006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a:extLst>
            <a:ext uri="{FF2B5EF4-FFF2-40B4-BE49-F238E27FC236}">
              <a16:creationId xmlns:a16="http://schemas.microsoft.com/office/drawing/2014/main" id="{00000000-0008-0000-0400-00006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a:extLst>
            <a:ext uri="{FF2B5EF4-FFF2-40B4-BE49-F238E27FC236}">
              <a16:creationId xmlns:a16="http://schemas.microsoft.com/office/drawing/2014/main" id="{00000000-0008-0000-0400-00006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a:extLst>
            <a:ext uri="{FF2B5EF4-FFF2-40B4-BE49-F238E27FC236}">
              <a16:creationId xmlns:a16="http://schemas.microsoft.com/office/drawing/2014/main" id="{00000000-0008-0000-0400-00006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a:extLst>
            <a:ext uri="{FF2B5EF4-FFF2-40B4-BE49-F238E27FC236}">
              <a16:creationId xmlns:a16="http://schemas.microsoft.com/office/drawing/2014/main" id="{00000000-0008-0000-0400-00006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a:extLst>
            <a:ext uri="{FF2B5EF4-FFF2-40B4-BE49-F238E27FC236}">
              <a16:creationId xmlns:a16="http://schemas.microsoft.com/office/drawing/2014/main" id="{00000000-0008-0000-0400-00006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a:extLst>
            <a:ext uri="{FF2B5EF4-FFF2-40B4-BE49-F238E27FC236}">
              <a16:creationId xmlns:a16="http://schemas.microsoft.com/office/drawing/2014/main" id="{00000000-0008-0000-0400-00006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a:extLst>
            <a:ext uri="{FF2B5EF4-FFF2-40B4-BE49-F238E27FC236}">
              <a16:creationId xmlns:a16="http://schemas.microsoft.com/office/drawing/2014/main" id="{00000000-0008-0000-0400-00006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a:extLst>
            <a:ext uri="{FF2B5EF4-FFF2-40B4-BE49-F238E27FC236}">
              <a16:creationId xmlns:a16="http://schemas.microsoft.com/office/drawing/2014/main" id="{00000000-0008-0000-0400-00006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a:extLst>
            <a:ext uri="{FF2B5EF4-FFF2-40B4-BE49-F238E27FC236}">
              <a16:creationId xmlns:a16="http://schemas.microsoft.com/office/drawing/2014/main" id="{00000000-0008-0000-0400-00007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a:extLst>
            <a:ext uri="{FF2B5EF4-FFF2-40B4-BE49-F238E27FC236}">
              <a16:creationId xmlns:a16="http://schemas.microsoft.com/office/drawing/2014/main" id="{00000000-0008-0000-0400-00007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a:extLst>
            <a:ext uri="{FF2B5EF4-FFF2-40B4-BE49-F238E27FC236}">
              <a16:creationId xmlns:a16="http://schemas.microsoft.com/office/drawing/2014/main" id="{00000000-0008-0000-0400-00007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a:extLst>
            <a:ext uri="{FF2B5EF4-FFF2-40B4-BE49-F238E27FC236}">
              <a16:creationId xmlns:a16="http://schemas.microsoft.com/office/drawing/2014/main" id="{00000000-0008-0000-0400-00007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a:extLst>
            <a:ext uri="{FF2B5EF4-FFF2-40B4-BE49-F238E27FC236}">
              <a16:creationId xmlns:a16="http://schemas.microsoft.com/office/drawing/2014/main" id="{00000000-0008-0000-0400-00007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a:extLst>
            <a:ext uri="{FF2B5EF4-FFF2-40B4-BE49-F238E27FC236}">
              <a16:creationId xmlns:a16="http://schemas.microsoft.com/office/drawing/2014/main" id="{00000000-0008-0000-0400-00007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a:extLst>
            <a:ext uri="{FF2B5EF4-FFF2-40B4-BE49-F238E27FC236}">
              <a16:creationId xmlns:a16="http://schemas.microsoft.com/office/drawing/2014/main" id="{00000000-0008-0000-0400-00007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a:extLst>
            <a:ext uri="{FF2B5EF4-FFF2-40B4-BE49-F238E27FC236}">
              <a16:creationId xmlns:a16="http://schemas.microsoft.com/office/drawing/2014/main" id="{00000000-0008-0000-0400-00007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a:extLst>
            <a:ext uri="{FF2B5EF4-FFF2-40B4-BE49-F238E27FC236}">
              <a16:creationId xmlns:a16="http://schemas.microsoft.com/office/drawing/2014/main" id="{00000000-0008-0000-0400-00007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a:extLst>
            <a:ext uri="{FF2B5EF4-FFF2-40B4-BE49-F238E27FC236}">
              <a16:creationId xmlns:a16="http://schemas.microsoft.com/office/drawing/2014/main" id="{00000000-0008-0000-0400-00007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a:extLst>
            <a:ext uri="{FF2B5EF4-FFF2-40B4-BE49-F238E27FC236}">
              <a16:creationId xmlns:a16="http://schemas.microsoft.com/office/drawing/2014/main" id="{00000000-0008-0000-0400-00007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a:extLst>
            <a:ext uri="{FF2B5EF4-FFF2-40B4-BE49-F238E27FC236}">
              <a16:creationId xmlns:a16="http://schemas.microsoft.com/office/drawing/2014/main" id="{00000000-0008-0000-0400-00007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a:extLst>
            <a:ext uri="{FF2B5EF4-FFF2-40B4-BE49-F238E27FC236}">
              <a16:creationId xmlns:a16="http://schemas.microsoft.com/office/drawing/2014/main" id="{00000000-0008-0000-0400-00007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a:extLst>
            <a:ext uri="{FF2B5EF4-FFF2-40B4-BE49-F238E27FC236}">
              <a16:creationId xmlns:a16="http://schemas.microsoft.com/office/drawing/2014/main" id="{00000000-0008-0000-0400-00007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a:extLst>
            <a:ext uri="{FF2B5EF4-FFF2-40B4-BE49-F238E27FC236}">
              <a16:creationId xmlns:a16="http://schemas.microsoft.com/office/drawing/2014/main" id="{00000000-0008-0000-0400-00007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a:extLst>
            <a:ext uri="{FF2B5EF4-FFF2-40B4-BE49-F238E27FC236}">
              <a16:creationId xmlns:a16="http://schemas.microsoft.com/office/drawing/2014/main" id="{00000000-0008-0000-0400-00007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a:extLst>
            <a:ext uri="{FF2B5EF4-FFF2-40B4-BE49-F238E27FC236}">
              <a16:creationId xmlns:a16="http://schemas.microsoft.com/office/drawing/2014/main" id="{00000000-0008-0000-0400-00008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a:extLst>
            <a:ext uri="{FF2B5EF4-FFF2-40B4-BE49-F238E27FC236}">
              <a16:creationId xmlns:a16="http://schemas.microsoft.com/office/drawing/2014/main" id="{00000000-0008-0000-0400-00008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a:extLst>
            <a:ext uri="{FF2B5EF4-FFF2-40B4-BE49-F238E27FC236}">
              <a16:creationId xmlns:a16="http://schemas.microsoft.com/office/drawing/2014/main" id="{00000000-0008-0000-0400-00008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a:extLst>
            <a:ext uri="{FF2B5EF4-FFF2-40B4-BE49-F238E27FC236}">
              <a16:creationId xmlns:a16="http://schemas.microsoft.com/office/drawing/2014/main" id="{00000000-0008-0000-0400-00008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a:extLst>
            <a:ext uri="{FF2B5EF4-FFF2-40B4-BE49-F238E27FC236}">
              <a16:creationId xmlns:a16="http://schemas.microsoft.com/office/drawing/2014/main" id="{00000000-0008-0000-0400-00008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a:extLst>
            <a:ext uri="{FF2B5EF4-FFF2-40B4-BE49-F238E27FC236}">
              <a16:creationId xmlns:a16="http://schemas.microsoft.com/office/drawing/2014/main" id="{00000000-0008-0000-0400-00008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a:extLst>
            <a:ext uri="{FF2B5EF4-FFF2-40B4-BE49-F238E27FC236}">
              <a16:creationId xmlns:a16="http://schemas.microsoft.com/office/drawing/2014/main" id="{00000000-0008-0000-0400-00008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a:extLst>
            <a:ext uri="{FF2B5EF4-FFF2-40B4-BE49-F238E27FC236}">
              <a16:creationId xmlns:a16="http://schemas.microsoft.com/office/drawing/2014/main" id="{00000000-0008-0000-0400-00008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a:extLst>
            <a:ext uri="{FF2B5EF4-FFF2-40B4-BE49-F238E27FC236}">
              <a16:creationId xmlns:a16="http://schemas.microsoft.com/office/drawing/2014/main" id="{00000000-0008-0000-0400-00008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a:extLst>
            <a:ext uri="{FF2B5EF4-FFF2-40B4-BE49-F238E27FC236}">
              <a16:creationId xmlns:a16="http://schemas.microsoft.com/office/drawing/2014/main" id="{00000000-0008-0000-0400-00008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a:extLst>
            <a:ext uri="{FF2B5EF4-FFF2-40B4-BE49-F238E27FC236}">
              <a16:creationId xmlns:a16="http://schemas.microsoft.com/office/drawing/2014/main" id="{00000000-0008-0000-0400-00008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a:extLst>
            <a:ext uri="{FF2B5EF4-FFF2-40B4-BE49-F238E27FC236}">
              <a16:creationId xmlns:a16="http://schemas.microsoft.com/office/drawing/2014/main" id="{00000000-0008-0000-0400-00008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a:extLst>
            <a:ext uri="{FF2B5EF4-FFF2-40B4-BE49-F238E27FC236}">
              <a16:creationId xmlns:a16="http://schemas.microsoft.com/office/drawing/2014/main" id="{00000000-0008-0000-0400-00008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a:extLst>
            <a:ext uri="{FF2B5EF4-FFF2-40B4-BE49-F238E27FC236}">
              <a16:creationId xmlns:a16="http://schemas.microsoft.com/office/drawing/2014/main" id="{00000000-0008-0000-0400-00008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a:extLst>
            <a:ext uri="{FF2B5EF4-FFF2-40B4-BE49-F238E27FC236}">
              <a16:creationId xmlns:a16="http://schemas.microsoft.com/office/drawing/2014/main" id="{00000000-0008-0000-0400-00008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a:extLst>
            <a:ext uri="{FF2B5EF4-FFF2-40B4-BE49-F238E27FC236}">
              <a16:creationId xmlns:a16="http://schemas.microsoft.com/office/drawing/2014/main" id="{00000000-0008-0000-0400-00008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a:extLst>
            <a:ext uri="{FF2B5EF4-FFF2-40B4-BE49-F238E27FC236}">
              <a16:creationId xmlns:a16="http://schemas.microsoft.com/office/drawing/2014/main" id="{00000000-0008-0000-0400-00009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a:extLst>
            <a:ext uri="{FF2B5EF4-FFF2-40B4-BE49-F238E27FC236}">
              <a16:creationId xmlns:a16="http://schemas.microsoft.com/office/drawing/2014/main" id="{00000000-0008-0000-0400-00009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a:extLst>
            <a:ext uri="{FF2B5EF4-FFF2-40B4-BE49-F238E27FC236}">
              <a16:creationId xmlns:a16="http://schemas.microsoft.com/office/drawing/2014/main" id="{00000000-0008-0000-0400-00009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a:extLst>
            <a:ext uri="{FF2B5EF4-FFF2-40B4-BE49-F238E27FC236}">
              <a16:creationId xmlns:a16="http://schemas.microsoft.com/office/drawing/2014/main" id="{00000000-0008-0000-0400-00009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a:extLst>
            <a:ext uri="{FF2B5EF4-FFF2-40B4-BE49-F238E27FC236}">
              <a16:creationId xmlns:a16="http://schemas.microsoft.com/office/drawing/2014/main" id="{00000000-0008-0000-0400-00009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a:extLst>
            <a:ext uri="{FF2B5EF4-FFF2-40B4-BE49-F238E27FC236}">
              <a16:creationId xmlns:a16="http://schemas.microsoft.com/office/drawing/2014/main" id="{00000000-0008-0000-0400-00009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a:extLst>
            <a:ext uri="{FF2B5EF4-FFF2-40B4-BE49-F238E27FC236}">
              <a16:creationId xmlns:a16="http://schemas.microsoft.com/office/drawing/2014/main" id="{00000000-0008-0000-0400-00009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a:extLst>
            <a:ext uri="{FF2B5EF4-FFF2-40B4-BE49-F238E27FC236}">
              <a16:creationId xmlns:a16="http://schemas.microsoft.com/office/drawing/2014/main" id="{00000000-0008-0000-0400-00009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a:extLst>
            <a:ext uri="{FF2B5EF4-FFF2-40B4-BE49-F238E27FC236}">
              <a16:creationId xmlns:a16="http://schemas.microsoft.com/office/drawing/2014/main" id="{00000000-0008-0000-0400-00009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a:extLst>
            <a:ext uri="{FF2B5EF4-FFF2-40B4-BE49-F238E27FC236}">
              <a16:creationId xmlns:a16="http://schemas.microsoft.com/office/drawing/2014/main" id="{00000000-0008-0000-0400-00009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a:extLst>
            <a:ext uri="{FF2B5EF4-FFF2-40B4-BE49-F238E27FC236}">
              <a16:creationId xmlns:a16="http://schemas.microsoft.com/office/drawing/2014/main" id="{00000000-0008-0000-0400-00009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a:extLst>
            <a:ext uri="{FF2B5EF4-FFF2-40B4-BE49-F238E27FC236}">
              <a16:creationId xmlns:a16="http://schemas.microsoft.com/office/drawing/2014/main" id="{00000000-0008-0000-0400-00009B020000}"/>
            </a:ext>
          </a:extLst>
        </xdr:cNvPr>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a:extLst>
            <a:ext uri="{FF2B5EF4-FFF2-40B4-BE49-F238E27FC236}">
              <a16:creationId xmlns:a16="http://schemas.microsoft.com/office/drawing/2014/main" id="{00000000-0008-0000-0400-00009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a:extLst>
            <a:ext uri="{FF2B5EF4-FFF2-40B4-BE49-F238E27FC236}">
              <a16:creationId xmlns:a16="http://schemas.microsoft.com/office/drawing/2014/main" id="{00000000-0008-0000-0400-00009D020000}"/>
            </a:ext>
          </a:extLst>
        </xdr:cNvPr>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a:extLst>
            <a:ext uri="{FF2B5EF4-FFF2-40B4-BE49-F238E27FC236}">
              <a16:creationId xmlns:a16="http://schemas.microsoft.com/office/drawing/2014/main" id="{00000000-0008-0000-0400-00009E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a:extLst>
            <a:ext uri="{FF2B5EF4-FFF2-40B4-BE49-F238E27FC236}">
              <a16:creationId xmlns:a16="http://schemas.microsoft.com/office/drawing/2014/main" id="{00000000-0008-0000-0400-00009F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a:extLst>
            <a:ext uri="{FF2B5EF4-FFF2-40B4-BE49-F238E27FC236}">
              <a16:creationId xmlns:a16="http://schemas.microsoft.com/office/drawing/2014/main" id="{00000000-0008-0000-0400-0000A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a:extLst>
            <a:ext uri="{FF2B5EF4-FFF2-40B4-BE49-F238E27FC236}">
              <a16:creationId xmlns:a16="http://schemas.microsoft.com/office/drawing/2014/main" id="{00000000-0008-0000-0400-0000A1020000}"/>
            </a:ext>
          </a:extLst>
        </xdr:cNvPr>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a:extLst>
            <a:ext uri="{FF2B5EF4-FFF2-40B4-BE49-F238E27FC236}">
              <a16:creationId xmlns:a16="http://schemas.microsoft.com/office/drawing/2014/main" id="{00000000-0008-0000-0400-0000A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a:extLst>
            <a:ext uri="{FF2B5EF4-FFF2-40B4-BE49-F238E27FC236}">
              <a16:creationId xmlns:a16="http://schemas.microsoft.com/office/drawing/2014/main" id="{00000000-0008-0000-0400-0000A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a:extLst>
            <a:ext uri="{FF2B5EF4-FFF2-40B4-BE49-F238E27FC236}">
              <a16:creationId xmlns:a16="http://schemas.microsoft.com/office/drawing/2014/main" id="{00000000-0008-0000-0400-0000A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a:extLst>
            <a:ext uri="{FF2B5EF4-FFF2-40B4-BE49-F238E27FC236}">
              <a16:creationId xmlns:a16="http://schemas.microsoft.com/office/drawing/2014/main" id="{00000000-0008-0000-0400-0000A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a:extLst>
            <a:ext uri="{FF2B5EF4-FFF2-40B4-BE49-F238E27FC236}">
              <a16:creationId xmlns:a16="http://schemas.microsoft.com/office/drawing/2014/main" id="{00000000-0008-0000-0400-0000A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a:extLst>
            <a:ext uri="{FF2B5EF4-FFF2-40B4-BE49-F238E27FC236}">
              <a16:creationId xmlns:a16="http://schemas.microsoft.com/office/drawing/2014/main" id="{00000000-0008-0000-0400-0000A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a:extLst>
            <a:ext uri="{FF2B5EF4-FFF2-40B4-BE49-F238E27FC236}">
              <a16:creationId xmlns:a16="http://schemas.microsoft.com/office/drawing/2014/main" id="{00000000-0008-0000-0400-0000A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a:extLst>
            <a:ext uri="{FF2B5EF4-FFF2-40B4-BE49-F238E27FC236}">
              <a16:creationId xmlns:a16="http://schemas.microsoft.com/office/drawing/2014/main" id="{00000000-0008-0000-0400-0000A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a:extLst>
            <a:ext uri="{FF2B5EF4-FFF2-40B4-BE49-F238E27FC236}">
              <a16:creationId xmlns:a16="http://schemas.microsoft.com/office/drawing/2014/main" id="{00000000-0008-0000-0400-0000A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a:extLst>
            <a:ext uri="{FF2B5EF4-FFF2-40B4-BE49-F238E27FC236}">
              <a16:creationId xmlns:a16="http://schemas.microsoft.com/office/drawing/2014/main" id="{00000000-0008-0000-0400-0000A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a:extLst>
            <a:ext uri="{FF2B5EF4-FFF2-40B4-BE49-F238E27FC236}">
              <a16:creationId xmlns:a16="http://schemas.microsoft.com/office/drawing/2014/main" id="{00000000-0008-0000-0400-0000A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a:extLst>
            <a:ext uri="{FF2B5EF4-FFF2-40B4-BE49-F238E27FC236}">
              <a16:creationId xmlns:a16="http://schemas.microsoft.com/office/drawing/2014/main" id="{00000000-0008-0000-0400-0000A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a:extLst>
            <a:ext uri="{FF2B5EF4-FFF2-40B4-BE49-F238E27FC236}">
              <a16:creationId xmlns:a16="http://schemas.microsoft.com/office/drawing/2014/main" id="{00000000-0008-0000-0400-0000A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a:extLst>
            <a:ext uri="{FF2B5EF4-FFF2-40B4-BE49-F238E27FC236}">
              <a16:creationId xmlns:a16="http://schemas.microsoft.com/office/drawing/2014/main" id="{00000000-0008-0000-0400-0000A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a:extLst>
            <a:ext uri="{FF2B5EF4-FFF2-40B4-BE49-F238E27FC236}">
              <a16:creationId xmlns:a16="http://schemas.microsoft.com/office/drawing/2014/main" id="{00000000-0008-0000-0400-0000B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a:extLst>
            <a:ext uri="{FF2B5EF4-FFF2-40B4-BE49-F238E27FC236}">
              <a16:creationId xmlns:a16="http://schemas.microsoft.com/office/drawing/2014/main" id="{00000000-0008-0000-0400-0000B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a:extLst>
            <a:ext uri="{FF2B5EF4-FFF2-40B4-BE49-F238E27FC236}">
              <a16:creationId xmlns:a16="http://schemas.microsoft.com/office/drawing/2014/main" id="{00000000-0008-0000-0400-0000B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a:extLst>
            <a:ext uri="{FF2B5EF4-FFF2-40B4-BE49-F238E27FC236}">
              <a16:creationId xmlns:a16="http://schemas.microsoft.com/office/drawing/2014/main" id="{00000000-0008-0000-0400-0000B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a:extLst>
            <a:ext uri="{FF2B5EF4-FFF2-40B4-BE49-F238E27FC236}">
              <a16:creationId xmlns:a16="http://schemas.microsoft.com/office/drawing/2014/main" id="{00000000-0008-0000-0400-0000B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a:extLst>
            <a:ext uri="{FF2B5EF4-FFF2-40B4-BE49-F238E27FC236}">
              <a16:creationId xmlns:a16="http://schemas.microsoft.com/office/drawing/2014/main" id="{00000000-0008-0000-0400-0000B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a:extLst>
            <a:ext uri="{FF2B5EF4-FFF2-40B4-BE49-F238E27FC236}">
              <a16:creationId xmlns:a16="http://schemas.microsoft.com/office/drawing/2014/main" id="{00000000-0008-0000-0400-0000B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a:extLst>
            <a:ext uri="{FF2B5EF4-FFF2-40B4-BE49-F238E27FC236}">
              <a16:creationId xmlns:a16="http://schemas.microsoft.com/office/drawing/2014/main" id="{00000000-0008-0000-0400-0000B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a:extLst>
            <a:ext uri="{FF2B5EF4-FFF2-40B4-BE49-F238E27FC236}">
              <a16:creationId xmlns:a16="http://schemas.microsoft.com/office/drawing/2014/main" id="{00000000-0008-0000-0400-0000B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a:extLst>
            <a:ext uri="{FF2B5EF4-FFF2-40B4-BE49-F238E27FC236}">
              <a16:creationId xmlns:a16="http://schemas.microsoft.com/office/drawing/2014/main" id="{00000000-0008-0000-0400-0000B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a:extLst>
            <a:ext uri="{FF2B5EF4-FFF2-40B4-BE49-F238E27FC236}">
              <a16:creationId xmlns:a16="http://schemas.microsoft.com/office/drawing/2014/main" id="{00000000-0008-0000-0400-0000B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a:extLst>
            <a:ext uri="{FF2B5EF4-FFF2-40B4-BE49-F238E27FC236}">
              <a16:creationId xmlns:a16="http://schemas.microsoft.com/office/drawing/2014/main" id="{00000000-0008-0000-0400-0000B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a:extLst>
            <a:ext uri="{FF2B5EF4-FFF2-40B4-BE49-F238E27FC236}">
              <a16:creationId xmlns:a16="http://schemas.microsoft.com/office/drawing/2014/main" id="{00000000-0008-0000-0400-0000B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a:extLst>
            <a:ext uri="{FF2B5EF4-FFF2-40B4-BE49-F238E27FC236}">
              <a16:creationId xmlns:a16="http://schemas.microsoft.com/office/drawing/2014/main" id="{00000000-0008-0000-0400-0000B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a:extLst>
            <a:ext uri="{FF2B5EF4-FFF2-40B4-BE49-F238E27FC236}">
              <a16:creationId xmlns:a16="http://schemas.microsoft.com/office/drawing/2014/main" id="{00000000-0008-0000-0400-0000B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a:extLst>
            <a:ext uri="{FF2B5EF4-FFF2-40B4-BE49-F238E27FC236}">
              <a16:creationId xmlns:a16="http://schemas.microsoft.com/office/drawing/2014/main" id="{00000000-0008-0000-0400-0000B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a:extLst>
            <a:ext uri="{FF2B5EF4-FFF2-40B4-BE49-F238E27FC236}">
              <a16:creationId xmlns:a16="http://schemas.microsoft.com/office/drawing/2014/main" id="{00000000-0008-0000-0400-0000C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a:extLst>
            <a:ext uri="{FF2B5EF4-FFF2-40B4-BE49-F238E27FC236}">
              <a16:creationId xmlns:a16="http://schemas.microsoft.com/office/drawing/2014/main" id="{00000000-0008-0000-0400-0000C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a:extLst>
            <a:ext uri="{FF2B5EF4-FFF2-40B4-BE49-F238E27FC236}">
              <a16:creationId xmlns:a16="http://schemas.microsoft.com/office/drawing/2014/main" id="{00000000-0008-0000-0400-0000C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a:extLst>
            <a:ext uri="{FF2B5EF4-FFF2-40B4-BE49-F238E27FC236}">
              <a16:creationId xmlns:a16="http://schemas.microsoft.com/office/drawing/2014/main" id="{00000000-0008-0000-0400-0000C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a:extLst>
            <a:ext uri="{FF2B5EF4-FFF2-40B4-BE49-F238E27FC236}">
              <a16:creationId xmlns:a16="http://schemas.microsoft.com/office/drawing/2014/main" id="{00000000-0008-0000-0400-0000C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a:extLst>
            <a:ext uri="{FF2B5EF4-FFF2-40B4-BE49-F238E27FC236}">
              <a16:creationId xmlns:a16="http://schemas.microsoft.com/office/drawing/2014/main" id="{00000000-0008-0000-0400-0000C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a:extLst>
            <a:ext uri="{FF2B5EF4-FFF2-40B4-BE49-F238E27FC236}">
              <a16:creationId xmlns:a16="http://schemas.microsoft.com/office/drawing/2014/main" id="{00000000-0008-0000-0400-0000C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a:extLst>
            <a:ext uri="{FF2B5EF4-FFF2-40B4-BE49-F238E27FC236}">
              <a16:creationId xmlns:a16="http://schemas.microsoft.com/office/drawing/2014/main" id="{00000000-0008-0000-0400-0000C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a:extLst>
            <a:ext uri="{FF2B5EF4-FFF2-40B4-BE49-F238E27FC236}">
              <a16:creationId xmlns:a16="http://schemas.microsoft.com/office/drawing/2014/main" id="{00000000-0008-0000-0400-0000C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a:extLst>
            <a:ext uri="{FF2B5EF4-FFF2-40B4-BE49-F238E27FC236}">
              <a16:creationId xmlns:a16="http://schemas.microsoft.com/office/drawing/2014/main" id="{00000000-0008-0000-0400-0000C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a:extLst>
            <a:ext uri="{FF2B5EF4-FFF2-40B4-BE49-F238E27FC236}">
              <a16:creationId xmlns:a16="http://schemas.microsoft.com/office/drawing/2014/main" id="{00000000-0008-0000-0400-0000C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a:extLst>
            <a:ext uri="{FF2B5EF4-FFF2-40B4-BE49-F238E27FC236}">
              <a16:creationId xmlns:a16="http://schemas.microsoft.com/office/drawing/2014/main" id="{00000000-0008-0000-0400-0000C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a:extLst>
            <a:ext uri="{FF2B5EF4-FFF2-40B4-BE49-F238E27FC236}">
              <a16:creationId xmlns:a16="http://schemas.microsoft.com/office/drawing/2014/main" id="{00000000-0008-0000-0400-0000C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a:extLst>
            <a:ext uri="{FF2B5EF4-FFF2-40B4-BE49-F238E27FC236}">
              <a16:creationId xmlns:a16="http://schemas.microsoft.com/office/drawing/2014/main" id="{00000000-0008-0000-0400-0000C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a:extLst>
            <a:ext uri="{FF2B5EF4-FFF2-40B4-BE49-F238E27FC236}">
              <a16:creationId xmlns:a16="http://schemas.microsoft.com/office/drawing/2014/main" id="{00000000-0008-0000-0400-0000C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a:extLst>
            <a:ext uri="{FF2B5EF4-FFF2-40B4-BE49-F238E27FC236}">
              <a16:creationId xmlns:a16="http://schemas.microsoft.com/office/drawing/2014/main" id="{00000000-0008-0000-0400-0000C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a:extLst>
            <a:ext uri="{FF2B5EF4-FFF2-40B4-BE49-F238E27FC236}">
              <a16:creationId xmlns:a16="http://schemas.microsoft.com/office/drawing/2014/main" id="{00000000-0008-0000-0400-0000D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a:extLst>
            <a:ext uri="{FF2B5EF4-FFF2-40B4-BE49-F238E27FC236}">
              <a16:creationId xmlns:a16="http://schemas.microsoft.com/office/drawing/2014/main" id="{00000000-0008-0000-0400-0000D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a:extLst>
            <a:ext uri="{FF2B5EF4-FFF2-40B4-BE49-F238E27FC236}">
              <a16:creationId xmlns:a16="http://schemas.microsoft.com/office/drawing/2014/main" id="{00000000-0008-0000-0400-0000D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a:extLst>
            <a:ext uri="{FF2B5EF4-FFF2-40B4-BE49-F238E27FC236}">
              <a16:creationId xmlns:a16="http://schemas.microsoft.com/office/drawing/2014/main" id="{00000000-0008-0000-0400-0000D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a:extLst>
            <a:ext uri="{FF2B5EF4-FFF2-40B4-BE49-F238E27FC236}">
              <a16:creationId xmlns:a16="http://schemas.microsoft.com/office/drawing/2014/main" id="{00000000-0008-0000-0400-0000D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a:extLst>
            <a:ext uri="{FF2B5EF4-FFF2-40B4-BE49-F238E27FC236}">
              <a16:creationId xmlns:a16="http://schemas.microsoft.com/office/drawing/2014/main" id="{00000000-0008-0000-0400-0000D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a:extLst>
            <a:ext uri="{FF2B5EF4-FFF2-40B4-BE49-F238E27FC236}">
              <a16:creationId xmlns:a16="http://schemas.microsoft.com/office/drawing/2014/main" id="{00000000-0008-0000-0400-0000D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a:extLst>
            <a:ext uri="{FF2B5EF4-FFF2-40B4-BE49-F238E27FC236}">
              <a16:creationId xmlns:a16="http://schemas.microsoft.com/office/drawing/2014/main" id="{00000000-0008-0000-0400-0000D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a:extLst>
            <a:ext uri="{FF2B5EF4-FFF2-40B4-BE49-F238E27FC236}">
              <a16:creationId xmlns:a16="http://schemas.microsoft.com/office/drawing/2014/main" id="{00000000-0008-0000-0400-0000D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a:extLst>
            <a:ext uri="{FF2B5EF4-FFF2-40B4-BE49-F238E27FC236}">
              <a16:creationId xmlns:a16="http://schemas.microsoft.com/office/drawing/2014/main" id="{00000000-0008-0000-0400-0000D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a:extLst>
            <a:ext uri="{FF2B5EF4-FFF2-40B4-BE49-F238E27FC236}">
              <a16:creationId xmlns:a16="http://schemas.microsoft.com/office/drawing/2014/main" id="{00000000-0008-0000-0400-0000D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a:extLst>
            <a:ext uri="{FF2B5EF4-FFF2-40B4-BE49-F238E27FC236}">
              <a16:creationId xmlns:a16="http://schemas.microsoft.com/office/drawing/2014/main" id="{00000000-0008-0000-0400-0000D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a:extLst>
            <a:ext uri="{FF2B5EF4-FFF2-40B4-BE49-F238E27FC236}">
              <a16:creationId xmlns:a16="http://schemas.microsoft.com/office/drawing/2014/main" id="{00000000-0008-0000-0400-0000D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a:extLst>
            <a:ext uri="{FF2B5EF4-FFF2-40B4-BE49-F238E27FC236}">
              <a16:creationId xmlns:a16="http://schemas.microsoft.com/office/drawing/2014/main" id="{00000000-0008-0000-0400-0000D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a:extLst>
            <a:ext uri="{FF2B5EF4-FFF2-40B4-BE49-F238E27FC236}">
              <a16:creationId xmlns:a16="http://schemas.microsoft.com/office/drawing/2014/main" id="{00000000-0008-0000-0400-0000D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a:extLst>
            <a:ext uri="{FF2B5EF4-FFF2-40B4-BE49-F238E27FC236}">
              <a16:creationId xmlns:a16="http://schemas.microsoft.com/office/drawing/2014/main" id="{00000000-0008-0000-0400-0000D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a:extLst>
            <a:ext uri="{FF2B5EF4-FFF2-40B4-BE49-F238E27FC236}">
              <a16:creationId xmlns:a16="http://schemas.microsoft.com/office/drawing/2014/main" id="{00000000-0008-0000-0400-0000E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a:extLst>
            <a:ext uri="{FF2B5EF4-FFF2-40B4-BE49-F238E27FC236}">
              <a16:creationId xmlns:a16="http://schemas.microsoft.com/office/drawing/2014/main" id="{00000000-0008-0000-0400-0000E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a:extLst>
            <a:ext uri="{FF2B5EF4-FFF2-40B4-BE49-F238E27FC236}">
              <a16:creationId xmlns:a16="http://schemas.microsoft.com/office/drawing/2014/main" id="{00000000-0008-0000-0400-0000E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a:extLst>
            <a:ext uri="{FF2B5EF4-FFF2-40B4-BE49-F238E27FC236}">
              <a16:creationId xmlns:a16="http://schemas.microsoft.com/office/drawing/2014/main" id="{00000000-0008-0000-0400-0000E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a:extLst>
            <a:ext uri="{FF2B5EF4-FFF2-40B4-BE49-F238E27FC236}">
              <a16:creationId xmlns:a16="http://schemas.microsoft.com/office/drawing/2014/main" id="{00000000-0008-0000-0400-0000E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a:extLst>
            <a:ext uri="{FF2B5EF4-FFF2-40B4-BE49-F238E27FC236}">
              <a16:creationId xmlns:a16="http://schemas.microsoft.com/office/drawing/2014/main" id="{00000000-0008-0000-0400-0000E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a:extLst>
            <a:ext uri="{FF2B5EF4-FFF2-40B4-BE49-F238E27FC236}">
              <a16:creationId xmlns:a16="http://schemas.microsoft.com/office/drawing/2014/main" id="{00000000-0008-0000-0400-0000E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a:extLst>
            <a:ext uri="{FF2B5EF4-FFF2-40B4-BE49-F238E27FC236}">
              <a16:creationId xmlns:a16="http://schemas.microsoft.com/office/drawing/2014/main" id="{00000000-0008-0000-0400-0000E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a:extLst>
            <a:ext uri="{FF2B5EF4-FFF2-40B4-BE49-F238E27FC236}">
              <a16:creationId xmlns:a16="http://schemas.microsoft.com/office/drawing/2014/main" id="{00000000-0008-0000-0400-0000E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a:extLst>
            <a:ext uri="{FF2B5EF4-FFF2-40B4-BE49-F238E27FC236}">
              <a16:creationId xmlns:a16="http://schemas.microsoft.com/office/drawing/2014/main" id="{00000000-0008-0000-0400-0000E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a:extLst>
            <a:ext uri="{FF2B5EF4-FFF2-40B4-BE49-F238E27FC236}">
              <a16:creationId xmlns:a16="http://schemas.microsoft.com/office/drawing/2014/main" id="{00000000-0008-0000-0400-0000E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a:extLst>
            <a:ext uri="{FF2B5EF4-FFF2-40B4-BE49-F238E27FC236}">
              <a16:creationId xmlns:a16="http://schemas.microsoft.com/office/drawing/2014/main" id="{00000000-0008-0000-0400-0000E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a:extLst>
            <a:ext uri="{FF2B5EF4-FFF2-40B4-BE49-F238E27FC236}">
              <a16:creationId xmlns:a16="http://schemas.microsoft.com/office/drawing/2014/main" id="{00000000-0008-0000-0400-0000E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a:extLst>
            <a:ext uri="{FF2B5EF4-FFF2-40B4-BE49-F238E27FC236}">
              <a16:creationId xmlns:a16="http://schemas.microsoft.com/office/drawing/2014/main" id="{00000000-0008-0000-0400-0000E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a:extLst>
            <a:ext uri="{FF2B5EF4-FFF2-40B4-BE49-F238E27FC236}">
              <a16:creationId xmlns:a16="http://schemas.microsoft.com/office/drawing/2014/main" id="{00000000-0008-0000-0400-0000E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a:extLst>
            <a:ext uri="{FF2B5EF4-FFF2-40B4-BE49-F238E27FC236}">
              <a16:creationId xmlns:a16="http://schemas.microsoft.com/office/drawing/2014/main" id="{00000000-0008-0000-0400-0000E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a:extLst>
            <a:ext uri="{FF2B5EF4-FFF2-40B4-BE49-F238E27FC236}">
              <a16:creationId xmlns:a16="http://schemas.microsoft.com/office/drawing/2014/main" id="{00000000-0008-0000-0400-0000F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a:extLst>
            <a:ext uri="{FF2B5EF4-FFF2-40B4-BE49-F238E27FC236}">
              <a16:creationId xmlns:a16="http://schemas.microsoft.com/office/drawing/2014/main" id="{00000000-0008-0000-0400-0000F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a:extLst>
            <a:ext uri="{FF2B5EF4-FFF2-40B4-BE49-F238E27FC236}">
              <a16:creationId xmlns:a16="http://schemas.microsoft.com/office/drawing/2014/main" id="{00000000-0008-0000-0400-0000F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a:extLst>
            <a:ext uri="{FF2B5EF4-FFF2-40B4-BE49-F238E27FC236}">
              <a16:creationId xmlns:a16="http://schemas.microsoft.com/office/drawing/2014/main" id="{00000000-0008-0000-0400-0000F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a:extLst>
            <a:ext uri="{FF2B5EF4-FFF2-40B4-BE49-F238E27FC236}">
              <a16:creationId xmlns:a16="http://schemas.microsoft.com/office/drawing/2014/main" id="{00000000-0008-0000-0400-0000F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a:extLst>
            <a:ext uri="{FF2B5EF4-FFF2-40B4-BE49-F238E27FC236}">
              <a16:creationId xmlns:a16="http://schemas.microsoft.com/office/drawing/2014/main" id="{00000000-0008-0000-0400-0000F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a:extLst>
            <a:ext uri="{FF2B5EF4-FFF2-40B4-BE49-F238E27FC236}">
              <a16:creationId xmlns:a16="http://schemas.microsoft.com/office/drawing/2014/main" id="{00000000-0008-0000-0400-0000F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a:extLst>
            <a:ext uri="{FF2B5EF4-FFF2-40B4-BE49-F238E27FC236}">
              <a16:creationId xmlns:a16="http://schemas.microsoft.com/office/drawing/2014/main" id="{00000000-0008-0000-0400-0000F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a:extLst>
            <a:ext uri="{FF2B5EF4-FFF2-40B4-BE49-F238E27FC236}">
              <a16:creationId xmlns:a16="http://schemas.microsoft.com/office/drawing/2014/main" id="{00000000-0008-0000-0400-0000F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a:extLst>
            <a:ext uri="{FF2B5EF4-FFF2-40B4-BE49-F238E27FC236}">
              <a16:creationId xmlns:a16="http://schemas.microsoft.com/office/drawing/2014/main" id="{00000000-0008-0000-0400-0000F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a:extLst>
            <a:ext uri="{FF2B5EF4-FFF2-40B4-BE49-F238E27FC236}">
              <a16:creationId xmlns:a16="http://schemas.microsoft.com/office/drawing/2014/main" id="{00000000-0008-0000-0400-0000F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a:extLst>
            <a:ext uri="{FF2B5EF4-FFF2-40B4-BE49-F238E27FC236}">
              <a16:creationId xmlns:a16="http://schemas.microsoft.com/office/drawing/2014/main" id="{00000000-0008-0000-0400-0000F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a:extLst>
            <a:ext uri="{FF2B5EF4-FFF2-40B4-BE49-F238E27FC236}">
              <a16:creationId xmlns:a16="http://schemas.microsoft.com/office/drawing/2014/main" id="{00000000-0008-0000-0400-0000F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a:extLst>
            <a:ext uri="{FF2B5EF4-FFF2-40B4-BE49-F238E27FC236}">
              <a16:creationId xmlns:a16="http://schemas.microsoft.com/office/drawing/2014/main" id="{00000000-0008-0000-0400-0000F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a:extLst>
            <a:ext uri="{FF2B5EF4-FFF2-40B4-BE49-F238E27FC236}">
              <a16:creationId xmlns:a16="http://schemas.microsoft.com/office/drawing/2014/main" id="{00000000-0008-0000-0400-0000F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a:extLst>
            <a:ext uri="{FF2B5EF4-FFF2-40B4-BE49-F238E27FC236}">
              <a16:creationId xmlns:a16="http://schemas.microsoft.com/office/drawing/2014/main" id="{00000000-0008-0000-0400-0000F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a:extLst>
            <a:ext uri="{FF2B5EF4-FFF2-40B4-BE49-F238E27FC236}">
              <a16:creationId xmlns:a16="http://schemas.microsoft.com/office/drawing/2014/main" id="{00000000-0008-0000-0400-00000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a:extLst>
            <a:ext uri="{FF2B5EF4-FFF2-40B4-BE49-F238E27FC236}">
              <a16:creationId xmlns:a16="http://schemas.microsoft.com/office/drawing/2014/main" id="{00000000-0008-0000-0400-00000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a:extLst>
            <a:ext uri="{FF2B5EF4-FFF2-40B4-BE49-F238E27FC236}">
              <a16:creationId xmlns:a16="http://schemas.microsoft.com/office/drawing/2014/main" id="{00000000-0008-0000-0400-00000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a:extLst>
            <a:ext uri="{FF2B5EF4-FFF2-40B4-BE49-F238E27FC236}">
              <a16:creationId xmlns:a16="http://schemas.microsoft.com/office/drawing/2014/main" id="{00000000-0008-0000-0400-00000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a:extLst>
            <a:ext uri="{FF2B5EF4-FFF2-40B4-BE49-F238E27FC236}">
              <a16:creationId xmlns:a16="http://schemas.microsoft.com/office/drawing/2014/main" id="{00000000-0008-0000-0400-00000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a:extLst>
            <a:ext uri="{FF2B5EF4-FFF2-40B4-BE49-F238E27FC236}">
              <a16:creationId xmlns:a16="http://schemas.microsoft.com/office/drawing/2014/main" id="{00000000-0008-0000-0400-00000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a:extLst>
            <a:ext uri="{FF2B5EF4-FFF2-40B4-BE49-F238E27FC236}">
              <a16:creationId xmlns:a16="http://schemas.microsoft.com/office/drawing/2014/main" id="{00000000-0008-0000-0400-00000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a:extLst>
            <a:ext uri="{FF2B5EF4-FFF2-40B4-BE49-F238E27FC236}">
              <a16:creationId xmlns:a16="http://schemas.microsoft.com/office/drawing/2014/main" id="{00000000-0008-0000-0400-00000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a:extLst>
            <a:ext uri="{FF2B5EF4-FFF2-40B4-BE49-F238E27FC236}">
              <a16:creationId xmlns:a16="http://schemas.microsoft.com/office/drawing/2014/main" id="{00000000-0008-0000-0400-00000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a:extLst>
            <a:ext uri="{FF2B5EF4-FFF2-40B4-BE49-F238E27FC236}">
              <a16:creationId xmlns:a16="http://schemas.microsoft.com/office/drawing/2014/main" id="{00000000-0008-0000-0400-00000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a:extLst>
            <a:ext uri="{FF2B5EF4-FFF2-40B4-BE49-F238E27FC236}">
              <a16:creationId xmlns:a16="http://schemas.microsoft.com/office/drawing/2014/main" id="{00000000-0008-0000-0400-00000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a:extLst>
            <a:ext uri="{FF2B5EF4-FFF2-40B4-BE49-F238E27FC236}">
              <a16:creationId xmlns:a16="http://schemas.microsoft.com/office/drawing/2014/main" id="{00000000-0008-0000-0400-00000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a:extLst>
            <a:ext uri="{FF2B5EF4-FFF2-40B4-BE49-F238E27FC236}">
              <a16:creationId xmlns:a16="http://schemas.microsoft.com/office/drawing/2014/main" id="{00000000-0008-0000-0400-00000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a:extLst>
            <a:ext uri="{FF2B5EF4-FFF2-40B4-BE49-F238E27FC236}">
              <a16:creationId xmlns:a16="http://schemas.microsoft.com/office/drawing/2014/main" id="{00000000-0008-0000-0400-00000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a:extLst>
            <a:ext uri="{FF2B5EF4-FFF2-40B4-BE49-F238E27FC236}">
              <a16:creationId xmlns:a16="http://schemas.microsoft.com/office/drawing/2014/main" id="{00000000-0008-0000-0400-00000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a:extLst>
            <a:ext uri="{FF2B5EF4-FFF2-40B4-BE49-F238E27FC236}">
              <a16:creationId xmlns:a16="http://schemas.microsoft.com/office/drawing/2014/main" id="{00000000-0008-0000-0400-00000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a:extLst>
            <a:ext uri="{FF2B5EF4-FFF2-40B4-BE49-F238E27FC236}">
              <a16:creationId xmlns:a16="http://schemas.microsoft.com/office/drawing/2014/main" id="{00000000-0008-0000-0400-00001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a:extLst>
            <a:ext uri="{FF2B5EF4-FFF2-40B4-BE49-F238E27FC236}">
              <a16:creationId xmlns:a16="http://schemas.microsoft.com/office/drawing/2014/main" id="{00000000-0008-0000-0400-00001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a:extLst>
            <a:ext uri="{FF2B5EF4-FFF2-40B4-BE49-F238E27FC236}">
              <a16:creationId xmlns:a16="http://schemas.microsoft.com/office/drawing/2014/main" id="{00000000-0008-0000-0400-00001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a:extLst>
            <a:ext uri="{FF2B5EF4-FFF2-40B4-BE49-F238E27FC236}">
              <a16:creationId xmlns:a16="http://schemas.microsoft.com/office/drawing/2014/main" id="{00000000-0008-0000-0400-00001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a:extLst>
            <a:ext uri="{FF2B5EF4-FFF2-40B4-BE49-F238E27FC236}">
              <a16:creationId xmlns:a16="http://schemas.microsoft.com/office/drawing/2014/main" id="{00000000-0008-0000-0400-00001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a:extLst>
            <a:ext uri="{FF2B5EF4-FFF2-40B4-BE49-F238E27FC236}">
              <a16:creationId xmlns:a16="http://schemas.microsoft.com/office/drawing/2014/main" id="{00000000-0008-0000-0400-00001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a:extLst>
            <a:ext uri="{FF2B5EF4-FFF2-40B4-BE49-F238E27FC236}">
              <a16:creationId xmlns:a16="http://schemas.microsoft.com/office/drawing/2014/main" id="{00000000-0008-0000-0400-00001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a:extLst>
            <a:ext uri="{FF2B5EF4-FFF2-40B4-BE49-F238E27FC236}">
              <a16:creationId xmlns:a16="http://schemas.microsoft.com/office/drawing/2014/main" id="{00000000-0008-0000-0400-00001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a:extLst>
            <a:ext uri="{FF2B5EF4-FFF2-40B4-BE49-F238E27FC236}">
              <a16:creationId xmlns:a16="http://schemas.microsoft.com/office/drawing/2014/main" id="{00000000-0008-0000-0400-00001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a:extLst>
            <a:ext uri="{FF2B5EF4-FFF2-40B4-BE49-F238E27FC236}">
              <a16:creationId xmlns:a16="http://schemas.microsoft.com/office/drawing/2014/main" id="{00000000-0008-0000-0400-00001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a:extLst>
            <a:ext uri="{FF2B5EF4-FFF2-40B4-BE49-F238E27FC236}">
              <a16:creationId xmlns:a16="http://schemas.microsoft.com/office/drawing/2014/main" id="{00000000-0008-0000-0400-00001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a:extLst>
            <a:ext uri="{FF2B5EF4-FFF2-40B4-BE49-F238E27FC236}">
              <a16:creationId xmlns:a16="http://schemas.microsoft.com/office/drawing/2014/main" id="{00000000-0008-0000-0400-00001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a:extLst>
            <a:ext uri="{FF2B5EF4-FFF2-40B4-BE49-F238E27FC236}">
              <a16:creationId xmlns:a16="http://schemas.microsoft.com/office/drawing/2014/main" id="{00000000-0008-0000-0400-00001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a:extLst>
            <a:ext uri="{FF2B5EF4-FFF2-40B4-BE49-F238E27FC236}">
              <a16:creationId xmlns:a16="http://schemas.microsoft.com/office/drawing/2014/main" id="{00000000-0008-0000-0400-00001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a:extLst>
            <a:ext uri="{FF2B5EF4-FFF2-40B4-BE49-F238E27FC236}">
              <a16:creationId xmlns:a16="http://schemas.microsoft.com/office/drawing/2014/main" id="{00000000-0008-0000-0400-00001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a:extLst>
            <a:ext uri="{FF2B5EF4-FFF2-40B4-BE49-F238E27FC236}">
              <a16:creationId xmlns:a16="http://schemas.microsoft.com/office/drawing/2014/main" id="{00000000-0008-0000-0400-00001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a:extLst>
            <a:ext uri="{FF2B5EF4-FFF2-40B4-BE49-F238E27FC236}">
              <a16:creationId xmlns:a16="http://schemas.microsoft.com/office/drawing/2014/main" id="{00000000-0008-0000-0400-00002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a:extLst>
            <a:ext uri="{FF2B5EF4-FFF2-40B4-BE49-F238E27FC236}">
              <a16:creationId xmlns:a16="http://schemas.microsoft.com/office/drawing/2014/main" id="{00000000-0008-0000-0400-00002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a:extLst>
            <a:ext uri="{FF2B5EF4-FFF2-40B4-BE49-F238E27FC236}">
              <a16:creationId xmlns:a16="http://schemas.microsoft.com/office/drawing/2014/main" id="{00000000-0008-0000-0400-00002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a:extLst>
            <a:ext uri="{FF2B5EF4-FFF2-40B4-BE49-F238E27FC236}">
              <a16:creationId xmlns:a16="http://schemas.microsoft.com/office/drawing/2014/main" id="{00000000-0008-0000-0400-00002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a:extLst>
            <a:ext uri="{FF2B5EF4-FFF2-40B4-BE49-F238E27FC236}">
              <a16:creationId xmlns:a16="http://schemas.microsoft.com/office/drawing/2014/main" id="{00000000-0008-0000-0400-00002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a:extLst>
            <a:ext uri="{FF2B5EF4-FFF2-40B4-BE49-F238E27FC236}">
              <a16:creationId xmlns:a16="http://schemas.microsoft.com/office/drawing/2014/main" id="{00000000-0008-0000-0400-00002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a:extLst>
            <a:ext uri="{FF2B5EF4-FFF2-40B4-BE49-F238E27FC236}">
              <a16:creationId xmlns:a16="http://schemas.microsoft.com/office/drawing/2014/main" id="{00000000-0008-0000-0400-00002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a:extLst>
            <a:ext uri="{FF2B5EF4-FFF2-40B4-BE49-F238E27FC236}">
              <a16:creationId xmlns:a16="http://schemas.microsoft.com/office/drawing/2014/main" id="{00000000-0008-0000-0400-00002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a:extLst>
            <a:ext uri="{FF2B5EF4-FFF2-40B4-BE49-F238E27FC236}">
              <a16:creationId xmlns:a16="http://schemas.microsoft.com/office/drawing/2014/main" id="{00000000-0008-0000-0400-00002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a:extLst>
            <a:ext uri="{FF2B5EF4-FFF2-40B4-BE49-F238E27FC236}">
              <a16:creationId xmlns:a16="http://schemas.microsoft.com/office/drawing/2014/main" id="{00000000-0008-0000-0400-00002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a:extLst>
            <a:ext uri="{FF2B5EF4-FFF2-40B4-BE49-F238E27FC236}">
              <a16:creationId xmlns:a16="http://schemas.microsoft.com/office/drawing/2014/main" id="{00000000-0008-0000-0400-00002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a:extLst>
            <a:ext uri="{FF2B5EF4-FFF2-40B4-BE49-F238E27FC236}">
              <a16:creationId xmlns:a16="http://schemas.microsoft.com/office/drawing/2014/main" id="{00000000-0008-0000-0400-00002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a:extLst>
            <a:ext uri="{FF2B5EF4-FFF2-40B4-BE49-F238E27FC236}">
              <a16:creationId xmlns:a16="http://schemas.microsoft.com/office/drawing/2014/main" id="{00000000-0008-0000-0400-00002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a:extLst>
            <a:ext uri="{FF2B5EF4-FFF2-40B4-BE49-F238E27FC236}">
              <a16:creationId xmlns:a16="http://schemas.microsoft.com/office/drawing/2014/main" id="{00000000-0008-0000-0400-00002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a:extLst>
            <a:ext uri="{FF2B5EF4-FFF2-40B4-BE49-F238E27FC236}">
              <a16:creationId xmlns:a16="http://schemas.microsoft.com/office/drawing/2014/main" id="{00000000-0008-0000-0400-00002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a:extLst>
            <a:ext uri="{FF2B5EF4-FFF2-40B4-BE49-F238E27FC236}">
              <a16:creationId xmlns:a16="http://schemas.microsoft.com/office/drawing/2014/main" id="{00000000-0008-0000-0400-00002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a:extLst>
            <a:ext uri="{FF2B5EF4-FFF2-40B4-BE49-F238E27FC236}">
              <a16:creationId xmlns:a16="http://schemas.microsoft.com/office/drawing/2014/main" id="{00000000-0008-0000-0400-00003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a:extLst>
            <a:ext uri="{FF2B5EF4-FFF2-40B4-BE49-F238E27FC236}">
              <a16:creationId xmlns:a16="http://schemas.microsoft.com/office/drawing/2014/main" id="{00000000-0008-0000-0400-00003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a:extLst>
            <a:ext uri="{FF2B5EF4-FFF2-40B4-BE49-F238E27FC236}">
              <a16:creationId xmlns:a16="http://schemas.microsoft.com/office/drawing/2014/main" id="{00000000-0008-0000-0400-00003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a:extLst>
            <a:ext uri="{FF2B5EF4-FFF2-40B4-BE49-F238E27FC236}">
              <a16:creationId xmlns:a16="http://schemas.microsoft.com/office/drawing/2014/main" id="{00000000-0008-0000-0400-00003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a:extLst>
            <a:ext uri="{FF2B5EF4-FFF2-40B4-BE49-F238E27FC236}">
              <a16:creationId xmlns:a16="http://schemas.microsoft.com/office/drawing/2014/main" id="{00000000-0008-0000-0400-00003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a:extLst>
            <a:ext uri="{FF2B5EF4-FFF2-40B4-BE49-F238E27FC236}">
              <a16:creationId xmlns:a16="http://schemas.microsoft.com/office/drawing/2014/main" id="{00000000-0008-0000-0400-00003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a:extLst>
            <a:ext uri="{FF2B5EF4-FFF2-40B4-BE49-F238E27FC236}">
              <a16:creationId xmlns:a16="http://schemas.microsoft.com/office/drawing/2014/main" id="{00000000-0008-0000-0400-00003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a:extLst>
            <a:ext uri="{FF2B5EF4-FFF2-40B4-BE49-F238E27FC236}">
              <a16:creationId xmlns:a16="http://schemas.microsoft.com/office/drawing/2014/main" id="{00000000-0008-0000-0400-00003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a:extLst>
            <a:ext uri="{FF2B5EF4-FFF2-40B4-BE49-F238E27FC236}">
              <a16:creationId xmlns:a16="http://schemas.microsoft.com/office/drawing/2014/main" id="{00000000-0008-0000-0400-00003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a:extLst>
            <a:ext uri="{FF2B5EF4-FFF2-40B4-BE49-F238E27FC236}">
              <a16:creationId xmlns:a16="http://schemas.microsoft.com/office/drawing/2014/main" id="{00000000-0008-0000-0400-00003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a:extLst>
            <a:ext uri="{FF2B5EF4-FFF2-40B4-BE49-F238E27FC236}">
              <a16:creationId xmlns:a16="http://schemas.microsoft.com/office/drawing/2014/main" id="{00000000-0008-0000-0400-00003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a:extLst>
            <a:ext uri="{FF2B5EF4-FFF2-40B4-BE49-F238E27FC236}">
              <a16:creationId xmlns:a16="http://schemas.microsoft.com/office/drawing/2014/main" id="{00000000-0008-0000-0400-00003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a:extLst>
            <a:ext uri="{FF2B5EF4-FFF2-40B4-BE49-F238E27FC236}">
              <a16:creationId xmlns:a16="http://schemas.microsoft.com/office/drawing/2014/main" id="{00000000-0008-0000-0400-00003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a:extLst>
            <a:ext uri="{FF2B5EF4-FFF2-40B4-BE49-F238E27FC236}">
              <a16:creationId xmlns:a16="http://schemas.microsoft.com/office/drawing/2014/main" id="{00000000-0008-0000-0400-00003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a:extLst>
            <a:ext uri="{FF2B5EF4-FFF2-40B4-BE49-F238E27FC236}">
              <a16:creationId xmlns:a16="http://schemas.microsoft.com/office/drawing/2014/main" id="{00000000-0008-0000-0400-00003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a:extLst>
            <a:ext uri="{FF2B5EF4-FFF2-40B4-BE49-F238E27FC236}">
              <a16:creationId xmlns:a16="http://schemas.microsoft.com/office/drawing/2014/main" id="{00000000-0008-0000-0400-00003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a:extLst>
            <a:ext uri="{FF2B5EF4-FFF2-40B4-BE49-F238E27FC236}">
              <a16:creationId xmlns:a16="http://schemas.microsoft.com/office/drawing/2014/main" id="{00000000-0008-0000-0400-00004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a:extLst>
            <a:ext uri="{FF2B5EF4-FFF2-40B4-BE49-F238E27FC236}">
              <a16:creationId xmlns:a16="http://schemas.microsoft.com/office/drawing/2014/main" id="{00000000-0008-0000-0400-00004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a:extLst>
            <a:ext uri="{FF2B5EF4-FFF2-40B4-BE49-F238E27FC236}">
              <a16:creationId xmlns:a16="http://schemas.microsoft.com/office/drawing/2014/main" id="{00000000-0008-0000-0400-00004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a:extLst>
            <a:ext uri="{FF2B5EF4-FFF2-40B4-BE49-F238E27FC236}">
              <a16:creationId xmlns:a16="http://schemas.microsoft.com/office/drawing/2014/main" id="{00000000-0008-0000-0400-00004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a:extLst>
            <a:ext uri="{FF2B5EF4-FFF2-40B4-BE49-F238E27FC236}">
              <a16:creationId xmlns:a16="http://schemas.microsoft.com/office/drawing/2014/main" id="{00000000-0008-0000-0400-00004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a:extLst>
            <a:ext uri="{FF2B5EF4-FFF2-40B4-BE49-F238E27FC236}">
              <a16:creationId xmlns:a16="http://schemas.microsoft.com/office/drawing/2014/main" id="{00000000-0008-0000-0400-00004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a:extLst>
            <a:ext uri="{FF2B5EF4-FFF2-40B4-BE49-F238E27FC236}">
              <a16:creationId xmlns:a16="http://schemas.microsoft.com/office/drawing/2014/main" id="{00000000-0008-0000-0400-00004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a:extLst>
            <a:ext uri="{FF2B5EF4-FFF2-40B4-BE49-F238E27FC236}">
              <a16:creationId xmlns:a16="http://schemas.microsoft.com/office/drawing/2014/main" id="{00000000-0008-0000-0400-00004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a:extLst>
            <a:ext uri="{FF2B5EF4-FFF2-40B4-BE49-F238E27FC236}">
              <a16:creationId xmlns:a16="http://schemas.microsoft.com/office/drawing/2014/main" id="{00000000-0008-0000-0400-00004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a:extLst>
            <a:ext uri="{FF2B5EF4-FFF2-40B4-BE49-F238E27FC236}">
              <a16:creationId xmlns:a16="http://schemas.microsoft.com/office/drawing/2014/main" id="{00000000-0008-0000-0400-00004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a:extLst>
            <a:ext uri="{FF2B5EF4-FFF2-40B4-BE49-F238E27FC236}">
              <a16:creationId xmlns:a16="http://schemas.microsoft.com/office/drawing/2014/main" id="{00000000-0008-0000-0400-00004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a:extLst>
            <a:ext uri="{FF2B5EF4-FFF2-40B4-BE49-F238E27FC236}">
              <a16:creationId xmlns:a16="http://schemas.microsoft.com/office/drawing/2014/main" id="{00000000-0008-0000-0400-00004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a:extLst>
            <a:ext uri="{FF2B5EF4-FFF2-40B4-BE49-F238E27FC236}">
              <a16:creationId xmlns:a16="http://schemas.microsoft.com/office/drawing/2014/main" id="{00000000-0008-0000-0400-00004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a:extLst>
            <a:ext uri="{FF2B5EF4-FFF2-40B4-BE49-F238E27FC236}">
              <a16:creationId xmlns:a16="http://schemas.microsoft.com/office/drawing/2014/main" id="{00000000-0008-0000-0400-00004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a:extLst>
            <a:ext uri="{FF2B5EF4-FFF2-40B4-BE49-F238E27FC236}">
              <a16:creationId xmlns:a16="http://schemas.microsoft.com/office/drawing/2014/main" id="{00000000-0008-0000-0400-00004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a:extLst>
            <a:ext uri="{FF2B5EF4-FFF2-40B4-BE49-F238E27FC236}">
              <a16:creationId xmlns:a16="http://schemas.microsoft.com/office/drawing/2014/main" id="{00000000-0008-0000-0400-00004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a:extLst>
            <a:ext uri="{FF2B5EF4-FFF2-40B4-BE49-F238E27FC236}">
              <a16:creationId xmlns:a16="http://schemas.microsoft.com/office/drawing/2014/main" id="{00000000-0008-0000-0400-00005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a:extLst>
            <a:ext uri="{FF2B5EF4-FFF2-40B4-BE49-F238E27FC236}">
              <a16:creationId xmlns:a16="http://schemas.microsoft.com/office/drawing/2014/main" id="{00000000-0008-0000-0400-00005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a:extLst>
            <a:ext uri="{FF2B5EF4-FFF2-40B4-BE49-F238E27FC236}">
              <a16:creationId xmlns:a16="http://schemas.microsoft.com/office/drawing/2014/main" id="{00000000-0008-0000-0400-00005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a:extLst>
            <a:ext uri="{FF2B5EF4-FFF2-40B4-BE49-F238E27FC236}">
              <a16:creationId xmlns:a16="http://schemas.microsoft.com/office/drawing/2014/main" id="{00000000-0008-0000-0400-00005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a:extLst>
            <a:ext uri="{FF2B5EF4-FFF2-40B4-BE49-F238E27FC236}">
              <a16:creationId xmlns:a16="http://schemas.microsoft.com/office/drawing/2014/main" id="{00000000-0008-0000-0400-00005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a:extLst>
            <a:ext uri="{FF2B5EF4-FFF2-40B4-BE49-F238E27FC236}">
              <a16:creationId xmlns:a16="http://schemas.microsoft.com/office/drawing/2014/main" id="{00000000-0008-0000-0400-00005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a:extLst>
            <a:ext uri="{FF2B5EF4-FFF2-40B4-BE49-F238E27FC236}">
              <a16:creationId xmlns:a16="http://schemas.microsoft.com/office/drawing/2014/main" id="{00000000-0008-0000-0400-00005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a:extLst>
            <a:ext uri="{FF2B5EF4-FFF2-40B4-BE49-F238E27FC236}">
              <a16:creationId xmlns:a16="http://schemas.microsoft.com/office/drawing/2014/main" id="{00000000-0008-0000-0400-00005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a:extLst>
            <a:ext uri="{FF2B5EF4-FFF2-40B4-BE49-F238E27FC236}">
              <a16:creationId xmlns:a16="http://schemas.microsoft.com/office/drawing/2014/main" id="{00000000-0008-0000-0400-00005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a:extLst>
            <a:ext uri="{FF2B5EF4-FFF2-40B4-BE49-F238E27FC236}">
              <a16:creationId xmlns:a16="http://schemas.microsoft.com/office/drawing/2014/main" id="{00000000-0008-0000-0400-00005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a:extLst>
            <a:ext uri="{FF2B5EF4-FFF2-40B4-BE49-F238E27FC236}">
              <a16:creationId xmlns:a16="http://schemas.microsoft.com/office/drawing/2014/main" id="{00000000-0008-0000-0400-00005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a:extLst>
            <a:ext uri="{FF2B5EF4-FFF2-40B4-BE49-F238E27FC236}">
              <a16:creationId xmlns:a16="http://schemas.microsoft.com/office/drawing/2014/main" id="{00000000-0008-0000-0400-00005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a:extLst>
            <a:ext uri="{FF2B5EF4-FFF2-40B4-BE49-F238E27FC236}">
              <a16:creationId xmlns:a16="http://schemas.microsoft.com/office/drawing/2014/main" id="{00000000-0008-0000-0400-00005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a:extLst>
            <a:ext uri="{FF2B5EF4-FFF2-40B4-BE49-F238E27FC236}">
              <a16:creationId xmlns:a16="http://schemas.microsoft.com/office/drawing/2014/main" id="{00000000-0008-0000-0400-00005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a:extLst>
            <a:ext uri="{FF2B5EF4-FFF2-40B4-BE49-F238E27FC236}">
              <a16:creationId xmlns:a16="http://schemas.microsoft.com/office/drawing/2014/main" id="{00000000-0008-0000-0400-00005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a:extLst>
            <a:ext uri="{FF2B5EF4-FFF2-40B4-BE49-F238E27FC236}">
              <a16:creationId xmlns:a16="http://schemas.microsoft.com/office/drawing/2014/main" id="{00000000-0008-0000-0400-00005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a:extLst>
            <a:ext uri="{FF2B5EF4-FFF2-40B4-BE49-F238E27FC236}">
              <a16:creationId xmlns:a16="http://schemas.microsoft.com/office/drawing/2014/main" id="{00000000-0008-0000-0400-00006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a:extLst>
            <a:ext uri="{FF2B5EF4-FFF2-40B4-BE49-F238E27FC236}">
              <a16:creationId xmlns:a16="http://schemas.microsoft.com/office/drawing/2014/main" id="{00000000-0008-0000-0400-00006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a:extLst>
            <a:ext uri="{FF2B5EF4-FFF2-40B4-BE49-F238E27FC236}">
              <a16:creationId xmlns:a16="http://schemas.microsoft.com/office/drawing/2014/main" id="{00000000-0008-0000-0400-00006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a:extLst>
            <a:ext uri="{FF2B5EF4-FFF2-40B4-BE49-F238E27FC236}">
              <a16:creationId xmlns:a16="http://schemas.microsoft.com/office/drawing/2014/main" id="{00000000-0008-0000-0400-00006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a:extLst>
            <a:ext uri="{FF2B5EF4-FFF2-40B4-BE49-F238E27FC236}">
              <a16:creationId xmlns:a16="http://schemas.microsoft.com/office/drawing/2014/main" id="{00000000-0008-0000-0400-00006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a:extLst>
            <a:ext uri="{FF2B5EF4-FFF2-40B4-BE49-F238E27FC236}">
              <a16:creationId xmlns:a16="http://schemas.microsoft.com/office/drawing/2014/main" id="{00000000-0008-0000-0400-00006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a:extLst>
            <a:ext uri="{FF2B5EF4-FFF2-40B4-BE49-F238E27FC236}">
              <a16:creationId xmlns:a16="http://schemas.microsoft.com/office/drawing/2014/main" id="{00000000-0008-0000-0400-00006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a:extLst>
            <a:ext uri="{FF2B5EF4-FFF2-40B4-BE49-F238E27FC236}">
              <a16:creationId xmlns:a16="http://schemas.microsoft.com/office/drawing/2014/main" id="{00000000-0008-0000-0400-00006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a:extLst>
            <a:ext uri="{FF2B5EF4-FFF2-40B4-BE49-F238E27FC236}">
              <a16:creationId xmlns:a16="http://schemas.microsoft.com/office/drawing/2014/main" id="{00000000-0008-0000-0400-00006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a:extLst>
            <a:ext uri="{FF2B5EF4-FFF2-40B4-BE49-F238E27FC236}">
              <a16:creationId xmlns:a16="http://schemas.microsoft.com/office/drawing/2014/main" id="{00000000-0008-0000-0400-00006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a:extLst>
            <a:ext uri="{FF2B5EF4-FFF2-40B4-BE49-F238E27FC236}">
              <a16:creationId xmlns:a16="http://schemas.microsoft.com/office/drawing/2014/main" id="{00000000-0008-0000-0400-00006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a:extLst>
            <a:ext uri="{FF2B5EF4-FFF2-40B4-BE49-F238E27FC236}">
              <a16:creationId xmlns:a16="http://schemas.microsoft.com/office/drawing/2014/main" id="{00000000-0008-0000-0400-00006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a:extLst>
            <a:ext uri="{FF2B5EF4-FFF2-40B4-BE49-F238E27FC236}">
              <a16:creationId xmlns:a16="http://schemas.microsoft.com/office/drawing/2014/main" id="{00000000-0008-0000-0400-00006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a:extLst>
            <a:ext uri="{FF2B5EF4-FFF2-40B4-BE49-F238E27FC236}">
              <a16:creationId xmlns:a16="http://schemas.microsoft.com/office/drawing/2014/main" id="{00000000-0008-0000-0400-00006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a:extLst>
            <a:ext uri="{FF2B5EF4-FFF2-40B4-BE49-F238E27FC236}">
              <a16:creationId xmlns:a16="http://schemas.microsoft.com/office/drawing/2014/main" id="{00000000-0008-0000-0400-00006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a:extLst>
            <a:ext uri="{FF2B5EF4-FFF2-40B4-BE49-F238E27FC236}">
              <a16:creationId xmlns:a16="http://schemas.microsoft.com/office/drawing/2014/main" id="{00000000-0008-0000-0400-00006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a:extLst>
            <a:ext uri="{FF2B5EF4-FFF2-40B4-BE49-F238E27FC236}">
              <a16:creationId xmlns:a16="http://schemas.microsoft.com/office/drawing/2014/main" id="{00000000-0008-0000-0400-00007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a:extLst>
            <a:ext uri="{FF2B5EF4-FFF2-40B4-BE49-F238E27FC236}">
              <a16:creationId xmlns:a16="http://schemas.microsoft.com/office/drawing/2014/main" id="{00000000-0008-0000-0400-00007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a:extLst>
            <a:ext uri="{FF2B5EF4-FFF2-40B4-BE49-F238E27FC236}">
              <a16:creationId xmlns:a16="http://schemas.microsoft.com/office/drawing/2014/main" id="{00000000-0008-0000-0400-00007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a:extLst>
            <a:ext uri="{FF2B5EF4-FFF2-40B4-BE49-F238E27FC236}">
              <a16:creationId xmlns:a16="http://schemas.microsoft.com/office/drawing/2014/main" id="{00000000-0008-0000-0400-00007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a:extLst>
            <a:ext uri="{FF2B5EF4-FFF2-40B4-BE49-F238E27FC236}">
              <a16:creationId xmlns:a16="http://schemas.microsoft.com/office/drawing/2014/main" id="{00000000-0008-0000-0400-00007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a:extLst>
            <a:ext uri="{FF2B5EF4-FFF2-40B4-BE49-F238E27FC236}">
              <a16:creationId xmlns:a16="http://schemas.microsoft.com/office/drawing/2014/main" id="{00000000-0008-0000-0400-00007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a:extLst>
            <a:ext uri="{FF2B5EF4-FFF2-40B4-BE49-F238E27FC236}">
              <a16:creationId xmlns:a16="http://schemas.microsoft.com/office/drawing/2014/main" id="{00000000-0008-0000-0400-00007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a:extLst>
            <a:ext uri="{FF2B5EF4-FFF2-40B4-BE49-F238E27FC236}">
              <a16:creationId xmlns:a16="http://schemas.microsoft.com/office/drawing/2014/main" id="{00000000-0008-0000-0400-00007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a:extLst>
            <a:ext uri="{FF2B5EF4-FFF2-40B4-BE49-F238E27FC236}">
              <a16:creationId xmlns:a16="http://schemas.microsoft.com/office/drawing/2014/main" id="{00000000-0008-0000-0400-00007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a:extLst>
            <a:ext uri="{FF2B5EF4-FFF2-40B4-BE49-F238E27FC236}">
              <a16:creationId xmlns:a16="http://schemas.microsoft.com/office/drawing/2014/main" id="{00000000-0008-0000-0400-00007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a:extLst>
            <a:ext uri="{FF2B5EF4-FFF2-40B4-BE49-F238E27FC236}">
              <a16:creationId xmlns:a16="http://schemas.microsoft.com/office/drawing/2014/main" id="{00000000-0008-0000-0400-00007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a:extLst>
            <a:ext uri="{FF2B5EF4-FFF2-40B4-BE49-F238E27FC236}">
              <a16:creationId xmlns:a16="http://schemas.microsoft.com/office/drawing/2014/main" id="{00000000-0008-0000-0400-00007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a:extLst>
            <a:ext uri="{FF2B5EF4-FFF2-40B4-BE49-F238E27FC236}">
              <a16:creationId xmlns:a16="http://schemas.microsoft.com/office/drawing/2014/main" id="{00000000-0008-0000-0400-00007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a:extLst>
            <a:ext uri="{FF2B5EF4-FFF2-40B4-BE49-F238E27FC236}">
              <a16:creationId xmlns:a16="http://schemas.microsoft.com/office/drawing/2014/main" id="{00000000-0008-0000-0400-00007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a:extLst>
            <a:ext uri="{FF2B5EF4-FFF2-40B4-BE49-F238E27FC236}">
              <a16:creationId xmlns:a16="http://schemas.microsoft.com/office/drawing/2014/main" id="{00000000-0008-0000-0400-00007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a:extLst>
            <a:ext uri="{FF2B5EF4-FFF2-40B4-BE49-F238E27FC236}">
              <a16:creationId xmlns:a16="http://schemas.microsoft.com/office/drawing/2014/main" id="{00000000-0008-0000-0400-00007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a:extLst>
            <a:ext uri="{FF2B5EF4-FFF2-40B4-BE49-F238E27FC236}">
              <a16:creationId xmlns:a16="http://schemas.microsoft.com/office/drawing/2014/main" id="{00000000-0008-0000-0400-00008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a:extLst>
            <a:ext uri="{FF2B5EF4-FFF2-40B4-BE49-F238E27FC236}">
              <a16:creationId xmlns:a16="http://schemas.microsoft.com/office/drawing/2014/main" id="{00000000-0008-0000-0400-00008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a:extLst>
            <a:ext uri="{FF2B5EF4-FFF2-40B4-BE49-F238E27FC236}">
              <a16:creationId xmlns:a16="http://schemas.microsoft.com/office/drawing/2014/main" id="{00000000-0008-0000-0400-00008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a:extLst>
            <a:ext uri="{FF2B5EF4-FFF2-40B4-BE49-F238E27FC236}">
              <a16:creationId xmlns:a16="http://schemas.microsoft.com/office/drawing/2014/main" id="{00000000-0008-0000-0400-00008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a:extLst>
            <a:ext uri="{FF2B5EF4-FFF2-40B4-BE49-F238E27FC236}">
              <a16:creationId xmlns:a16="http://schemas.microsoft.com/office/drawing/2014/main" id="{00000000-0008-0000-0400-00008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a:extLst>
            <a:ext uri="{FF2B5EF4-FFF2-40B4-BE49-F238E27FC236}">
              <a16:creationId xmlns:a16="http://schemas.microsoft.com/office/drawing/2014/main" id="{00000000-0008-0000-0400-00008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a:extLst>
            <a:ext uri="{FF2B5EF4-FFF2-40B4-BE49-F238E27FC236}">
              <a16:creationId xmlns:a16="http://schemas.microsoft.com/office/drawing/2014/main" id="{00000000-0008-0000-0400-00008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a:extLst>
            <a:ext uri="{FF2B5EF4-FFF2-40B4-BE49-F238E27FC236}">
              <a16:creationId xmlns:a16="http://schemas.microsoft.com/office/drawing/2014/main" id="{00000000-0008-0000-0400-00008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a:extLst>
            <a:ext uri="{FF2B5EF4-FFF2-40B4-BE49-F238E27FC236}">
              <a16:creationId xmlns:a16="http://schemas.microsoft.com/office/drawing/2014/main" id="{00000000-0008-0000-0400-00008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a:extLst>
            <a:ext uri="{FF2B5EF4-FFF2-40B4-BE49-F238E27FC236}">
              <a16:creationId xmlns:a16="http://schemas.microsoft.com/office/drawing/2014/main" id="{00000000-0008-0000-0400-00008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a:extLst>
            <a:ext uri="{FF2B5EF4-FFF2-40B4-BE49-F238E27FC236}">
              <a16:creationId xmlns:a16="http://schemas.microsoft.com/office/drawing/2014/main" id="{00000000-0008-0000-0400-00008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a:extLst>
            <a:ext uri="{FF2B5EF4-FFF2-40B4-BE49-F238E27FC236}">
              <a16:creationId xmlns:a16="http://schemas.microsoft.com/office/drawing/2014/main" id="{00000000-0008-0000-0400-00008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a:extLst>
            <a:ext uri="{FF2B5EF4-FFF2-40B4-BE49-F238E27FC236}">
              <a16:creationId xmlns:a16="http://schemas.microsoft.com/office/drawing/2014/main" id="{00000000-0008-0000-0400-00008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a:extLst>
            <a:ext uri="{FF2B5EF4-FFF2-40B4-BE49-F238E27FC236}">
              <a16:creationId xmlns:a16="http://schemas.microsoft.com/office/drawing/2014/main" id="{00000000-0008-0000-0400-00008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a:extLst>
            <a:ext uri="{FF2B5EF4-FFF2-40B4-BE49-F238E27FC236}">
              <a16:creationId xmlns:a16="http://schemas.microsoft.com/office/drawing/2014/main" id="{00000000-0008-0000-0400-00008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a:extLst>
            <a:ext uri="{FF2B5EF4-FFF2-40B4-BE49-F238E27FC236}">
              <a16:creationId xmlns:a16="http://schemas.microsoft.com/office/drawing/2014/main" id="{00000000-0008-0000-0400-00008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a:extLst>
            <a:ext uri="{FF2B5EF4-FFF2-40B4-BE49-F238E27FC236}">
              <a16:creationId xmlns:a16="http://schemas.microsoft.com/office/drawing/2014/main" id="{00000000-0008-0000-0400-00009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a:extLst>
            <a:ext uri="{FF2B5EF4-FFF2-40B4-BE49-F238E27FC236}">
              <a16:creationId xmlns:a16="http://schemas.microsoft.com/office/drawing/2014/main" id="{00000000-0008-0000-0400-00009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a:extLst>
            <a:ext uri="{FF2B5EF4-FFF2-40B4-BE49-F238E27FC236}">
              <a16:creationId xmlns:a16="http://schemas.microsoft.com/office/drawing/2014/main" id="{00000000-0008-0000-0400-00009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a:extLst>
            <a:ext uri="{FF2B5EF4-FFF2-40B4-BE49-F238E27FC236}">
              <a16:creationId xmlns:a16="http://schemas.microsoft.com/office/drawing/2014/main" id="{00000000-0008-0000-0400-00009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a:extLst>
            <a:ext uri="{FF2B5EF4-FFF2-40B4-BE49-F238E27FC236}">
              <a16:creationId xmlns:a16="http://schemas.microsoft.com/office/drawing/2014/main" id="{00000000-0008-0000-0400-00009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a:extLst>
            <a:ext uri="{FF2B5EF4-FFF2-40B4-BE49-F238E27FC236}">
              <a16:creationId xmlns:a16="http://schemas.microsoft.com/office/drawing/2014/main" id="{00000000-0008-0000-0400-00009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a:extLst>
            <a:ext uri="{FF2B5EF4-FFF2-40B4-BE49-F238E27FC236}">
              <a16:creationId xmlns:a16="http://schemas.microsoft.com/office/drawing/2014/main" id="{00000000-0008-0000-0400-00009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a:extLst>
            <a:ext uri="{FF2B5EF4-FFF2-40B4-BE49-F238E27FC236}">
              <a16:creationId xmlns:a16="http://schemas.microsoft.com/office/drawing/2014/main" id="{00000000-0008-0000-0400-00009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a:extLst>
            <a:ext uri="{FF2B5EF4-FFF2-40B4-BE49-F238E27FC236}">
              <a16:creationId xmlns:a16="http://schemas.microsoft.com/office/drawing/2014/main" id="{00000000-0008-0000-0400-00009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a:extLst>
            <a:ext uri="{FF2B5EF4-FFF2-40B4-BE49-F238E27FC236}">
              <a16:creationId xmlns:a16="http://schemas.microsoft.com/office/drawing/2014/main" id="{00000000-0008-0000-0400-00009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a:extLst>
            <a:ext uri="{FF2B5EF4-FFF2-40B4-BE49-F238E27FC236}">
              <a16:creationId xmlns:a16="http://schemas.microsoft.com/office/drawing/2014/main" id="{00000000-0008-0000-0400-00009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a:extLst>
            <a:ext uri="{FF2B5EF4-FFF2-40B4-BE49-F238E27FC236}">
              <a16:creationId xmlns:a16="http://schemas.microsoft.com/office/drawing/2014/main" id="{00000000-0008-0000-0400-00009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a:extLst>
            <a:ext uri="{FF2B5EF4-FFF2-40B4-BE49-F238E27FC236}">
              <a16:creationId xmlns:a16="http://schemas.microsoft.com/office/drawing/2014/main" id="{00000000-0008-0000-0400-00009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a:extLst>
            <a:ext uri="{FF2B5EF4-FFF2-40B4-BE49-F238E27FC236}">
              <a16:creationId xmlns:a16="http://schemas.microsoft.com/office/drawing/2014/main" id="{00000000-0008-0000-0400-00009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a:extLst>
            <a:ext uri="{FF2B5EF4-FFF2-40B4-BE49-F238E27FC236}">
              <a16:creationId xmlns:a16="http://schemas.microsoft.com/office/drawing/2014/main" id="{00000000-0008-0000-0400-00009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a:extLst>
            <a:ext uri="{FF2B5EF4-FFF2-40B4-BE49-F238E27FC236}">
              <a16:creationId xmlns:a16="http://schemas.microsoft.com/office/drawing/2014/main" id="{00000000-0008-0000-0400-00009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a:extLst>
            <a:ext uri="{FF2B5EF4-FFF2-40B4-BE49-F238E27FC236}">
              <a16:creationId xmlns:a16="http://schemas.microsoft.com/office/drawing/2014/main" id="{00000000-0008-0000-0400-0000A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a:extLst>
            <a:ext uri="{FF2B5EF4-FFF2-40B4-BE49-F238E27FC236}">
              <a16:creationId xmlns:a16="http://schemas.microsoft.com/office/drawing/2014/main" id="{00000000-0008-0000-0400-0000A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a:extLst>
            <a:ext uri="{FF2B5EF4-FFF2-40B4-BE49-F238E27FC236}">
              <a16:creationId xmlns:a16="http://schemas.microsoft.com/office/drawing/2014/main" id="{00000000-0008-0000-0400-0000A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a:extLst>
            <a:ext uri="{FF2B5EF4-FFF2-40B4-BE49-F238E27FC236}">
              <a16:creationId xmlns:a16="http://schemas.microsoft.com/office/drawing/2014/main" id="{00000000-0008-0000-0400-0000A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a:extLst>
            <a:ext uri="{FF2B5EF4-FFF2-40B4-BE49-F238E27FC236}">
              <a16:creationId xmlns:a16="http://schemas.microsoft.com/office/drawing/2014/main" id="{00000000-0008-0000-0400-0000A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a:extLst>
            <a:ext uri="{FF2B5EF4-FFF2-40B4-BE49-F238E27FC236}">
              <a16:creationId xmlns:a16="http://schemas.microsoft.com/office/drawing/2014/main" id="{00000000-0008-0000-0400-0000A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a:extLst>
            <a:ext uri="{FF2B5EF4-FFF2-40B4-BE49-F238E27FC236}">
              <a16:creationId xmlns:a16="http://schemas.microsoft.com/office/drawing/2014/main" id="{00000000-0008-0000-0400-0000A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a:extLst>
            <a:ext uri="{FF2B5EF4-FFF2-40B4-BE49-F238E27FC236}">
              <a16:creationId xmlns:a16="http://schemas.microsoft.com/office/drawing/2014/main" id="{00000000-0008-0000-0400-0000A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a:extLst>
            <a:ext uri="{FF2B5EF4-FFF2-40B4-BE49-F238E27FC236}">
              <a16:creationId xmlns:a16="http://schemas.microsoft.com/office/drawing/2014/main" id="{00000000-0008-0000-0400-0000A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a:extLst>
            <a:ext uri="{FF2B5EF4-FFF2-40B4-BE49-F238E27FC236}">
              <a16:creationId xmlns:a16="http://schemas.microsoft.com/office/drawing/2014/main" id="{00000000-0008-0000-0400-0000A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a:extLst>
            <a:ext uri="{FF2B5EF4-FFF2-40B4-BE49-F238E27FC236}">
              <a16:creationId xmlns:a16="http://schemas.microsoft.com/office/drawing/2014/main" id="{00000000-0008-0000-0400-0000A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a:extLst>
            <a:ext uri="{FF2B5EF4-FFF2-40B4-BE49-F238E27FC236}">
              <a16:creationId xmlns:a16="http://schemas.microsoft.com/office/drawing/2014/main" id="{00000000-0008-0000-0400-0000A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a:extLst>
            <a:ext uri="{FF2B5EF4-FFF2-40B4-BE49-F238E27FC236}">
              <a16:creationId xmlns:a16="http://schemas.microsoft.com/office/drawing/2014/main" id="{00000000-0008-0000-0400-0000A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a:extLst>
            <a:ext uri="{FF2B5EF4-FFF2-40B4-BE49-F238E27FC236}">
              <a16:creationId xmlns:a16="http://schemas.microsoft.com/office/drawing/2014/main" id="{00000000-0008-0000-0400-0000A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a:extLst>
            <a:ext uri="{FF2B5EF4-FFF2-40B4-BE49-F238E27FC236}">
              <a16:creationId xmlns:a16="http://schemas.microsoft.com/office/drawing/2014/main" id="{00000000-0008-0000-0400-0000A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a:extLst>
            <a:ext uri="{FF2B5EF4-FFF2-40B4-BE49-F238E27FC236}">
              <a16:creationId xmlns:a16="http://schemas.microsoft.com/office/drawing/2014/main" id="{00000000-0008-0000-0400-0000A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a:extLst>
            <a:ext uri="{FF2B5EF4-FFF2-40B4-BE49-F238E27FC236}">
              <a16:creationId xmlns:a16="http://schemas.microsoft.com/office/drawing/2014/main" id="{00000000-0008-0000-0400-0000B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a:extLst>
            <a:ext uri="{FF2B5EF4-FFF2-40B4-BE49-F238E27FC236}">
              <a16:creationId xmlns:a16="http://schemas.microsoft.com/office/drawing/2014/main" id="{00000000-0008-0000-0400-0000B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a:extLst>
            <a:ext uri="{FF2B5EF4-FFF2-40B4-BE49-F238E27FC236}">
              <a16:creationId xmlns:a16="http://schemas.microsoft.com/office/drawing/2014/main" id="{00000000-0008-0000-0400-0000B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a:extLst>
            <a:ext uri="{FF2B5EF4-FFF2-40B4-BE49-F238E27FC236}">
              <a16:creationId xmlns:a16="http://schemas.microsoft.com/office/drawing/2014/main" id="{00000000-0008-0000-0400-0000B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a:extLst>
            <a:ext uri="{FF2B5EF4-FFF2-40B4-BE49-F238E27FC236}">
              <a16:creationId xmlns:a16="http://schemas.microsoft.com/office/drawing/2014/main" id="{00000000-0008-0000-0400-0000B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a:extLst>
            <a:ext uri="{FF2B5EF4-FFF2-40B4-BE49-F238E27FC236}">
              <a16:creationId xmlns:a16="http://schemas.microsoft.com/office/drawing/2014/main" id="{00000000-0008-0000-0400-0000B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a:extLst>
            <a:ext uri="{FF2B5EF4-FFF2-40B4-BE49-F238E27FC236}">
              <a16:creationId xmlns:a16="http://schemas.microsoft.com/office/drawing/2014/main" id="{00000000-0008-0000-0400-0000B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a:extLst>
            <a:ext uri="{FF2B5EF4-FFF2-40B4-BE49-F238E27FC236}">
              <a16:creationId xmlns:a16="http://schemas.microsoft.com/office/drawing/2014/main" id="{00000000-0008-0000-0400-0000B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a:extLst>
            <a:ext uri="{FF2B5EF4-FFF2-40B4-BE49-F238E27FC236}">
              <a16:creationId xmlns:a16="http://schemas.microsoft.com/office/drawing/2014/main" id="{00000000-0008-0000-0400-0000B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a:extLst>
            <a:ext uri="{FF2B5EF4-FFF2-40B4-BE49-F238E27FC236}">
              <a16:creationId xmlns:a16="http://schemas.microsoft.com/office/drawing/2014/main" id="{00000000-0008-0000-0400-0000B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a:extLst>
            <a:ext uri="{FF2B5EF4-FFF2-40B4-BE49-F238E27FC236}">
              <a16:creationId xmlns:a16="http://schemas.microsoft.com/office/drawing/2014/main" id="{00000000-0008-0000-0400-0000B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a:extLst>
            <a:ext uri="{FF2B5EF4-FFF2-40B4-BE49-F238E27FC236}">
              <a16:creationId xmlns:a16="http://schemas.microsoft.com/office/drawing/2014/main" id="{00000000-0008-0000-0400-0000B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a:extLst>
            <a:ext uri="{FF2B5EF4-FFF2-40B4-BE49-F238E27FC236}">
              <a16:creationId xmlns:a16="http://schemas.microsoft.com/office/drawing/2014/main" id="{00000000-0008-0000-0400-0000B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a:extLst>
            <a:ext uri="{FF2B5EF4-FFF2-40B4-BE49-F238E27FC236}">
              <a16:creationId xmlns:a16="http://schemas.microsoft.com/office/drawing/2014/main" id="{00000000-0008-0000-0400-0000B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a:extLst>
            <a:ext uri="{FF2B5EF4-FFF2-40B4-BE49-F238E27FC236}">
              <a16:creationId xmlns:a16="http://schemas.microsoft.com/office/drawing/2014/main" id="{00000000-0008-0000-0400-0000B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a:extLst>
            <a:ext uri="{FF2B5EF4-FFF2-40B4-BE49-F238E27FC236}">
              <a16:creationId xmlns:a16="http://schemas.microsoft.com/office/drawing/2014/main" id="{00000000-0008-0000-0400-0000B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a:extLst>
            <a:ext uri="{FF2B5EF4-FFF2-40B4-BE49-F238E27FC236}">
              <a16:creationId xmlns:a16="http://schemas.microsoft.com/office/drawing/2014/main" id="{00000000-0008-0000-0400-0000C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a:extLst>
            <a:ext uri="{FF2B5EF4-FFF2-40B4-BE49-F238E27FC236}">
              <a16:creationId xmlns:a16="http://schemas.microsoft.com/office/drawing/2014/main" id="{00000000-0008-0000-0400-0000C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a:extLst>
            <a:ext uri="{FF2B5EF4-FFF2-40B4-BE49-F238E27FC236}">
              <a16:creationId xmlns:a16="http://schemas.microsoft.com/office/drawing/2014/main" id="{00000000-0008-0000-0400-0000C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a:extLst>
            <a:ext uri="{FF2B5EF4-FFF2-40B4-BE49-F238E27FC236}">
              <a16:creationId xmlns:a16="http://schemas.microsoft.com/office/drawing/2014/main" id="{00000000-0008-0000-0400-0000C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a:extLst>
            <a:ext uri="{FF2B5EF4-FFF2-40B4-BE49-F238E27FC236}">
              <a16:creationId xmlns:a16="http://schemas.microsoft.com/office/drawing/2014/main" id="{00000000-0008-0000-0400-0000C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a:extLst>
            <a:ext uri="{FF2B5EF4-FFF2-40B4-BE49-F238E27FC236}">
              <a16:creationId xmlns:a16="http://schemas.microsoft.com/office/drawing/2014/main" id="{00000000-0008-0000-0400-0000C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a:extLst>
            <a:ext uri="{FF2B5EF4-FFF2-40B4-BE49-F238E27FC236}">
              <a16:creationId xmlns:a16="http://schemas.microsoft.com/office/drawing/2014/main" id="{00000000-0008-0000-0400-0000C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a:extLst>
            <a:ext uri="{FF2B5EF4-FFF2-40B4-BE49-F238E27FC236}">
              <a16:creationId xmlns:a16="http://schemas.microsoft.com/office/drawing/2014/main" id="{00000000-0008-0000-0400-0000C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a:extLst>
            <a:ext uri="{FF2B5EF4-FFF2-40B4-BE49-F238E27FC236}">
              <a16:creationId xmlns:a16="http://schemas.microsoft.com/office/drawing/2014/main" id="{00000000-0008-0000-0400-0000C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a:extLst>
            <a:ext uri="{FF2B5EF4-FFF2-40B4-BE49-F238E27FC236}">
              <a16:creationId xmlns:a16="http://schemas.microsoft.com/office/drawing/2014/main" id="{00000000-0008-0000-0400-0000C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a:extLst>
            <a:ext uri="{FF2B5EF4-FFF2-40B4-BE49-F238E27FC236}">
              <a16:creationId xmlns:a16="http://schemas.microsoft.com/office/drawing/2014/main" id="{00000000-0008-0000-0400-0000C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a:extLst>
            <a:ext uri="{FF2B5EF4-FFF2-40B4-BE49-F238E27FC236}">
              <a16:creationId xmlns:a16="http://schemas.microsoft.com/office/drawing/2014/main" id="{00000000-0008-0000-0400-0000C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a:extLst>
            <a:ext uri="{FF2B5EF4-FFF2-40B4-BE49-F238E27FC236}">
              <a16:creationId xmlns:a16="http://schemas.microsoft.com/office/drawing/2014/main" id="{00000000-0008-0000-0400-0000C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a:extLst>
            <a:ext uri="{FF2B5EF4-FFF2-40B4-BE49-F238E27FC236}">
              <a16:creationId xmlns:a16="http://schemas.microsoft.com/office/drawing/2014/main" id="{00000000-0008-0000-0400-0000C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a:extLst>
            <a:ext uri="{FF2B5EF4-FFF2-40B4-BE49-F238E27FC236}">
              <a16:creationId xmlns:a16="http://schemas.microsoft.com/office/drawing/2014/main" id="{00000000-0008-0000-0400-0000C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a:extLst>
            <a:ext uri="{FF2B5EF4-FFF2-40B4-BE49-F238E27FC236}">
              <a16:creationId xmlns:a16="http://schemas.microsoft.com/office/drawing/2014/main" id="{00000000-0008-0000-0400-0000C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a:extLst>
            <a:ext uri="{FF2B5EF4-FFF2-40B4-BE49-F238E27FC236}">
              <a16:creationId xmlns:a16="http://schemas.microsoft.com/office/drawing/2014/main" id="{00000000-0008-0000-0400-0000D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a:extLst>
            <a:ext uri="{FF2B5EF4-FFF2-40B4-BE49-F238E27FC236}">
              <a16:creationId xmlns:a16="http://schemas.microsoft.com/office/drawing/2014/main" id="{00000000-0008-0000-0400-0000D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a:extLst>
            <a:ext uri="{FF2B5EF4-FFF2-40B4-BE49-F238E27FC236}">
              <a16:creationId xmlns:a16="http://schemas.microsoft.com/office/drawing/2014/main" id="{00000000-0008-0000-0400-0000D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a:extLst>
            <a:ext uri="{FF2B5EF4-FFF2-40B4-BE49-F238E27FC236}">
              <a16:creationId xmlns:a16="http://schemas.microsoft.com/office/drawing/2014/main" id="{00000000-0008-0000-0400-0000D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a:extLst>
            <a:ext uri="{FF2B5EF4-FFF2-40B4-BE49-F238E27FC236}">
              <a16:creationId xmlns:a16="http://schemas.microsoft.com/office/drawing/2014/main" id="{00000000-0008-0000-0400-0000D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a:extLst>
            <a:ext uri="{FF2B5EF4-FFF2-40B4-BE49-F238E27FC236}">
              <a16:creationId xmlns:a16="http://schemas.microsoft.com/office/drawing/2014/main" id="{00000000-0008-0000-0400-0000D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a:extLst>
            <a:ext uri="{FF2B5EF4-FFF2-40B4-BE49-F238E27FC236}">
              <a16:creationId xmlns:a16="http://schemas.microsoft.com/office/drawing/2014/main" id="{00000000-0008-0000-0400-0000D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a:extLst>
            <a:ext uri="{FF2B5EF4-FFF2-40B4-BE49-F238E27FC236}">
              <a16:creationId xmlns:a16="http://schemas.microsoft.com/office/drawing/2014/main" id="{00000000-0008-0000-0400-0000D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a:extLst>
            <a:ext uri="{FF2B5EF4-FFF2-40B4-BE49-F238E27FC236}">
              <a16:creationId xmlns:a16="http://schemas.microsoft.com/office/drawing/2014/main" id="{00000000-0008-0000-0400-0000D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a:extLst>
            <a:ext uri="{FF2B5EF4-FFF2-40B4-BE49-F238E27FC236}">
              <a16:creationId xmlns:a16="http://schemas.microsoft.com/office/drawing/2014/main" id="{00000000-0008-0000-0400-0000D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a:extLst>
            <a:ext uri="{FF2B5EF4-FFF2-40B4-BE49-F238E27FC236}">
              <a16:creationId xmlns:a16="http://schemas.microsoft.com/office/drawing/2014/main" id="{00000000-0008-0000-0400-0000D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a:extLst>
            <a:ext uri="{FF2B5EF4-FFF2-40B4-BE49-F238E27FC236}">
              <a16:creationId xmlns:a16="http://schemas.microsoft.com/office/drawing/2014/main" id="{00000000-0008-0000-0400-0000D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a:extLst>
            <a:ext uri="{FF2B5EF4-FFF2-40B4-BE49-F238E27FC236}">
              <a16:creationId xmlns:a16="http://schemas.microsoft.com/office/drawing/2014/main" id="{00000000-0008-0000-0400-0000D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a:extLst>
            <a:ext uri="{FF2B5EF4-FFF2-40B4-BE49-F238E27FC236}">
              <a16:creationId xmlns:a16="http://schemas.microsoft.com/office/drawing/2014/main" id="{00000000-0008-0000-0400-0000D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a:extLst>
            <a:ext uri="{FF2B5EF4-FFF2-40B4-BE49-F238E27FC236}">
              <a16:creationId xmlns:a16="http://schemas.microsoft.com/office/drawing/2014/main" id="{00000000-0008-0000-0400-0000D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a:extLst>
            <a:ext uri="{FF2B5EF4-FFF2-40B4-BE49-F238E27FC236}">
              <a16:creationId xmlns:a16="http://schemas.microsoft.com/office/drawing/2014/main" id="{00000000-0008-0000-0400-0000D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a:extLst>
            <a:ext uri="{FF2B5EF4-FFF2-40B4-BE49-F238E27FC236}">
              <a16:creationId xmlns:a16="http://schemas.microsoft.com/office/drawing/2014/main" id="{00000000-0008-0000-0400-0000E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a:extLst>
            <a:ext uri="{FF2B5EF4-FFF2-40B4-BE49-F238E27FC236}">
              <a16:creationId xmlns:a16="http://schemas.microsoft.com/office/drawing/2014/main" id="{00000000-0008-0000-0400-0000E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a:extLst>
            <a:ext uri="{FF2B5EF4-FFF2-40B4-BE49-F238E27FC236}">
              <a16:creationId xmlns:a16="http://schemas.microsoft.com/office/drawing/2014/main" id="{00000000-0008-0000-0400-0000E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a:extLst>
            <a:ext uri="{FF2B5EF4-FFF2-40B4-BE49-F238E27FC236}">
              <a16:creationId xmlns:a16="http://schemas.microsoft.com/office/drawing/2014/main" id="{00000000-0008-0000-0400-0000E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a:extLst>
            <a:ext uri="{FF2B5EF4-FFF2-40B4-BE49-F238E27FC236}">
              <a16:creationId xmlns:a16="http://schemas.microsoft.com/office/drawing/2014/main" id="{00000000-0008-0000-0400-0000E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a:extLst>
            <a:ext uri="{FF2B5EF4-FFF2-40B4-BE49-F238E27FC236}">
              <a16:creationId xmlns:a16="http://schemas.microsoft.com/office/drawing/2014/main" id="{00000000-0008-0000-0400-0000E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a:extLst>
            <a:ext uri="{FF2B5EF4-FFF2-40B4-BE49-F238E27FC236}">
              <a16:creationId xmlns:a16="http://schemas.microsoft.com/office/drawing/2014/main" id="{00000000-0008-0000-0400-0000E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a:extLst>
            <a:ext uri="{FF2B5EF4-FFF2-40B4-BE49-F238E27FC236}">
              <a16:creationId xmlns:a16="http://schemas.microsoft.com/office/drawing/2014/main" id="{00000000-0008-0000-0400-0000E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a:extLst>
            <a:ext uri="{FF2B5EF4-FFF2-40B4-BE49-F238E27FC236}">
              <a16:creationId xmlns:a16="http://schemas.microsoft.com/office/drawing/2014/main" id="{00000000-0008-0000-0400-0000E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a:extLst>
            <a:ext uri="{FF2B5EF4-FFF2-40B4-BE49-F238E27FC236}">
              <a16:creationId xmlns:a16="http://schemas.microsoft.com/office/drawing/2014/main" id="{00000000-0008-0000-0400-0000E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a:extLst>
            <a:ext uri="{FF2B5EF4-FFF2-40B4-BE49-F238E27FC236}">
              <a16:creationId xmlns:a16="http://schemas.microsoft.com/office/drawing/2014/main" id="{00000000-0008-0000-0400-0000E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a:extLst>
            <a:ext uri="{FF2B5EF4-FFF2-40B4-BE49-F238E27FC236}">
              <a16:creationId xmlns:a16="http://schemas.microsoft.com/office/drawing/2014/main" id="{00000000-0008-0000-0400-0000E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a:extLst>
            <a:ext uri="{FF2B5EF4-FFF2-40B4-BE49-F238E27FC236}">
              <a16:creationId xmlns:a16="http://schemas.microsoft.com/office/drawing/2014/main" id="{00000000-0008-0000-0400-0000E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a:extLst>
            <a:ext uri="{FF2B5EF4-FFF2-40B4-BE49-F238E27FC236}">
              <a16:creationId xmlns:a16="http://schemas.microsoft.com/office/drawing/2014/main" id="{00000000-0008-0000-0400-0000E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a:extLst>
            <a:ext uri="{FF2B5EF4-FFF2-40B4-BE49-F238E27FC236}">
              <a16:creationId xmlns:a16="http://schemas.microsoft.com/office/drawing/2014/main" id="{00000000-0008-0000-0400-0000E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a:extLst>
            <a:ext uri="{FF2B5EF4-FFF2-40B4-BE49-F238E27FC236}">
              <a16:creationId xmlns:a16="http://schemas.microsoft.com/office/drawing/2014/main" id="{00000000-0008-0000-0400-0000E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a:extLst>
            <a:ext uri="{FF2B5EF4-FFF2-40B4-BE49-F238E27FC236}">
              <a16:creationId xmlns:a16="http://schemas.microsoft.com/office/drawing/2014/main" id="{00000000-0008-0000-0400-0000F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a:extLst>
            <a:ext uri="{FF2B5EF4-FFF2-40B4-BE49-F238E27FC236}">
              <a16:creationId xmlns:a16="http://schemas.microsoft.com/office/drawing/2014/main" id="{00000000-0008-0000-0400-0000F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a:extLst>
            <a:ext uri="{FF2B5EF4-FFF2-40B4-BE49-F238E27FC236}">
              <a16:creationId xmlns:a16="http://schemas.microsoft.com/office/drawing/2014/main" id="{00000000-0008-0000-0400-0000F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a:extLst>
            <a:ext uri="{FF2B5EF4-FFF2-40B4-BE49-F238E27FC236}">
              <a16:creationId xmlns:a16="http://schemas.microsoft.com/office/drawing/2014/main" id="{00000000-0008-0000-0400-0000F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a:extLst>
            <a:ext uri="{FF2B5EF4-FFF2-40B4-BE49-F238E27FC236}">
              <a16:creationId xmlns:a16="http://schemas.microsoft.com/office/drawing/2014/main" id="{00000000-0008-0000-0400-0000F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a:extLst>
            <a:ext uri="{FF2B5EF4-FFF2-40B4-BE49-F238E27FC236}">
              <a16:creationId xmlns:a16="http://schemas.microsoft.com/office/drawing/2014/main" id="{00000000-0008-0000-0400-0000F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a:extLst>
            <a:ext uri="{FF2B5EF4-FFF2-40B4-BE49-F238E27FC236}">
              <a16:creationId xmlns:a16="http://schemas.microsoft.com/office/drawing/2014/main" id="{00000000-0008-0000-0400-0000F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a:extLst>
            <a:ext uri="{FF2B5EF4-FFF2-40B4-BE49-F238E27FC236}">
              <a16:creationId xmlns:a16="http://schemas.microsoft.com/office/drawing/2014/main" id="{00000000-0008-0000-0400-0000F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a:extLst>
            <a:ext uri="{FF2B5EF4-FFF2-40B4-BE49-F238E27FC236}">
              <a16:creationId xmlns:a16="http://schemas.microsoft.com/office/drawing/2014/main" id="{00000000-0008-0000-0400-0000F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a:extLst>
            <a:ext uri="{FF2B5EF4-FFF2-40B4-BE49-F238E27FC236}">
              <a16:creationId xmlns:a16="http://schemas.microsoft.com/office/drawing/2014/main" id="{00000000-0008-0000-0400-0000F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a:extLst>
            <a:ext uri="{FF2B5EF4-FFF2-40B4-BE49-F238E27FC236}">
              <a16:creationId xmlns:a16="http://schemas.microsoft.com/office/drawing/2014/main" id="{00000000-0008-0000-0400-0000F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a:extLst>
            <a:ext uri="{FF2B5EF4-FFF2-40B4-BE49-F238E27FC236}">
              <a16:creationId xmlns:a16="http://schemas.microsoft.com/office/drawing/2014/main" id="{00000000-0008-0000-0400-0000F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a:extLst>
            <a:ext uri="{FF2B5EF4-FFF2-40B4-BE49-F238E27FC236}">
              <a16:creationId xmlns:a16="http://schemas.microsoft.com/office/drawing/2014/main" id="{00000000-0008-0000-0400-0000F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a:extLst>
            <a:ext uri="{FF2B5EF4-FFF2-40B4-BE49-F238E27FC236}">
              <a16:creationId xmlns:a16="http://schemas.microsoft.com/office/drawing/2014/main" id="{00000000-0008-0000-0400-0000F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a:extLst>
            <a:ext uri="{FF2B5EF4-FFF2-40B4-BE49-F238E27FC236}">
              <a16:creationId xmlns:a16="http://schemas.microsoft.com/office/drawing/2014/main" id="{00000000-0008-0000-0400-0000F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a:extLst>
            <a:ext uri="{FF2B5EF4-FFF2-40B4-BE49-F238E27FC236}">
              <a16:creationId xmlns:a16="http://schemas.microsoft.com/office/drawing/2014/main" id="{00000000-0008-0000-0400-0000F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a:extLst>
            <a:ext uri="{FF2B5EF4-FFF2-40B4-BE49-F238E27FC236}">
              <a16:creationId xmlns:a16="http://schemas.microsoft.com/office/drawing/2014/main" id="{00000000-0008-0000-0400-00000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a:extLst>
            <a:ext uri="{FF2B5EF4-FFF2-40B4-BE49-F238E27FC236}">
              <a16:creationId xmlns:a16="http://schemas.microsoft.com/office/drawing/2014/main" id="{00000000-0008-0000-04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a:extLst>
            <a:ext uri="{FF2B5EF4-FFF2-40B4-BE49-F238E27FC236}">
              <a16:creationId xmlns:a16="http://schemas.microsoft.com/office/drawing/2014/main" id="{00000000-0008-0000-04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a:extLst>
            <a:ext uri="{FF2B5EF4-FFF2-40B4-BE49-F238E27FC236}">
              <a16:creationId xmlns:a16="http://schemas.microsoft.com/office/drawing/2014/main" id="{00000000-0008-0000-0400-00000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a:extLst>
            <a:ext uri="{FF2B5EF4-FFF2-40B4-BE49-F238E27FC236}">
              <a16:creationId xmlns:a16="http://schemas.microsoft.com/office/drawing/2014/main" id="{00000000-0008-0000-04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a:extLst>
            <a:ext uri="{FF2B5EF4-FFF2-40B4-BE49-F238E27FC236}">
              <a16:creationId xmlns:a16="http://schemas.microsoft.com/office/drawing/2014/main" id="{00000000-0008-0000-04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a:extLst>
            <a:ext uri="{FF2B5EF4-FFF2-40B4-BE49-F238E27FC236}">
              <a16:creationId xmlns:a16="http://schemas.microsoft.com/office/drawing/2014/main" id="{00000000-0008-0000-0400-00000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a:extLst>
            <a:ext uri="{FF2B5EF4-FFF2-40B4-BE49-F238E27FC236}">
              <a16:creationId xmlns:a16="http://schemas.microsoft.com/office/drawing/2014/main" id="{00000000-0008-0000-0400-00000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a:extLst>
            <a:ext uri="{FF2B5EF4-FFF2-40B4-BE49-F238E27FC236}">
              <a16:creationId xmlns:a16="http://schemas.microsoft.com/office/drawing/2014/main" id="{00000000-0008-0000-0400-00000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a:extLst>
            <a:ext uri="{FF2B5EF4-FFF2-40B4-BE49-F238E27FC236}">
              <a16:creationId xmlns:a16="http://schemas.microsoft.com/office/drawing/2014/main" id="{00000000-0008-0000-0400-00000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a:extLst>
            <a:ext uri="{FF2B5EF4-FFF2-40B4-BE49-F238E27FC236}">
              <a16:creationId xmlns:a16="http://schemas.microsoft.com/office/drawing/2014/main" id="{00000000-0008-0000-0400-00000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a:extLst>
            <a:ext uri="{FF2B5EF4-FFF2-40B4-BE49-F238E27FC236}">
              <a16:creationId xmlns:a16="http://schemas.microsoft.com/office/drawing/2014/main" id="{00000000-0008-0000-0400-00000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a:extLst>
            <a:ext uri="{FF2B5EF4-FFF2-40B4-BE49-F238E27FC236}">
              <a16:creationId xmlns:a16="http://schemas.microsoft.com/office/drawing/2014/main" id="{00000000-0008-0000-0400-00000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a:extLst>
            <a:ext uri="{FF2B5EF4-FFF2-40B4-BE49-F238E27FC236}">
              <a16:creationId xmlns:a16="http://schemas.microsoft.com/office/drawing/2014/main" id="{00000000-0008-0000-0400-00000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a:extLst>
            <a:ext uri="{FF2B5EF4-FFF2-40B4-BE49-F238E27FC236}">
              <a16:creationId xmlns:a16="http://schemas.microsoft.com/office/drawing/2014/main" id="{00000000-0008-0000-0400-00000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a:extLst>
            <a:ext uri="{FF2B5EF4-FFF2-40B4-BE49-F238E27FC236}">
              <a16:creationId xmlns:a16="http://schemas.microsoft.com/office/drawing/2014/main" id="{00000000-0008-0000-0400-00000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a:extLst>
            <a:ext uri="{FF2B5EF4-FFF2-40B4-BE49-F238E27FC236}">
              <a16:creationId xmlns:a16="http://schemas.microsoft.com/office/drawing/2014/main" id="{00000000-0008-0000-0400-00001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a:extLst>
            <a:ext uri="{FF2B5EF4-FFF2-40B4-BE49-F238E27FC236}">
              <a16:creationId xmlns:a16="http://schemas.microsoft.com/office/drawing/2014/main" id="{00000000-0008-0000-0400-00001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a:extLst>
            <a:ext uri="{FF2B5EF4-FFF2-40B4-BE49-F238E27FC236}">
              <a16:creationId xmlns:a16="http://schemas.microsoft.com/office/drawing/2014/main" id="{00000000-0008-0000-0400-00001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a:extLst>
            <a:ext uri="{FF2B5EF4-FFF2-40B4-BE49-F238E27FC236}">
              <a16:creationId xmlns:a16="http://schemas.microsoft.com/office/drawing/2014/main" id="{00000000-0008-0000-0400-00001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a:extLst>
            <a:ext uri="{FF2B5EF4-FFF2-40B4-BE49-F238E27FC236}">
              <a16:creationId xmlns:a16="http://schemas.microsoft.com/office/drawing/2014/main" id="{00000000-0008-0000-0400-00001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a:extLst>
            <a:ext uri="{FF2B5EF4-FFF2-40B4-BE49-F238E27FC236}">
              <a16:creationId xmlns:a16="http://schemas.microsoft.com/office/drawing/2014/main" id="{00000000-0008-0000-0400-00001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a:extLst>
            <a:ext uri="{FF2B5EF4-FFF2-40B4-BE49-F238E27FC236}">
              <a16:creationId xmlns:a16="http://schemas.microsoft.com/office/drawing/2014/main" id="{00000000-0008-0000-0400-00001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a:extLst>
            <a:ext uri="{FF2B5EF4-FFF2-40B4-BE49-F238E27FC236}">
              <a16:creationId xmlns:a16="http://schemas.microsoft.com/office/drawing/2014/main" id="{00000000-0008-0000-0400-00001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a:extLst>
            <a:ext uri="{FF2B5EF4-FFF2-40B4-BE49-F238E27FC236}">
              <a16:creationId xmlns:a16="http://schemas.microsoft.com/office/drawing/2014/main" id="{00000000-0008-0000-0400-00001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a:extLst>
            <a:ext uri="{FF2B5EF4-FFF2-40B4-BE49-F238E27FC236}">
              <a16:creationId xmlns:a16="http://schemas.microsoft.com/office/drawing/2014/main" id="{00000000-0008-0000-0400-00001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a:extLst>
            <a:ext uri="{FF2B5EF4-FFF2-40B4-BE49-F238E27FC236}">
              <a16:creationId xmlns:a16="http://schemas.microsoft.com/office/drawing/2014/main" id="{00000000-0008-0000-0400-00001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a:extLst>
            <a:ext uri="{FF2B5EF4-FFF2-40B4-BE49-F238E27FC236}">
              <a16:creationId xmlns:a16="http://schemas.microsoft.com/office/drawing/2014/main" id="{00000000-0008-0000-0400-00001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a:extLst>
            <a:ext uri="{FF2B5EF4-FFF2-40B4-BE49-F238E27FC236}">
              <a16:creationId xmlns:a16="http://schemas.microsoft.com/office/drawing/2014/main" id="{00000000-0008-0000-0400-00001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a:extLst>
            <a:ext uri="{FF2B5EF4-FFF2-40B4-BE49-F238E27FC236}">
              <a16:creationId xmlns:a16="http://schemas.microsoft.com/office/drawing/2014/main" id="{00000000-0008-0000-0400-00001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a:extLst>
            <a:ext uri="{FF2B5EF4-FFF2-40B4-BE49-F238E27FC236}">
              <a16:creationId xmlns:a16="http://schemas.microsoft.com/office/drawing/2014/main" id="{00000000-0008-0000-0400-00001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a:extLst>
            <a:ext uri="{FF2B5EF4-FFF2-40B4-BE49-F238E27FC236}">
              <a16:creationId xmlns:a16="http://schemas.microsoft.com/office/drawing/2014/main" id="{00000000-0008-0000-0400-00001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a:extLst>
            <a:ext uri="{FF2B5EF4-FFF2-40B4-BE49-F238E27FC236}">
              <a16:creationId xmlns:a16="http://schemas.microsoft.com/office/drawing/2014/main" id="{00000000-0008-0000-0400-00002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a:extLst>
            <a:ext uri="{FF2B5EF4-FFF2-40B4-BE49-F238E27FC236}">
              <a16:creationId xmlns:a16="http://schemas.microsoft.com/office/drawing/2014/main" id="{00000000-0008-0000-0400-00002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a:extLst>
            <a:ext uri="{FF2B5EF4-FFF2-40B4-BE49-F238E27FC236}">
              <a16:creationId xmlns:a16="http://schemas.microsoft.com/office/drawing/2014/main" id="{00000000-0008-0000-0400-00002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a:extLst>
            <a:ext uri="{FF2B5EF4-FFF2-40B4-BE49-F238E27FC236}">
              <a16:creationId xmlns:a16="http://schemas.microsoft.com/office/drawing/2014/main" id="{00000000-0008-0000-0400-00002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a:extLst>
            <a:ext uri="{FF2B5EF4-FFF2-40B4-BE49-F238E27FC236}">
              <a16:creationId xmlns:a16="http://schemas.microsoft.com/office/drawing/2014/main" id="{00000000-0008-0000-0400-00002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a:extLst>
            <a:ext uri="{FF2B5EF4-FFF2-40B4-BE49-F238E27FC236}">
              <a16:creationId xmlns:a16="http://schemas.microsoft.com/office/drawing/2014/main" id="{00000000-0008-0000-0400-00002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a:extLst>
            <a:ext uri="{FF2B5EF4-FFF2-40B4-BE49-F238E27FC236}">
              <a16:creationId xmlns:a16="http://schemas.microsoft.com/office/drawing/2014/main" id="{00000000-0008-0000-0400-00002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a:extLst>
            <a:ext uri="{FF2B5EF4-FFF2-40B4-BE49-F238E27FC236}">
              <a16:creationId xmlns:a16="http://schemas.microsoft.com/office/drawing/2014/main" id="{00000000-0008-0000-0400-00002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a:extLst>
            <a:ext uri="{FF2B5EF4-FFF2-40B4-BE49-F238E27FC236}">
              <a16:creationId xmlns:a16="http://schemas.microsoft.com/office/drawing/2014/main" id="{00000000-0008-0000-0400-00002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a:extLst>
            <a:ext uri="{FF2B5EF4-FFF2-40B4-BE49-F238E27FC236}">
              <a16:creationId xmlns:a16="http://schemas.microsoft.com/office/drawing/2014/main" id="{00000000-0008-0000-0400-00002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a:extLst>
            <a:ext uri="{FF2B5EF4-FFF2-40B4-BE49-F238E27FC236}">
              <a16:creationId xmlns:a16="http://schemas.microsoft.com/office/drawing/2014/main" id="{00000000-0008-0000-0400-00002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a:extLst>
            <a:ext uri="{FF2B5EF4-FFF2-40B4-BE49-F238E27FC236}">
              <a16:creationId xmlns:a16="http://schemas.microsoft.com/office/drawing/2014/main" id="{00000000-0008-0000-0400-00002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a:extLst>
            <a:ext uri="{FF2B5EF4-FFF2-40B4-BE49-F238E27FC236}">
              <a16:creationId xmlns:a16="http://schemas.microsoft.com/office/drawing/2014/main" id="{00000000-0008-0000-0400-00002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a:extLst>
            <a:ext uri="{FF2B5EF4-FFF2-40B4-BE49-F238E27FC236}">
              <a16:creationId xmlns:a16="http://schemas.microsoft.com/office/drawing/2014/main" id="{00000000-0008-0000-0400-00002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a:extLst>
            <a:ext uri="{FF2B5EF4-FFF2-40B4-BE49-F238E27FC236}">
              <a16:creationId xmlns:a16="http://schemas.microsoft.com/office/drawing/2014/main" id="{00000000-0008-0000-0400-00002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a:extLst>
            <a:ext uri="{FF2B5EF4-FFF2-40B4-BE49-F238E27FC236}">
              <a16:creationId xmlns:a16="http://schemas.microsoft.com/office/drawing/2014/main" id="{00000000-0008-0000-0400-00002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a:extLst>
            <a:ext uri="{FF2B5EF4-FFF2-40B4-BE49-F238E27FC236}">
              <a16:creationId xmlns:a16="http://schemas.microsoft.com/office/drawing/2014/main" id="{00000000-0008-0000-0400-00003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a:extLst>
            <a:ext uri="{FF2B5EF4-FFF2-40B4-BE49-F238E27FC236}">
              <a16:creationId xmlns:a16="http://schemas.microsoft.com/office/drawing/2014/main" id="{00000000-0008-0000-0400-00003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a:extLst>
            <a:ext uri="{FF2B5EF4-FFF2-40B4-BE49-F238E27FC236}">
              <a16:creationId xmlns:a16="http://schemas.microsoft.com/office/drawing/2014/main" id="{00000000-0008-0000-0400-00003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a:extLst>
            <a:ext uri="{FF2B5EF4-FFF2-40B4-BE49-F238E27FC236}">
              <a16:creationId xmlns:a16="http://schemas.microsoft.com/office/drawing/2014/main" id="{00000000-0008-0000-0400-00003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a:extLst>
            <a:ext uri="{FF2B5EF4-FFF2-40B4-BE49-F238E27FC236}">
              <a16:creationId xmlns:a16="http://schemas.microsoft.com/office/drawing/2014/main" id="{00000000-0008-0000-0400-00003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a:extLst>
            <a:ext uri="{FF2B5EF4-FFF2-40B4-BE49-F238E27FC236}">
              <a16:creationId xmlns:a16="http://schemas.microsoft.com/office/drawing/2014/main" id="{00000000-0008-0000-0400-00003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a:extLst>
            <a:ext uri="{FF2B5EF4-FFF2-40B4-BE49-F238E27FC236}">
              <a16:creationId xmlns:a16="http://schemas.microsoft.com/office/drawing/2014/main" id="{00000000-0008-0000-0400-00003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a:extLst>
            <a:ext uri="{FF2B5EF4-FFF2-40B4-BE49-F238E27FC236}">
              <a16:creationId xmlns:a16="http://schemas.microsoft.com/office/drawing/2014/main" id="{00000000-0008-0000-0400-00003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a:extLst>
            <a:ext uri="{FF2B5EF4-FFF2-40B4-BE49-F238E27FC236}">
              <a16:creationId xmlns:a16="http://schemas.microsoft.com/office/drawing/2014/main" id="{00000000-0008-0000-0400-00003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a:extLst>
            <a:ext uri="{FF2B5EF4-FFF2-40B4-BE49-F238E27FC236}">
              <a16:creationId xmlns:a16="http://schemas.microsoft.com/office/drawing/2014/main" id="{00000000-0008-0000-0400-00003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a:extLst>
            <a:ext uri="{FF2B5EF4-FFF2-40B4-BE49-F238E27FC236}">
              <a16:creationId xmlns:a16="http://schemas.microsoft.com/office/drawing/2014/main" id="{00000000-0008-0000-0400-00003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a:extLst>
            <a:ext uri="{FF2B5EF4-FFF2-40B4-BE49-F238E27FC236}">
              <a16:creationId xmlns:a16="http://schemas.microsoft.com/office/drawing/2014/main" id="{00000000-0008-0000-0400-00003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a:extLst>
            <a:ext uri="{FF2B5EF4-FFF2-40B4-BE49-F238E27FC236}">
              <a16:creationId xmlns:a16="http://schemas.microsoft.com/office/drawing/2014/main" id="{00000000-0008-0000-0400-00003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a:extLst>
            <a:ext uri="{FF2B5EF4-FFF2-40B4-BE49-F238E27FC236}">
              <a16:creationId xmlns:a16="http://schemas.microsoft.com/office/drawing/2014/main" id="{00000000-0008-0000-0400-00003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a:extLst>
            <a:ext uri="{FF2B5EF4-FFF2-40B4-BE49-F238E27FC236}">
              <a16:creationId xmlns:a16="http://schemas.microsoft.com/office/drawing/2014/main" id="{00000000-0008-0000-0400-00003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a:extLst>
            <a:ext uri="{FF2B5EF4-FFF2-40B4-BE49-F238E27FC236}">
              <a16:creationId xmlns:a16="http://schemas.microsoft.com/office/drawing/2014/main" id="{00000000-0008-0000-0400-00003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a:extLst>
            <a:ext uri="{FF2B5EF4-FFF2-40B4-BE49-F238E27FC236}">
              <a16:creationId xmlns:a16="http://schemas.microsoft.com/office/drawing/2014/main" id="{00000000-0008-0000-0400-00004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a:extLst>
            <a:ext uri="{FF2B5EF4-FFF2-40B4-BE49-F238E27FC236}">
              <a16:creationId xmlns:a16="http://schemas.microsoft.com/office/drawing/2014/main" id="{00000000-0008-0000-0400-00004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a:extLst>
            <a:ext uri="{FF2B5EF4-FFF2-40B4-BE49-F238E27FC236}">
              <a16:creationId xmlns:a16="http://schemas.microsoft.com/office/drawing/2014/main" id="{00000000-0008-0000-0400-00004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a:extLst>
            <a:ext uri="{FF2B5EF4-FFF2-40B4-BE49-F238E27FC236}">
              <a16:creationId xmlns:a16="http://schemas.microsoft.com/office/drawing/2014/main" id="{00000000-0008-0000-0400-00004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a:extLst>
            <a:ext uri="{FF2B5EF4-FFF2-40B4-BE49-F238E27FC236}">
              <a16:creationId xmlns:a16="http://schemas.microsoft.com/office/drawing/2014/main" id="{00000000-0008-0000-0400-00004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a:extLst>
            <a:ext uri="{FF2B5EF4-FFF2-40B4-BE49-F238E27FC236}">
              <a16:creationId xmlns:a16="http://schemas.microsoft.com/office/drawing/2014/main" id="{00000000-0008-0000-0400-00004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a:extLst>
            <a:ext uri="{FF2B5EF4-FFF2-40B4-BE49-F238E27FC236}">
              <a16:creationId xmlns:a16="http://schemas.microsoft.com/office/drawing/2014/main" id="{00000000-0008-0000-0400-00004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a:extLst>
            <a:ext uri="{FF2B5EF4-FFF2-40B4-BE49-F238E27FC236}">
              <a16:creationId xmlns:a16="http://schemas.microsoft.com/office/drawing/2014/main" id="{00000000-0008-0000-0400-00004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a:extLst>
            <a:ext uri="{FF2B5EF4-FFF2-40B4-BE49-F238E27FC236}">
              <a16:creationId xmlns:a16="http://schemas.microsoft.com/office/drawing/2014/main" id="{00000000-0008-0000-0400-00004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a:extLst>
            <a:ext uri="{FF2B5EF4-FFF2-40B4-BE49-F238E27FC236}">
              <a16:creationId xmlns:a16="http://schemas.microsoft.com/office/drawing/2014/main" id="{00000000-0008-0000-0400-00004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a:extLst>
            <a:ext uri="{FF2B5EF4-FFF2-40B4-BE49-F238E27FC236}">
              <a16:creationId xmlns:a16="http://schemas.microsoft.com/office/drawing/2014/main" id="{00000000-0008-0000-0400-00004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a:extLst>
            <a:ext uri="{FF2B5EF4-FFF2-40B4-BE49-F238E27FC236}">
              <a16:creationId xmlns:a16="http://schemas.microsoft.com/office/drawing/2014/main" id="{00000000-0008-0000-0400-00004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a:extLst>
            <a:ext uri="{FF2B5EF4-FFF2-40B4-BE49-F238E27FC236}">
              <a16:creationId xmlns:a16="http://schemas.microsoft.com/office/drawing/2014/main" id="{00000000-0008-0000-0400-00004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a:extLst>
            <a:ext uri="{FF2B5EF4-FFF2-40B4-BE49-F238E27FC236}">
              <a16:creationId xmlns:a16="http://schemas.microsoft.com/office/drawing/2014/main" id="{00000000-0008-0000-0400-00004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a:extLst>
            <a:ext uri="{FF2B5EF4-FFF2-40B4-BE49-F238E27FC236}">
              <a16:creationId xmlns:a16="http://schemas.microsoft.com/office/drawing/2014/main" id="{00000000-0008-0000-0400-00004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a:extLst>
            <a:ext uri="{FF2B5EF4-FFF2-40B4-BE49-F238E27FC236}">
              <a16:creationId xmlns:a16="http://schemas.microsoft.com/office/drawing/2014/main" id="{00000000-0008-0000-0400-00004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a:extLst>
            <a:ext uri="{FF2B5EF4-FFF2-40B4-BE49-F238E27FC236}">
              <a16:creationId xmlns:a16="http://schemas.microsoft.com/office/drawing/2014/main" id="{00000000-0008-0000-0400-00005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a:extLst>
            <a:ext uri="{FF2B5EF4-FFF2-40B4-BE49-F238E27FC236}">
              <a16:creationId xmlns:a16="http://schemas.microsoft.com/office/drawing/2014/main" id="{00000000-0008-0000-0400-00005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a:extLst>
            <a:ext uri="{FF2B5EF4-FFF2-40B4-BE49-F238E27FC236}">
              <a16:creationId xmlns:a16="http://schemas.microsoft.com/office/drawing/2014/main" id="{00000000-0008-0000-0400-00005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a:extLst>
            <a:ext uri="{FF2B5EF4-FFF2-40B4-BE49-F238E27FC236}">
              <a16:creationId xmlns:a16="http://schemas.microsoft.com/office/drawing/2014/main" id="{00000000-0008-0000-0400-00005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a:extLst>
            <a:ext uri="{FF2B5EF4-FFF2-40B4-BE49-F238E27FC236}">
              <a16:creationId xmlns:a16="http://schemas.microsoft.com/office/drawing/2014/main" id="{00000000-0008-0000-0400-00005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a:extLst>
            <a:ext uri="{FF2B5EF4-FFF2-40B4-BE49-F238E27FC236}">
              <a16:creationId xmlns:a16="http://schemas.microsoft.com/office/drawing/2014/main" id="{00000000-0008-0000-0400-00005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a:extLst>
            <a:ext uri="{FF2B5EF4-FFF2-40B4-BE49-F238E27FC236}">
              <a16:creationId xmlns:a16="http://schemas.microsoft.com/office/drawing/2014/main" id="{00000000-0008-0000-0400-00005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a:extLst>
            <a:ext uri="{FF2B5EF4-FFF2-40B4-BE49-F238E27FC236}">
              <a16:creationId xmlns:a16="http://schemas.microsoft.com/office/drawing/2014/main" id="{00000000-0008-0000-0400-00005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a:extLst>
            <a:ext uri="{FF2B5EF4-FFF2-40B4-BE49-F238E27FC236}">
              <a16:creationId xmlns:a16="http://schemas.microsoft.com/office/drawing/2014/main" id="{00000000-0008-0000-0400-00005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a:extLst>
            <a:ext uri="{FF2B5EF4-FFF2-40B4-BE49-F238E27FC236}">
              <a16:creationId xmlns:a16="http://schemas.microsoft.com/office/drawing/2014/main" id="{00000000-0008-0000-0400-00005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a:extLst>
            <a:ext uri="{FF2B5EF4-FFF2-40B4-BE49-F238E27FC236}">
              <a16:creationId xmlns:a16="http://schemas.microsoft.com/office/drawing/2014/main" id="{00000000-0008-0000-0400-00005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a:extLst>
            <a:ext uri="{FF2B5EF4-FFF2-40B4-BE49-F238E27FC236}">
              <a16:creationId xmlns:a16="http://schemas.microsoft.com/office/drawing/2014/main" id="{00000000-0008-0000-0400-00005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a:extLst>
            <a:ext uri="{FF2B5EF4-FFF2-40B4-BE49-F238E27FC236}">
              <a16:creationId xmlns:a16="http://schemas.microsoft.com/office/drawing/2014/main" id="{00000000-0008-0000-0400-00005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a:extLst>
            <a:ext uri="{FF2B5EF4-FFF2-40B4-BE49-F238E27FC236}">
              <a16:creationId xmlns:a16="http://schemas.microsoft.com/office/drawing/2014/main" id="{00000000-0008-0000-0400-00005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a:extLst>
            <a:ext uri="{FF2B5EF4-FFF2-40B4-BE49-F238E27FC236}">
              <a16:creationId xmlns:a16="http://schemas.microsoft.com/office/drawing/2014/main" id="{00000000-0008-0000-0400-00005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a:extLst>
            <a:ext uri="{FF2B5EF4-FFF2-40B4-BE49-F238E27FC236}">
              <a16:creationId xmlns:a16="http://schemas.microsoft.com/office/drawing/2014/main" id="{00000000-0008-0000-0400-00005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a:extLst>
            <a:ext uri="{FF2B5EF4-FFF2-40B4-BE49-F238E27FC236}">
              <a16:creationId xmlns:a16="http://schemas.microsoft.com/office/drawing/2014/main" id="{00000000-0008-0000-0400-00006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a:extLst>
            <a:ext uri="{FF2B5EF4-FFF2-40B4-BE49-F238E27FC236}">
              <a16:creationId xmlns:a16="http://schemas.microsoft.com/office/drawing/2014/main" id="{00000000-0008-0000-0400-00006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a:extLst>
            <a:ext uri="{FF2B5EF4-FFF2-40B4-BE49-F238E27FC236}">
              <a16:creationId xmlns:a16="http://schemas.microsoft.com/office/drawing/2014/main" id="{00000000-0008-0000-0400-00006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a:extLst>
            <a:ext uri="{FF2B5EF4-FFF2-40B4-BE49-F238E27FC236}">
              <a16:creationId xmlns:a16="http://schemas.microsoft.com/office/drawing/2014/main" id="{00000000-0008-0000-0400-00006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a:extLst>
            <a:ext uri="{FF2B5EF4-FFF2-40B4-BE49-F238E27FC236}">
              <a16:creationId xmlns:a16="http://schemas.microsoft.com/office/drawing/2014/main" id="{00000000-0008-0000-0400-00006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a:extLst>
            <a:ext uri="{FF2B5EF4-FFF2-40B4-BE49-F238E27FC236}">
              <a16:creationId xmlns:a16="http://schemas.microsoft.com/office/drawing/2014/main" id="{00000000-0008-0000-0400-00006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a:extLst>
            <a:ext uri="{FF2B5EF4-FFF2-40B4-BE49-F238E27FC236}">
              <a16:creationId xmlns:a16="http://schemas.microsoft.com/office/drawing/2014/main" id="{00000000-0008-0000-0400-00006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a:extLst>
            <a:ext uri="{FF2B5EF4-FFF2-40B4-BE49-F238E27FC236}">
              <a16:creationId xmlns:a16="http://schemas.microsoft.com/office/drawing/2014/main" id="{00000000-0008-0000-0400-00006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a:extLst>
            <a:ext uri="{FF2B5EF4-FFF2-40B4-BE49-F238E27FC236}">
              <a16:creationId xmlns:a16="http://schemas.microsoft.com/office/drawing/2014/main" id="{00000000-0008-0000-0400-00006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a:extLst>
            <a:ext uri="{FF2B5EF4-FFF2-40B4-BE49-F238E27FC236}">
              <a16:creationId xmlns:a16="http://schemas.microsoft.com/office/drawing/2014/main" id="{00000000-0008-0000-0400-00006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a:extLst>
            <a:ext uri="{FF2B5EF4-FFF2-40B4-BE49-F238E27FC236}">
              <a16:creationId xmlns:a16="http://schemas.microsoft.com/office/drawing/2014/main" id="{00000000-0008-0000-0400-00006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a:extLst>
            <a:ext uri="{FF2B5EF4-FFF2-40B4-BE49-F238E27FC236}">
              <a16:creationId xmlns:a16="http://schemas.microsoft.com/office/drawing/2014/main" id="{00000000-0008-0000-0400-00006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a:extLst>
            <a:ext uri="{FF2B5EF4-FFF2-40B4-BE49-F238E27FC236}">
              <a16:creationId xmlns:a16="http://schemas.microsoft.com/office/drawing/2014/main" id="{00000000-0008-0000-0400-00006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a:extLst>
            <a:ext uri="{FF2B5EF4-FFF2-40B4-BE49-F238E27FC236}">
              <a16:creationId xmlns:a16="http://schemas.microsoft.com/office/drawing/2014/main" id="{00000000-0008-0000-0400-00006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a:extLst>
            <a:ext uri="{FF2B5EF4-FFF2-40B4-BE49-F238E27FC236}">
              <a16:creationId xmlns:a16="http://schemas.microsoft.com/office/drawing/2014/main" id="{00000000-0008-0000-0400-00006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a:extLst>
            <a:ext uri="{FF2B5EF4-FFF2-40B4-BE49-F238E27FC236}">
              <a16:creationId xmlns:a16="http://schemas.microsoft.com/office/drawing/2014/main" id="{00000000-0008-0000-0400-00006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a:extLst>
            <a:ext uri="{FF2B5EF4-FFF2-40B4-BE49-F238E27FC236}">
              <a16:creationId xmlns:a16="http://schemas.microsoft.com/office/drawing/2014/main" id="{00000000-0008-0000-0400-00007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a:extLst>
            <a:ext uri="{FF2B5EF4-FFF2-40B4-BE49-F238E27FC236}">
              <a16:creationId xmlns:a16="http://schemas.microsoft.com/office/drawing/2014/main" id="{00000000-0008-0000-0400-00007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a:extLst>
            <a:ext uri="{FF2B5EF4-FFF2-40B4-BE49-F238E27FC236}">
              <a16:creationId xmlns:a16="http://schemas.microsoft.com/office/drawing/2014/main" id="{00000000-0008-0000-0400-00007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a:extLst>
            <a:ext uri="{FF2B5EF4-FFF2-40B4-BE49-F238E27FC236}">
              <a16:creationId xmlns:a16="http://schemas.microsoft.com/office/drawing/2014/main" id="{00000000-0008-0000-0400-00007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a:extLst>
            <a:ext uri="{FF2B5EF4-FFF2-40B4-BE49-F238E27FC236}">
              <a16:creationId xmlns:a16="http://schemas.microsoft.com/office/drawing/2014/main" id="{00000000-0008-0000-0400-00007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a:extLst>
            <a:ext uri="{FF2B5EF4-FFF2-40B4-BE49-F238E27FC236}">
              <a16:creationId xmlns:a16="http://schemas.microsoft.com/office/drawing/2014/main" id="{00000000-0008-0000-0400-00007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a:extLst>
            <a:ext uri="{FF2B5EF4-FFF2-40B4-BE49-F238E27FC236}">
              <a16:creationId xmlns:a16="http://schemas.microsoft.com/office/drawing/2014/main" id="{00000000-0008-0000-0400-00007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a:extLst>
            <a:ext uri="{FF2B5EF4-FFF2-40B4-BE49-F238E27FC236}">
              <a16:creationId xmlns:a16="http://schemas.microsoft.com/office/drawing/2014/main" id="{00000000-0008-0000-0400-00007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a:extLst>
            <a:ext uri="{FF2B5EF4-FFF2-40B4-BE49-F238E27FC236}">
              <a16:creationId xmlns:a16="http://schemas.microsoft.com/office/drawing/2014/main" id="{00000000-0008-0000-0400-00007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a:extLst>
            <a:ext uri="{FF2B5EF4-FFF2-40B4-BE49-F238E27FC236}">
              <a16:creationId xmlns:a16="http://schemas.microsoft.com/office/drawing/2014/main" id="{00000000-0008-0000-0400-00007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a:extLst>
            <a:ext uri="{FF2B5EF4-FFF2-40B4-BE49-F238E27FC236}">
              <a16:creationId xmlns:a16="http://schemas.microsoft.com/office/drawing/2014/main" id="{00000000-0008-0000-0400-00007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a:extLst>
            <a:ext uri="{FF2B5EF4-FFF2-40B4-BE49-F238E27FC236}">
              <a16:creationId xmlns:a16="http://schemas.microsoft.com/office/drawing/2014/main" id="{00000000-0008-0000-0400-00007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a:extLst>
            <a:ext uri="{FF2B5EF4-FFF2-40B4-BE49-F238E27FC236}">
              <a16:creationId xmlns:a16="http://schemas.microsoft.com/office/drawing/2014/main" id="{00000000-0008-0000-0400-00007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a:extLst>
            <a:ext uri="{FF2B5EF4-FFF2-40B4-BE49-F238E27FC236}">
              <a16:creationId xmlns:a16="http://schemas.microsoft.com/office/drawing/2014/main" id="{00000000-0008-0000-0400-00007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a:extLst>
            <a:ext uri="{FF2B5EF4-FFF2-40B4-BE49-F238E27FC236}">
              <a16:creationId xmlns:a16="http://schemas.microsoft.com/office/drawing/2014/main" id="{00000000-0008-0000-0400-00007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a:extLst>
            <a:ext uri="{FF2B5EF4-FFF2-40B4-BE49-F238E27FC236}">
              <a16:creationId xmlns:a16="http://schemas.microsoft.com/office/drawing/2014/main" id="{00000000-0008-0000-0400-00007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a:extLst>
            <a:ext uri="{FF2B5EF4-FFF2-40B4-BE49-F238E27FC236}">
              <a16:creationId xmlns:a16="http://schemas.microsoft.com/office/drawing/2014/main" id="{00000000-0008-0000-0400-00008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a:extLst>
            <a:ext uri="{FF2B5EF4-FFF2-40B4-BE49-F238E27FC236}">
              <a16:creationId xmlns:a16="http://schemas.microsoft.com/office/drawing/2014/main" id="{00000000-0008-0000-0400-00008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a:extLst>
            <a:ext uri="{FF2B5EF4-FFF2-40B4-BE49-F238E27FC236}">
              <a16:creationId xmlns:a16="http://schemas.microsoft.com/office/drawing/2014/main" id="{00000000-0008-0000-0400-00008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a:extLst>
            <a:ext uri="{FF2B5EF4-FFF2-40B4-BE49-F238E27FC236}">
              <a16:creationId xmlns:a16="http://schemas.microsoft.com/office/drawing/2014/main" id="{00000000-0008-0000-0400-00008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a:extLst>
            <a:ext uri="{FF2B5EF4-FFF2-40B4-BE49-F238E27FC236}">
              <a16:creationId xmlns:a16="http://schemas.microsoft.com/office/drawing/2014/main" id="{00000000-0008-0000-0400-00008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a:extLst>
            <a:ext uri="{FF2B5EF4-FFF2-40B4-BE49-F238E27FC236}">
              <a16:creationId xmlns:a16="http://schemas.microsoft.com/office/drawing/2014/main" id="{00000000-0008-0000-0400-00008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a:extLst>
            <a:ext uri="{FF2B5EF4-FFF2-40B4-BE49-F238E27FC236}">
              <a16:creationId xmlns:a16="http://schemas.microsoft.com/office/drawing/2014/main" id="{00000000-0008-0000-0400-00008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a:extLst>
            <a:ext uri="{FF2B5EF4-FFF2-40B4-BE49-F238E27FC236}">
              <a16:creationId xmlns:a16="http://schemas.microsoft.com/office/drawing/2014/main" id="{00000000-0008-0000-0400-00008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a:extLst>
            <a:ext uri="{FF2B5EF4-FFF2-40B4-BE49-F238E27FC236}">
              <a16:creationId xmlns:a16="http://schemas.microsoft.com/office/drawing/2014/main" id="{00000000-0008-0000-0400-00008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a:extLst>
            <a:ext uri="{FF2B5EF4-FFF2-40B4-BE49-F238E27FC236}">
              <a16:creationId xmlns:a16="http://schemas.microsoft.com/office/drawing/2014/main" id="{00000000-0008-0000-0400-00008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a:extLst>
            <a:ext uri="{FF2B5EF4-FFF2-40B4-BE49-F238E27FC236}">
              <a16:creationId xmlns:a16="http://schemas.microsoft.com/office/drawing/2014/main" id="{00000000-0008-0000-0400-00008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a:extLst>
            <a:ext uri="{FF2B5EF4-FFF2-40B4-BE49-F238E27FC236}">
              <a16:creationId xmlns:a16="http://schemas.microsoft.com/office/drawing/2014/main" id="{00000000-0008-0000-0400-00008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a:extLst>
            <a:ext uri="{FF2B5EF4-FFF2-40B4-BE49-F238E27FC236}">
              <a16:creationId xmlns:a16="http://schemas.microsoft.com/office/drawing/2014/main" id="{00000000-0008-0000-0400-00008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a:extLst>
            <a:ext uri="{FF2B5EF4-FFF2-40B4-BE49-F238E27FC236}">
              <a16:creationId xmlns:a16="http://schemas.microsoft.com/office/drawing/2014/main" id="{00000000-0008-0000-0400-00008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a:extLst>
            <a:ext uri="{FF2B5EF4-FFF2-40B4-BE49-F238E27FC236}">
              <a16:creationId xmlns:a16="http://schemas.microsoft.com/office/drawing/2014/main" id="{00000000-0008-0000-0400-00008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a:extLst>
            <a:ext uri="{FF2B5EF4-FFF2-40B4-BE49-F238E27FC236}">
              <a16:creationId xmlns:a16="http://schemas.microsoft.com/office/drawing/2014/main" id="{00000000-0008-0000-0400-00008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a:extLst>
            <a:ext uri="{FF2B5EF4-FFF2-40B4-BE49-F238E27FC236}">
              <a16:creationId xmlns:a16="http://schemas.microsoft.com/office/drawing/2014/main" id="{00000000-0008-0000-0400-00009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a:extLst>
            <a:ext uri="{FF2B5EF4-FFF2-40B4-BE49-F238E27FC236}">
              <a16:creationId xmlns:a16="http://schemas.microsoft.com/office/drawing/2014/main" id="{00000000-0008-0000-0400-00009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a:extLst>
            <a:ext uri="{FF2B5EF4-FFF2-40B4-BE49-F238E27FC236}">
              <a16:creationId xmlns:a16="http://schemas.microsoft.com/office/drawing/2014/main" id="{00000000-0008-0000-0400-00009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a:extLst>
            <a:ext uri="{FF2B5EF4-FFF2-40B4-BE49-F238E27FC236}">
              <a16:creationId xmlns:a16="http://schemas.microsoft.com/office/drawing/2014/main" id="{00000000-0008-0000-0400-00009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a:extLst>
            <a:ext uri="{FF2B5EF4-FFF2-40B4-BE49-F238E27FC236}">
              <a16:creationId xmlns:a16="http://schemas.microsoft.com/office/drawing/2014/main" id="{00000000-0008-0000-0400-00009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a:extLst>
            <a:ext uri="{FF2B5EF4-FFF2-40B4-BE49-F238E27FC236}">
              <a16:creationId xmlns:a16="http://schemas.microsoft.com/office/drawing/2014/main" id="{00000000-0008-0000-0400-00009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a:extLst>
            <a:ext uri="{FF2B5EF4-FFF2-40B4-BE49-F238E27FC236}">
              <a16:creationId xmlns:a16="http://schemas.microsoft.com/office/drawing/2014/main" id="{00000000-0008-0000-0400-00009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a:extLst>
            <a:ext uri="{FF2B5EF4-FFF2-40B4-BE49-F238E27FC236}">
              <a16:creationId xmlns:a16="http://schemas.microsoft.com/office/drawing/2014/main" id="{00000000-0008-0000-0400-00009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a:extLst>
            <a:ext uri="{FF2B5EF4-FFF2-40B4-BE49-F238E27FC236}">
              <a16:creationId xmlns:a16="http://schemas.microsoft.com/office/drawing/2014/main" id="{00000000-0008-0000-0400-00009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a:extLst>
            <a:ext uri="{FF2B5EF4-FFF2-40B4-BE49-F238E27FC236}">
              <a16:creationId xmlns:a16="http://schemas.microsoft.com/office/drawing/2014/main" id="{00000000-0008-0000-0400-00009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a:extLst>
            <a:ext uri="{FF2B5EF4-FFF2-40B4-BE49-F238E27FC236}">
              <a16:creationId xmlns:a16="http://schemas.microsoft.com/office/drawing/2014/main" id="{00000000-0008-0000-0400-00009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a:extLst>
            <a:ext uri="{FF2B5EF4-FFF2-40B4-BE49-F238E27FC236}">
              <a16:creationId xmlns:a16="http://schemas.microsoft.com/office/drawing/2014/main" id="{00000000-0008-0000-0400-00009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a:extLst>
            <a:ext uri="{FF2B5EF4-FFF2-40B4-BE49-F238E27FC236}">
              <a16:creationId xmlns:a16="http://schemas.microsoft.com/office/drawing/2014/main" id="{00000000-0008-0000-0400-00009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a:extLst>
            <a:ext uri="{FF2B5EF4-FFF2-40B4-BE49-F238E27FC236}">
              <a16:creationId xmlns:a16="http://schemas.microsoft.com/office/drawing/2014/main" id="{00000000-0008-0000-0400-00009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a:extLst>
            <a:ext uri="{FF2B5EF4-FFF2-40B4-BE49-F238E27FC236}">
              <a16:creationId xmlns:a16="http://schemas.microsoft.com/office/drawing/2014/main" id="{00000000-0008-0000-0400-00009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a:extLst>
            <a:ext uri="{FF2B5EF4-FFF2-40B4-BE49-F238E27FC236}">
              <a16:creationId xmlns:a16="http://schemas.microsoft.com/office/drawing/2014/main" id="{00000000-0008-0000-0400-00009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a:extLst>
            <a:ext uri="{FF2B5EF4-FFF2-40B4-BE49-F238E27FC236}">
              <a16:creationId xmlns:a16="http://schemas.microsoft.com/office/drawing/2014/main" id="{00000000-0008-0000-0400-0000A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a:extLst>
            <a:ext uri="{FF2B5EF4-FFF2-40B4-BE49-F238E27FC236}">
              <a16:creationId xmlns:a16="http://schemas.microsoft.com/office/drawing/2014/main" id="{00000000-0008-0000-0400-0000A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a:extLst>
            <a:ext uri="{FF2B5EF4-FFF2-40B4-BE49-F238E27FC236}">
              <a16:creationId xmlns:a16="http://schemas.microsoft.com/office/drawing/2014/main" id="{00000000-0008-0000-0400-0000A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a:extLst>
            <a:ext uri="{FF2B5EF4-FFF2-40B4-BE49-F238E27FC236}">
              <a16:creationId xmlns:a16="http://schemas.microsoft.com/office/drawing/2014/main" id="{00000000-0008-0000-0400-0000A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a:extLst>
            <a:ext uri="{FF2B5EF4-FFF2-40B4-BE49-F238E27FC236}">
              <a16:creationId xmlns:a16="http://schemas.microsoft.com/office/drawing/2014/main" id="{00000000-0008-0000-0400-0000A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a:extLst>
            <a:ext uri="{FF2B5EF4-FFF2-40B4-BE49-F238E27FC236}">
              <a16:creationId xmlns:a16="http://schemas.microsoft.com/office/drawing/2014/main" id="{00000000-0008-0000-0400-0000A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a:extLst>
            <a:ext uri="{FF2B5EF4-FFF2-40B4-BE49-F238E27FC236}">
              <a16:creationId xmlns:a16="http://schemas.microsoft.com/office/drawing/2014/main" id="{00000000-0008-0000-0400-0000A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a:extLst>
            <a:ext uri="{FF2B5EF4-FFF2-40B4-BE49-F238E27FC236}">
              <a16:creationId xmlns:a16="http://schemas.microsoft.com/office/drawing/2014/main" id="{00000000-0008-0000-0400-0000A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a:extLst>
            <a:ext uri="{FF2B5EF4-FFF2-40B4-BE49-F238E27FC236}">
              <a16:creationId xmlns:a16="http://schemas.microsoft.com/office/drawing/2014/main" id="{00000000-0008-0000-0400-0000A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a:extLst>
            <a:ext uri="{FF2B5EF4-FFF2-40B4-BE49-F238E27FC236}">
              <a16:creationId xmlns:a16="http://schemas.microsoft.com/office/drawing/2014/main" id="{00000000-0008-0000-0400-0000A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a:extLst>
            <a:ext uri="{FF2B5EF4-FFF2-40B4-BE49-F238E27FC236}">
              <a16:creationId xmlns:a16="http://schemas.microsoft.com/office/drawing/2014/main" id="{00000000-0008-0000-0400-0000A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a:extLst>
            <a:ext uri="{FF2B5EF4-FFF2-40B4-BE49-F238E27FC236}">
              <a16:creationId xmlns:a16="http://schemas.microsoft.com/office/drawing/2014/main" id="{00000000-0008-0000-0400-0000A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a:extLst>
            <a:ext uri="{FF2B5EF4-FFF2-40B4-BE49-F238E27FC236}">
              <a16:creationId xmlns:a16="http://schemas.microsoft.com/office/drawing/2014/main" id="{00000000-0008-0000-0400-0000A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a:extLst>
            <a:ext uri="{FF2B5EF4-FFF2-40B4-BE49-F238E27FC236}">
              <a16:creationId xmlns:a16="http://schemas.microsoft.com/office/drawing/2014/main" id="{00000000-0008-0000-0400-0000A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a:extLst>
            <a:ext uri="{FF2B5EF4-FFF2-40B4-BE49-F238E27FC236}">
              <a16:creationId xmlns:a16="http://schemas.microsoft.com/office/drawing/2014/main" id="{00000000-0008-0000-0400-0000A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a:extLst>
            <a:ext uri="{FF2B5EF4-FFF2-40B4-BE49-F238E27FC236}">
              <a16:creationId xmlns:a16="http://schemas.microsoft.com/office/drawing/2014/main" id="{00000000-0008-0000-0400-0000A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a:extLst>
            <a:ext uri="{FF2B5EF4-FFF2-40B4-BE49-F238E27FC236}">
              <a16:creationId xmlns:a16="http://schemas.microsoft.com/office/drawing/2014/main" id="{00000000-0008-0000-0400-0000B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a:extLst>
            <a:ext uri="{FF2B5EF4-FFF2-40B4-BE49-F238E27FC236}">
              <a16:creationId xmlns:a16="http://schemas.microsoft.com/office/drawing/2014/main" id="{00000000-0008-0000-0400-0000B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a:extLst>
            <a:ext uri="{FF2B5EF4-FFF2-40B4-BE49-F238E27FC236}">
              <a16:creationId xmlns:a16="http://schemas.microsoft.com/office/drawing/2014/main" id="{00000000-0008-0000-0400-0000B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a:extLst>
            <a:ext uri="{FF2B5EF4-FFF2-40B4-BE49-F238E27FC236}">
              <a16:creationId xmlns:a16="http://schemas.microsoft.com/office/drawing/2014/main" id="{00000000-0008-0000-0400-0000B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a:extLst>
            <a:ext uri="{FF2B5EF4-FFF2-40B4-BE49-F238E27FC236}">
              <a16:creationId xmlns:a16="http://schemas.microsoft.com/office/drawing/2014/main" id="{00000000-0008-0000-0400-0000B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a:extLst>
            <a:ext uri="{FF2B5EF4-FFF2-40B4-BE49-F238E27FC236}">
              <a16:creationId xmlns:a16="http://schemas.microsoft.com/office/drawing/2014/main" id="{00000000-0008-0000-0400-0000B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a:extLst>
            <a:ext uri="{FF2B5EF4-FFF2-40B4-BE49-F238E27FC236}">
              <a16:creationId xmlns:a16="http://schemas.microsoft.com/office/drawing/2014/main" id="{00000000-0008-0000-0400-0000B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a:extLst>
            <a:ext uri="{FF2B5EF4-FFF2-40B4-BE49-F238E27FC236}">
              <a16:creationId xmlns:a16="http://schemas.microsoft.com/office/drawing/2014/main" id="{00000000-0008-0000-0400-0000B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a:extLst>
            <a:ext uri="{FF2B5EF4-FFF2-40B4-BE49-F238E27FC236}">
              <a16:creationId xmlns:a16="http://schemas.microsoft.com/office/drawing/2014/main" id="{00000000-0008-0000-0400-0000B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a:extLst>
            <a:ext uri="{FF2B5EF4-FFF2-40B4-BE49-F238E27FC236}">
              <a16:creationId xmlns:a16="http://schemas.microsoft.com/office/drawing/2014/main" id="{00000000-0008-0000-0400-0000B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a:extLst>
            <a:ext uri="{FF2B5EF4-FFF2-40B4-BE49-F238E27FC236}">
              <a16:creationId xmlns:a16="http://schemas.microsoft.com/office/drawing/2014/main" id="{00000000-0008-0000-0400-0000B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a:extLst>
            <a:ext uri="{FF2B5EF4-FFF2-40B4-BE49-F238E27FC236}">
              <a16:creationId xmlns:a16="http://schemas.microsoft.com/office/drawing/2014/main" id="{00000000-0008-0000-0400-0000B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a:extLst>
            <a:ext uri="{FF2B5EF4-FFF2-40B4-BE49-F238E27FC236}">
              <a16:creationId xmlns:a16="http://schemas.microsoft.com/office/drawing/2014/main" id="{00000000-0008-0000-0400-0000B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a:extLst>
            <a:ext uri="{FF2B5EF4-FFF2-40B4-BE49-F238E27FC236}">
              <a16:creationId xmlns:a16="http://schemas.microsoft.com/office/drawing/2014/main" id="{00000000-0008-0000-0400-0000B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a:extLst>
            <a:ext uri="{FF2B5EF4-FFF2-40B4-BE49-F238E27FC236}">
              <a16:creationId xmlns:a16="http://schemas.microsoft.com/office/drawing/2014/main" id="{00000000-0008-0000-0400-0000B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a:extLst>
            <a:ext uri="{FF2B5EF4-FFF2-40B4-BE49-F238E27FC236}">
              <a16:creationId xmlns:a16="http://schemas.microsoft.com/office/drawing/2014/main" id="{00000000-0008-0000-0400-0000B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a:extLst>
            <a:ext uri="{FF2B5EF4-FFF2-40B4-BE49-F238E27FC236}">
              <a16:creationId xmlns:a16="http://schemas.microsoft.com/office/drawing/2014/main" id="{00000000-0008-0000-0400-0000C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a:extLst>
            <a:ext uri="{FF2B5EF4-FFF2-40B4-BE49-F238E27FC236}">
              <a16:creationId xmlns:a16="http://schemas.microsoft.com/office/drawing/2014/main" id="{00000000-0008-0000-0400-0000C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a:extLst>
            <a:ext uri="{FF2B5EF4-FFF2-40B4-BE49-F238E27FC236}">
              <a16:creationId xmlns:a16="http://schemas.microsoft.com/office/drawing/2014/main" id="{00000000-0008-0000-0400-0000C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a:extLst>
            <a:ext uri="{FF2B5EF4-FFF2-40B4-BE49-F238E27FC236}">
              <a16:creationId xmlns:a16="http://schemas.microsoft.com/office/drawing/2014/main" id="{00000000-0008-0000-0400-0000C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a:extLst>
            <a:ext uri="{FF2B5EF4-FFF2-40B4-BE49-F238E27FC236}">
              <a16:creationId xmlns:a16="http://schemas.microsoft.com/office/drawing/2014/main" id="{00000000-0008-0000-0400-0000C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a:extLst>
            <a:ext uri="{FF2B5EF4-FFF2-40B4-BE49-F238E27FC236}">
              <a16:creationId xmlns:a16="http://schemas.microsoft.com/office/drawing/2014/main" id="{00000000-0008-0000-0400-0000C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a:extLst>
            <a:ext uri="{FF2B5EF4-FFF2-40B4-BE49-F238E27FC236}">
              <a16:creationId xmlns:a16="http://schemas.microsoft.com/office/drawing/2014/main" id="{00000000-0008-0000-0400-0000C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a:extLst>
            <a:ext uri="{FF2B5EF4-FFF2-40B4-BE49-F238E27FC236}">
              <a16:creationId xmlns:a16="http://schemas.microsoft.com/office/drawing/2014/main" id="{00000000-0008-0000-0400-0000C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a:extLst>
            <a:ext uri="{FF2B5EF4-FFF2-40B4-BE49-F238E27FC236}">
              <a16:creationId xmlns:a16="http://schemas.microsoft.com/office/drawing/2014/main" id="{00000000-0008-0000-0400-0000C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a:extLst>
            <a:ext uri="{FF2B5EF4-FFF2-40B4-BE49-F238E27FC236}">
              <a16:creationId xmlns:a16="http://schemas.microsoft.com/office/drawing/2014/main" id="{00000000-0008-0000-0400-0000C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a:extLst>
            <a:ext uri="{FF2B5EF4-FFF2-40B4-BE49-F238E27FC236}">
              <a16:creationId xmlns:a16="http://schemas.microsoft.com/office/drawing/2014/main" id="{00000000-0008-0000-0400-0000C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a:extLst>
            <a:ext uri="{FF2B5EF4-FFF2-40B4-BE49-F238E27FC236}">
              <a16:creationId xmlns:a16="http://schemas.microsoft.com/office/drawing/2014/main" id="{00000000-0008-0000-0400-0000C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a:extLst>
            <a:ext uri="{FF2B5EF4-FFF2-40B4-BE49-F238E27FC236}">
              <a16:creationId xmlns:a16="http://schemas.microsoft.com/office/drawing/2014/main" id="{00000000-0008-0000-0400-0000C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a:extLst>
            <a:ext uri="{FF2B5EF4-FFF2-40B4-BE49-F238E27FC236}">
              <a16:creationId xmlns:a16="http://schemas.microsoft.com/office/drawing/2014/main" id="{00000000-0008-0000-0400-0000C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a:extLst>
            <a:ext uri="{FF2B5EF4-FFF2-40B4-BE49-F238E27FC236}">
              <a16:creationId xmlns:a16="http://schemas.microsoft.com/office/drawing/2014/main" id="{00000000-0008-0000-0400-0000C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a:extLst>
            <a:ext uri="{FF2B5EF4-FFF2-40B4-BE49-F238E27FC236}">
              <a16:creationId xmlns:a16="http://schemas.microsoft.com/office/drawing/2014/main" id="{00000000-0008-0000-0400-0000C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a:extLst>
            <a:ext uri="{FF2B5EF4-FFF2-40B4-BE49-F238E27FC236}">
              <a16:creationId xmlns:a16="http://schemas.microsoft.com/office/drawing/2014/main" id="{00000000-0008-0000-0400-0000D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a:extLst>
            <a:ext uri="{FF2B5EF4-FFF2-40B4-BE49-F238E27FC236}">
              <a16:creationId xmlns:a16="http://schemas.microsoft.com/office/drawing/2014/main" id="{00000000-0008-0000-0400-0000D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a:extLst>
            <a:ext uri="{FF2B5EF4-FFF2-40B4-BE49-F238E27FC236}">
              <a16:creationId xmlns:a16="http://schemas.microsoft.com/office/drawing/2014/main" id="{00000000-0008-0000-0400-0000D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a:extLst>
            <a:ext uri="{FF2B5EF4-FFF2-40B4-BE49-F238E27FC236}">
              <a16:creationId xmlns:a16="http://schemas.microsoft.com/office/drawing/2014/main" id="{00000000-0008-0000-0400-0000D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a:extLst>
            <a:ext uri="{FF2B5EF4-FFF2-40B4-BE49-F238E27FC236}">
              <a16:creationId xmlns:a16="http://schemas.microsoft.com/office/drawing/2014/main" id="{00000000-0008-0000-0400-0000D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a:extLst>
            <a:ext uri="{FF2B5EF4-FFF2-40B4-BE49-F238E27FC236}">
              <a16:creationId xmlns:a16="http://schemas.microsoft.com/office/drawing/2014/main" id="{00000000-0008-0000-0400-0000D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a:extLst>
            <a:ext uri="{FF2B5EF4-FFF2-40B4-BE49-F238E27FC236}">
              <a16:creationId xmlns:a16="http://schemas.microsoft.com/office/drawing/2014/main" id="{00000000-0008-0000-0400-0000D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a:extLst>
            <a:ext uri="{FF2B5EF4-FFF2-40B4-BE49-F238E27FC236}">
              <a16:creationId xmlns:a16="http://schemas.microsoft.com/office/drawing/2014/main" id="{00000000-0008-0000-0400-0000D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a:extLst>
            <a:ext uri="{FF2B5EF4-FFF2-40B4-BE49-F238E27FC236}">
              <a16:creationId xmlns:a16="http://schemas.microsoft.com/office/drawing/2014/main" id="{00000000-0008-0000-0400-0000D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a:extLst>
            <a:ext uri="{FF2B5EF4-FFF2-40B4-BE49-F238E27FC236}">
              <a16:creationId xmlns:a16="http://schemas.microsoft.com/office/drawing/2014/main" id="{00000000-0008-0000-0400-0000D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a:extLst>
            <a:ext uri="{FF2B5EF4-FFF2-40B4-BE49-F238E27FC236}">
              <a16:creationId xmlns:a16="http://schemas.microsoft.com/office/drawing/2014/main" id="{00000000-0008-0000-0400-0000D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a:extLst>
            <a:ext uri="{FF2B5EF4-FFF2-40B4-BE49-F238E27FC236}">
              <a16:creationId xmlns:a16="http://schemas.microsoft.com/office/drawing/2014/main" id="{00000000-0008-0000-0400-0000D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a:extLst>
            <a:ext uri="{FF2B5EF4-FFF2-40B4-BE49-F238E27FC236}">
              <a16:creationId xmlns:a16="http://schemas.microsoft.com/office/drawing/2014/main" id="{00000000-0008-0000-0400-0000D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a:extLst>
            <a:ext uri="{FF2B5EF4-FFF2-40B4-BE49-F238E27FC236}">
              <a16:creationId xmlns:a16="http://schemas.microsoft.com/office/drawing/2014/main" id="{00000000-0008-0000-0400-0000D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a:extLst>
            <a:ext uri="{FF2B5EF4-FFF2-40B4-BE49-F238E27FC236}">
              <a16:creationId xmlns:a16="http://schemas.microsoft.com/office/drawing/2014/main" id="{00000000-0008-0000-0400-0000D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a:extLst>
            <a:ext uri="{FF2B5EF4-FFF2-40B4-BE49-F238E27FC236}">
              <a16:creationId xmlns:a16="http://schemas.microsoft.com/office/drawing/2014/main" id="{00000000-0008-0000-0400-0000D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a:extLst>
            <a:ext uri="{FF2B5EF4-FFF2-40B4-BE49-F238E27FC236}">
              <a16:creationId xmlns:a16="http://schemas.microsoft.com/office/drawing/2014/main" id="{00000000-0008-0000-0400-0000E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a:extLst>
            <a:ext uri="{FF2B5EF4-FFF2-40B4-BE49-F238E27FC236}">
              <a16:creationId xmlns:a16="http://schemas.microsoft.com/office/drawing/2014/main" id="{00000000-0008-0000-0400-0000E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a:extLst>
            <a:ext uri="{FF2B5EF4-FFF2-40B4-BE49-F238E27FC236}">
              <a16:creationId xmlns:a16="http://schemas.microsoft.com/office/drawing/2014/main" id="{00000000-0008-0000-0400-0000E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a:extLst>
            <a:ext uri="{FF2B5EF4-FFF2-40B4-BE49-F238E27FC236}">
              <a16:creationId xmlns:a16="http://schemas.microsoft.com/office/drawing/2014/main" id="{00000000-0008-0000-0400-0000E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a:extLst>
            <a:ext uri="{FF2B5EF4-FFF2-40B4-BE49-F238E27FC236}">
              <a16:creationId xmlns:a16="http://schemas.microsoft.com/office/drawing/2014/main" id="{00000000-0008-0000-0400-0000E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a:extLst>
            <a:ext uri="{FF2B5EF4-FFF2-40B4-BE49-F238E27FC236}">
              <a16:creationId xmlns:a16="http://schemas.microsoft.com/office/drawing/2014/main" id="{00000000-0008-0000-0400-0000E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a:extLst>
            <a:ext uri="{FF2B5EF4-FFF2-40B4-BE49-F238E27FC236}">
              <a16:creationId xmlns:a16="http://schemas.microsoft.com/office/drawing/2014/main" id="{00000000-0008-0000-0400-0000E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a:extLst>
            <a:ext uri="{FF2B5EF4-FFF2-40B4-BE49-F238E27FC236}">
              <a16:creationId xmlns:a16="http://schemas.microsoft.com/office/drawing/2014/main" id="{00000000-0008-0000-0400-0000E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a:extLst>
            <a:ext uri="{FF2B5EF4-FFF2-40B4-BE49-F238E27FC236}">
              <a16:creationId xmlns:a16="http://schemas.microsoft.com/office/drawing/2014/main" id="{00000000-0008-0000-0400-0000E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a:extLst>
            <a:ext uri="{FF2B5EF4-FFF2-40B4-BE49-F238E27FC236}">
              <a16:creationId xmlns:a16="http://schemas.microsoft.com/office/drawing/2014/main" id="{00000000-0008-0000-0400-0000E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a:extLst>
            <a:ext uri="{FF2B5EF4-FFF2-40B4-BE49-F238E27FC236}">
              <a16:creationId xmlns:a16="http://schemas.microsoft.com/office/drawing/2014/main" id="{00000000-0008-0000-0400-0000E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a:extLst>
            <a:ext uri="{FF2B5EF4-FFF2-40B4-BE49-F238E27FC236}">
              <a16:creationId xmlns:a16="http://schemas.microsoft.com/office/drawing/2014/main" id="{00000000-0008-0000-0400-0000E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a:extLst>
            <a:ext uri="{FF2B5EF4-FFF2-40B4-BE49-F238E27FC236}">
              <a16:creationId xmlns:a16="http://schemas.microsoft.com/office/drawing/2014/main" id="{00000000-0008-0000-0400-0000E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a:extLst>
            <a:ext uri="{FF2B5EF4-FFF2-40B4-BE49-F238E27FC236}">
              <a16:creationId xmlns:a16="http://schemas.microsoft.com/office/drawing/2014/main" id="{00000000-0008-0000-0400-0000E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a:extLst>
            <a:ext uri="{FF2B5EF4-FFF2-40B4-BE49-F238E27FC236}">
              <a16:creationId xmlns:a16="http://schemas.microsoft.com/office/drawing/2014/main" id="{00000000-0008-0000-0400-0000E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a:extLst>
            <a:ext uri="{FF2B5EF4-FFF2-40B4-BE49-F238E27FC236}">
              <a16:creationId xmlns:a16="http://schemas.microsoft.com/office/drawing/2014/main" id="{00000000-0008-0000-0400-0000E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a:extLst>
            <a:ext uri="{FF2B5EF4-FFF2-40B4-BE49-F238E27FC236}">
              <a16:creationId xmlns:a16="http://schemas.microsoft.com/office/drawing/2014/main" id="{00000000-0008-0000-0400-0000F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a:extLst>
            <a:ext uri="{FF2B5EF4-FFF2-40B4-BE49-F238E27FC236}">
              <a16:creationId xmlns:a16="http://schemas.microsoft.com/office/drawing/2014/main" id="{00000000-0008-0000-0400-0000F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a:extLst>
            <a:ext uri="{FF2B5EF4-FFF2-40B4-BE49-F238E27FC236}">
              <a16:creationId xmlns:a16="http://schemas.microsoft.com/office/drawing/2014/main" id="{00000000-0008-0000-0400-0000F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a:extLst>
            <a:ext uri="{FF2B5EF4-FFF2-40B4-BE49-F238E27FC236}">
              <a16:creationId xmlns:a16="http://schemas.microsoft.com/office/drawing/2014/main" id="{00000000-0008-0000-0400-0000F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a:extLst>
            <a:ext uri="{FF2B5EF4-FFF2-40B4-BE49-F238E27FC236}">
              <a16:creationId xmlns:a16="http://schemas.microsoft.com/office/drawing/2014/main" id="{00000000-0008-0000-0400-0000F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a:extLst>
            <a:ext uri="{FF2B5EF4-FFF2-40B4-BE49-F238E27FC236}">
              <a16:creationId xmlns:a16="http://schemas.microsoft.com/office/drawing/2014/main" id="{00000000-0008-0000-0400-0000F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a:extLst>
            <a:ext uri="{FF2B5EF4-FFF2-40B4-BE49-F238E27FC236}">
              <a16:creationId xmlns:a16="http://schemas.microsoft.com/office/drawing/2014/main" id="{00000000-0008-0000-0400-0000F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a:extLst>
            <a:ext uri="{FF2B5EF4-FFF2-40B4-BE49-F238E27FC236}">
              <a16:creationId xmlns:a16="http://schemas.microsoft.com/office/drawing/2014/main" id="{00000000-0008-0000-0400-0000F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a:extLst>
            <a:ext uri="{FF2B5EF4-FFF2-40B4-BE49-F238E27FC236}">
              <a16:creationId xmlns:a16="http://schemas.microsoft.com/office/drawing/2014/main" id="{00000000-0008-0000-0400-0000F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a:extLst>
            <a:ext uri="{FF2B5EF4-FFF2-40B4-BE49-F238E27FC236}">
              <a16:creationId xmlns:a16="http://schemas.microsoft.com/office/drawing/2014/main" id="{00000000-0008-0000-0400-0000F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a:extLst>
            <a:ext uri="{FF2B5EF4-FFF2-40B4-BE49-F238E27FC236}">
              <a16:creationId xmlns:a16="http://schemas.microsoft.com/office/drawing/2014/main" id="{00000000-0008-0000-0400-0000F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a:extLst>
            <a:ext uri="{FF2B5EF4-FFF2-40B4-BE49-F238E27FC236}">
              <a16:creationId xmlns:a16="http://schemas.microsoft.com/office/drawing/2014/main" id="{00000000-0008-0000-0400-0000F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a:extLst>
            <a:ext uri="{FF2B5EF4-FFF2-40B4-BE49-F238E27FC236}">
              <a16:creationId xmlns:a16="http://schemas.microsoft.com/office/drawing/2014/main" id="{00000000-0008-0000-0400-0000F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a:extLst>
            <a:ext uri="{FF2B5EF4-FFF2-40B4-BE49-F238E27FC236}">
              <a16:creationId xmlns:a16="http://schemas.microsoft.com/office/drawing/2014/main" id="{00000000-0008-0000-0400-0000F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a:extLst>
            <a:ext uri="{FF2B5EF4-FFF2-40B4-BE49-F238E27FC236}">
              <a16:creationId xmlns:a16="http://schemas.microsoft.com/office/drawing/2014/main" id="{00000000-0008-0000-0400-0000F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a:extLst>
            <a:ext uri="{FF2B5EF4-FFF2-40B4-BE49-F238E27FC236}">
              <a16:creationId xmlns:a16="http://schemas.microsoft.com/office/drawing/2014/main" id="{00000000-0008-0000-0400-0000F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a:extLst>
            <a:ext uri="{FF2B5EF4-FFF2-40B4-BE49-F238E27FC236}">
              <a16:creationId xmlns:a16="http://schemas.microsoft.com/office/drawing/2014/main" id="{00000000-0008-0000-0400-00000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a:extLst>
            <a:ext uri="{FF2B5EF4-FFF2-40B4-BE49-F238E27FC236}">
              <a16:creationId xmlns:a16="http://schemas.microsoft.com/office/drawing/2014/main" id="{00000000-0008-0000-0400-00000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a:extLst>
            <a:ext uri="{FF2B5EF4-FFF2-40B4-BE49-F238E27FC236}">
              <a16:creationId xmlns:a16="http://schemas.microsoft.com/office/drawing/2014/main" id="{00000000-0008-0000-0400-00000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a:extLst>
            <a:ext uri="{FF2B5EF4-FFF2-40B4-BE49-F238E27FC236}">
              <a16:creationId xmlns:a16="http://schemas.microsoft.com/office/drawing/2014/main" id="{00000000-0008-0000-0400-00000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a:extLst>
            <a:ext uri="{FF2B5EF4-FFF2-40B4-BE49-F238E27FC236}">
              <a16:creationId xmlns:a16="http://schemas.microsoft.com/office/drawing/2014/main" id="{00000000-0008-0000-0400-00000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a:extLst>
            <a:ext uri="{FF2B5EF4-FFF2-40B4-BE49-F238E27FC236}">
              <a16:creationId xmlns:a16="http://schemas.microsoft.com/office/drawing/2014/main" id="{00000000-0008-0000-0400-00000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a:extLst>
            <a:ext uri="{FF2B5EF4-FFF2-40B4-BE49-F238E27FC236}">
              <a16:creationId xmlns:a16="http://schemas.microsoft.com/office/drawing/2014/main" id="{00000000-0008-0000-0400-00000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a:extLst>
            <a:ext uri="{FF2B5EF4-FFF2-40B4-BE49-F238E27FC236}">
              <a16:creationId xmlns:a16="http://schemas.microsoft.com/office/drawing/2014/main" id="{00000000-0008-0000-0400-00000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a:extLst>
            <a:ext uri="{FF2B5EF4-FFF2-40B4-BE49-F238E27FC236}">
              <a16:creationId xmlns:a16="http://schemas.microsoft.com/office/drawing/2014/main" id="{00000000-0008-0000-0400-00000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a:extLst>
            <a:ext uri="{FF2B5EF4-FFF2-40B4-BE49-F238E27FC236}">
              <a16:creationId xmlns:a16="http://schemas.microsoft.com/office/drawing/2014/main" id="{00000000-0008-0000-0400-00000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a:extLst>
            <a:ext uri="{FF2B5EF4-FFF2-40B4-BE49-F238E27FC236}">
              <a16:creationId xmlns:a16="http://schemas.microsoft.com/office/drawing/2014/main" id="{00000000-0008-0000-0400-00000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a:extLst>
            <a:ext uri="{FF2B5EF4-FFF2-40B4-BE49-F238E27FC236}">
              <a16:creationId xmlns:a16="http://schemas.microsoft.com/office/drawing/2014/main" id="{00000000-0008-0000-0400-00000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a:extLst>
            <a:ext uri="{FF2B5EF4-FFF2-40B4-BE49-F238E27FC236}">
              <a16:creationId xmlns:a16="http://schemas.microsoft.com/office/drawing/2014/main" id="{00000000-0008-0000-0400-00000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a:extLst>
            <a:ext uri="{FF2B5EF4-FFF2-40B4-BE49-F238E27FC236}">
              <a16:creationId xmlns:a16="http://schemas.microsoft.com/office/drawing/2014/main" id="{00000000-0008-0000-0400-00000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a:extLst>
            <a:ext uri="{FF2B5EF4-FFF2-40B4-BE49-F238E27FC236}">
              <a16:creationId xmlns:a16="http://schemas.microsoft.com/office/drawing/2014/main" id="{00000000-0008-0000-0400-00000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a:extLst>
            <a:ext uri="{FF2B5EF4-FFF2-40B4-BE49-F238E27FC236}">
              <a16:creationId xmlns:a16="http://schemas.microsoft.com/office/drawing/2014/main" id="{00000000-0008-0000-0400-00000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a:extLst>
            <a:ext uri="{FF2B5EF4-FFF2-40B4-BE49-F238E27FC236}">
              <a16:creationId xmlns:a16="http://schemas.microsoft.com/office/drawing/2014/main" id="{00000000-0008-0000-0400-00001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a:extLst>
            <a:ext uri="{FF2B5EF4-FFF2-40B4-BE49-F238E27FC236}">
              <a16:creationId xmlns:a16="http://schemas.microsoft.com/office/drawing/2014/main" id="{00000000-0008-0000-0400-00001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a:extLst>
            <a:ext uri="{FF2B5EF4-FFF2-40B4-BE49-F238E27FC236}">
              <a16:creationId xmlns:a16="http://schemas.microsoft.com/office/drawing/2014/main" id="{00000000-0008-0000-0400-00001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a:extLst>
            <a:ext uri="{FF2B5EF4-FFF2-40B4-BE49-F238E27FC236}">
              <a16:creationId xmlns:a16="http://schemas.microsoft.com/office/drawing/2014/main" id="{00000000-0008-0000-0400-00001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a:extLst>
            <a:ext uri="{FF2B5EF4-FFF2-40B4-BE49-F238E27FC236}">
              <a16:creationId xmlns:a16="http://schemas.microsoft.com/office/drawing/2014/main" id="{00000000-0008-0000-0400-00001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a:extLst>
            <a:ext uri="{FF2B5EF4-FFF2-40B4-BE49-F238E27FC236}">
              <a16:creationId xmlns:a16="http://schemas.microsoft.com/office/drawing/2014/main" id="{00000000-0008-0000-0400-00001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a:extLst>
            <a:ext uri="{FF2B5EF4-FFF2-40B4-BE49-F238E27FC236}">
              <a16:creationId xmlns:a16="http://schemas.microsoft.com/office/drawing/2014/main" id="{00000000-0008-0000-0400-00001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a:extLst>
            <a:ext uri="{FF2B5EF4-FFF2-40B4-BE49-F238E27FC236}">
              <a16:creationId xmlns:a16="http://schemas.microsoft.com/office/drawing/2014/main" id="{00000000-0008-0000-0400-00001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a:extLst>
            <a:ext uri="{FF2B5EF4-FFF2-40B4-BE49-F238E27FC236}">
              <a16:creationId xmlns:a16="http://schemas.microsoft.com/office/drawing/2014/main" id="{00000000-0008-0000-0400-00001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a:extLst>
            <a:ext uri="{FF2B5EF4-FFF2-40B4-BE49-F238E27FC236}">
              <a16:creationId xmlns:a16="http://schemas.microsoft.com/office/drawing/2014/main" id="{00000000-0008-0000-0400-00001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a:extLst>
            <a:ext uri="{FF2B5EF4-FFF2-40B4-BE49-F238E27FC236}">
              <a16:creationId xmlns:a16="http://schemas.microsoft.com/office/drawing/2014/main" id="{00000000-0008-0000-0400-00001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a:extLst>
            <a:ext uri="{FF2B5EF4-FFF2-40B4-BE49-F238E27FC236}">
              <a16:creationId xmlns:a16="http://schemas.microsoft.com/office/drawing/2014/main" id="{00000000-0008-0000-0400-00001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a:extLst>
            <a:ext uri="{FF2B5EF4-FFF2-40B4-BE49-F238E27FC236}">
              <a16:creationId xmlns:a16="http://schemas.microsoft.com/office/drawing/2014/main" id="{00000000-0008-0000-0400-00001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a:extLst>
            <a:ext uri="{FF2B5EF4-FFF2-40B4-BE49-F238E27FC236}">
              <a16:creationId xmlns:a16="http://schemas.microsoft.com/office/drawing/2014/main" id="{00000000-0008-0000-0400-00001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a:extLst>
            <a:ext uri="{FF2B5EF4-FFF2-40B4-BE49-F238E27FC236}">
              <a16:creationId xmlns:a16="http://schemas.microsoft.com/office/drawing/2014/main" id="{00000000-0008-0000-0400-00001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a:extLst>
            <a:ext uri="{FF2B5EF4-FFF2-40B4-BE49-F238E27FC236}">
              <a16:creationId xmlns:a16="http://schemas.microsoft.com/office/drawing/2014/main" id="{00000000-0008-0000-0400-00001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a:extLst>
            <a:ext uri="{FF2B5EF4-FFF2-40B4-BE49-F238E27FC236}">
              <a16:creationId xmlns:a16="http://schemas.microsoft.com/office/drawing/2014/main" id="{00000000-0008-0000-0400-00002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a:extLst>
            <a:ext uri="{FF2B5EF4-FFF2-40B4-BE49-F238E27FC236}">
              <a16:creationId xmlns:a16="http://schemas.microsoft.com/office/drawing/2014/main" id="{00000000-0008-0000-0400-00002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a:extLst>
            <a:ext uri="{FF2B5EF4-FFF2-40B4-BE49-F238E27FC236}">
              <a16:creationId xmlns:a16="http://schemas.microsoft.com/office/drawing/2014/main" id="{00000000-0008-0000-0400-00002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a:extLst>
            <a:ext uri="{FF2B5EF4-FFF2-40B4-BE49-F238E27FC236}">
              <a16:creationId xmlns:a16="http://schemas.microsoft.com/office/drawing/2014/main" id="{00000000-0008-0000-0400-00002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a:extLst>
            <a:ext uri="{FF2B5EF4-FFF2-40B4-BE49-F238E27FC236}">
              <a16:creationId xmlns:a16="http://schemas.microsoft.com/office/drawing/2014/main" id="{00000000-0008-0000-0400-00002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a:extLst>
            <a:ext uri="{FF2B5EF4-FFF2-40B4-BE49-F238E27FC236}">
              <a16:creationId xmlns:a16="http://schemas.microsoft.com/office/drawing/2014/main" id="{00000000-0008-0000-0400-00002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a:extLst>
            <a:ext uri="{FF2B5EF4-FFF2-40B4-BE49-F238E27FC236}">
              <a16:creationId xmlns:a16="http://schemas.microsoft.com/office/drawing/2014/main" id="{00000000-0008-0000-0400-00002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a:extLst>
            <a:ext uri="{FF2B5EF4-FFF2-40B4-BE49-F238E27FC236}">
              <a16:creationId xmlns:a16="http://schemas.microsoft.com/office/drawing/2014/main" id="{00000000-0008-0000-0400-00002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a:extLst>
            <a:ext uri="{FF2B5EF4-FFF2-40B4-BE49-F238E27FC236}">
              <a16:creationId xmlns:a16="http://schemas.microsoft.com/office/drawing/2014/main" id="{00000000-0008-0000-0400-00002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a:extLst>
            <a:ext uri="{FF2B5EF4-FFF2-40B4-BE49-F238E27FC236}">
              <a16:creationId xmlns:a16="http://schemas.microsoft.com/office/drawing/2014/main" id="{00000000-0008-0000-0400-00002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a:extLst>
            <a:ext uri="{FF2B5EF4-FFF2-40B4-BE49-F238E27FC236}">
              <a16:creationId xmlns:a16="http://schemas.microsoft.com/office/drawing/2014/main" id="{00000000-0008-0000-0400-00002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a:extLst>
            <a:ext uri="{FF2B5EF4-FFF2-40B4-BE49-F238E27FC236}">
              <a16:creationId xmlns:a16="http://schemas.microsoft.com/office/drawing/2014/main" id="{00000000-0008-0000-0400-00002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a:extLst>
            <a:ext uri="{FF2B5EF4-FFF2-40B4-BE49-F238E27FC236}">
              <a16:creationId xmlns:a16="http://schemas.microsoft.com/office/drawing/2014/main" id="{00000000-0008-0000-0400-00002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a:extLst>
            <a:ext uri="{FF2B5EF4-FFF2-40B4-BE49-F238E27FC236}">
              <a16:creationId xmlns:a16="http://schemas.microsoft.com/office/drawing/2014/main" id="{00000000-0008-0000-0400-00002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a:extLst>
            <a:ext uri="{FF2B5EF4-FFF2-40B4-BE49-F238E27FC236}">
              <a16:creationId xmlns:a16="http://schemas.microsoft.com/office/drawing/2014/main" id="{00000000-0008-0000-0400-00002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a:extLst>
            <a:ext uri="{FF2B5EF4-FFF2-40B4-BE49-F238E27FC236}">
              <a16:creationId xmlns:a16="http://schemas.microsoft.com/office/drawing/2014/main" id="{00000000-0008-0000-0400-00002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a:extLst>
            <a:ext uri="{FF2B5EF4-FFF2-40B4-BE49-F238E27FC236}">
              <a16:creationId xmlns:a16="http://schemas.microsoft.com/office/drawing/2014/main" id="{00000000-0008-0000-0400-00003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a:extLst>
            <a:ext uri="{FF2B5EF4-FFF2-40B4-BE49-F238E27FC236}">
              <a16:creationId xmlns:a16="http://schemas.microsoft.com/office/drawing/2014/main" id="{00000000-0008-0000-0400-00003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a:extLst>
            <a:ext uri="{FF2B5EF4-FFF2-40B4-BE49-F238E27FC236}">
              <a16:creationId xmlns:a16="http://schemas.microsoft.com/office/drawing/2014/main" id="{00000000-0008-0000-0400-00003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a:extLst>
            <a:ext uri="{FF2B5EF4-FFF2-40B4-BE49-F238E27FC236}">
              <a16:creationId xmlns:a16="http://schemas.microsoft.com/office/drawing/2014/main" id="{00000000-0008-0000-0400-00003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a:extLst>
            <a:ext uri="{FF2B5EF4-FFF2-40B4-BE49-F238E27FC236}">
              <a16:creationId xmlns:a16="http://schemas.microsoft.com/office/drawing/2014/main" id="{00000000-0008-0000-0400-00003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a:extLst>
            <a:ext uri="{FF2B5EF4-FFF2-40B4-BE49-F238E27FC236}">
              <a16:creationId xmlns:a16="http://schemas.microsoft.com/office/drawing/2014/main" id="{00000000-0008-0000-0400-00003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a:extLst>
            <a:ext uri="{FF2B5EF4-FFF2-40B4-BE49-F238E27FC236}">
              <a16:creationId xmlns:a16="http://schemas.microsoft.com/office/drawing/2014/main" id="{00000000-0008-0000-0400-00003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a:extLst>
            <a:ext uri="{FF2B5EF4-FFF2-40B4-BE49-F238E27FC236}">
              <a16:creationId xmlns:a16="http://schemas.microsoft.com/office/drawing/2014/main" id="{00000000-0008-0000-0400-00003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a:extLst>
            <a:ext uri="{FF2B5EF4-FFF2-40B4-BE49-F238E27FC236}">
              <a16:creationId xmlns:a16="http://schemas.microsoft.com/office/drawing/2014/main" id="{00000000-0008-0000-0400-00003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a:extLst>
            <a:ext uri="{FF2B5EF4-FFF2-40B4-BE49-F238E27FC236}">
              <a16:creationId xmlns:a16="http://schemas.microsoft.com/office/drawing/2014/main" id="{00000000-0008-0000-0400-00003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a:extLst>
            <a:ext uri="{FF2B5EF4-FFF2-40B4-BE49-F238E27FC236}">
              <a16:creationId xmlns:a16="http://schemas.microsoft.com/office/drawing/2014/main" id="{00000000-0008-0000-0400-00003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a:extLst>
            <a:ext uri="{FF2B5EF4-FFF2-40B4-BE49-F238E27FC236}">
              <a16:creationId xmlns:a16="http://schemas.microsoft.com/office/drawing/2014/main" id="{00000000-0008-0000-0400-00003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a:extLst>
            <a:ext uri="{FF2B5EF4-FFF2-40B4-BE49-F238E27FC236}">
              <a16:creationId xmlns:a16="http://schemas.microsoft.com/office/drawing/2014/main" id="{00000000-0008-0000-0400-00003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a:extLst>
            <a:ext uri="{FF2B5EF4-FFF2-40B4-BE49-F238E27FC236}">
              <a16:creationId xmlns:a16="http://schemas.microsoft.com/office/drawing/2014/main" id="{00000000-0008-0000-0400-00003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a:extLst>
            <a:ext uri="{FF2B5EF4-FFF2-40B4-BE49-F238E27FC236}">
              <a16:creationId xmlns:a16="http://schemas.microsoft.com/office/drawing/2014/main" id="{00000000-0008-0000-0400-00003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a:extLst>
            <a:ext uri="{FF2B5EF4-FFF2-40B4-BE49-F238E27FC236}">
              <a16:creationId xmlns:a16="http://schemas.microsoft.com/office/drawing/2014/main" id="{00000000-0008-0000-0400-00003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a:extLst>
            <a:ext uri="{FF2B5EF4-FFF2-40B4-BE49-F238E27FC236}">
              <a16:creationId xmlns:a16="http://schemas.microsoft.com/office/drawing/2014/main" id="{00000000-0008-0000-0400-00004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a:extLst>
            <a:ext uri="{FF2B5EF4-FFF2-40B4-BE49-F238E27FC236}">
              <a16:creationId xmlns:a16="http://schemas.microsoft.com/office/drawing/2014/main" id="{00000000-0008-0000-0400-00004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a:extLst>
            <a:ext uri="{FF2B5EF4-FFF2-40B4-BE49-F238E27FC236}">
              <a16:creationId xmlns:a16="http://schemas.microsoft.com/office/drawing/2014/main" id="{00000000-0008-0000-0400-00004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a:extLst>
            <a:ext uri="{FF2B5EF4-FFF2-40B4-BE49-F238E27FC236}">
              <a16:creationId xmlns:a16="http://schemas.microsoft.com/office/drawing/2014/main" id="{00000000-0008-0000-0400-00004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a:extLst>
            <a:ext uri="{FF2B5EF4-FFF2-40B4-BE49-F238E27FC236}">
              <a16:creationId xmlns:a16="http://schemas.microsoft.com/office/drawing/2014/main" id="{00000000-0008-0000-0400-00004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a:extLst>
            <a:ext uri="{FF2B5EF4-FFF2-40B4-BE49-F238E27FC236}">
              <a16:creationId xmlns:a16="http://schemas.microsoft.com/office/drawing/2014/main" id="{00000000-0008-0000-0400-00004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a:extLst>
            <a:ext uri="{FF2B5EF4-FFF2-40B4-BE49-F238E27FC236}">
              <a16:creationId xmlns:a16="http://schemas.microsoft.com/office/drawing/2014/main" id="{00000000-0008-0000-0400-00004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a:extLst>
            <a:ext uri="{FF2B5EF4-FFF2-40B4-BE49-F238E27FC236}">
              <a16:creationId xmlns:a16="http://schemas.microsoft.com/office/drawing/2014/main" id="{00000000-0008-0000-0400-00004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a:extLst>
            <a:ext uri="{FF2B5EF4-FFF2-40B4-BE49-F238E27FC236}">
              <a16:creationId xmlns:a16="http://schemas.microsoft.com/office/drawing/2014/main" id="{00000000-0008-0000-0400-00004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a:extLst>
            <a:ext uri="{FF2B5EF4-FFF2-40B4-BE49-F238E27FC236}">
              <a16:creationId xmlns:a16="http://schemas.microsoft.com/office/drawing/2014/main" id="{00000000-0008-0000-0400-00004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a:extLst>
            <a:ext uri="{FF2B5EF4-FFF2-40B4-BE49-F238E27FC236}">
              <a16:creationId xmlns:a16="http://schemas.microsoft.com/office/drawing/2014/main" id="{00000000-0008-0000-0400-00004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a:extLst>
            <a:ext uri="{FF2B5EF4-FFF2-40B4-BE49-F238E27FC236}">
              <a16:creationId xmlns:a16="http://schemas.microsoft.com/office/drawing/2014/main" id="{00000000-0008-0000-0400-00004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a:extLst>
            <a:ext uri="{FF2B5EF4-FFF2-40B4-BE49-F238E27FC236}">
              <a16:creationId xmlns:a16="http://schemas.microsoft.com/office/drawing/2014/main" id="{00000000-0008-0000-0400-00004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a:extLst>
            <a:ext uri="{FF2B5EF4-FFF2-40B4-BE49-F238E27FC236}">
              <a16:creationId xmlns:a16="http://schemas.microsoft.com/office/drawing/2014/main" id="{00000000-0008-0000-0400-00004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a:extLst>
            <a:ext uri="{FF2B5EF4-FFF2-40B4-BE49-F238E27FC236}">
              <a16:creationId xmlns:a16="http://schemas.microsoft.com/office/drawing/2014/main" id="{00000000-0008-0000-0400-00004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a:extLst>
            <a:ext uri="{FF2B5EF4-FFF2-40B4-BE49-F238E27FC236}">
              <a16:creationId xmlns:a16="http://schemas.microsoft.com/office/drawing/2014/main" id="{00000000-0008-0000-0400-00004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a:extLst>
            <a:ext uri="{FF2B5EF4-FFF2-40B4-BE49-F238E27FC236}">
              <a16:creationId xmlns:a16="http://schemas.microsoft.com/office/drawing/2014/main" id="{00000000-0008-0000-0400-00005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a:extLst>
            <a:ext uri="{FF2B5EF4-FFF2-40B4-BE49-F238E27FC236}">
              <a16:creationId xmlns:a16="http://schemas.microsoft.com/office/drawing/2014/main" id="{00000000-0008-0000-0400-00005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a:extLst>
            <a:ext uri="{FF2B5EF4-FFF2-40B4-BE49-F238E27FC236}">
              <a16:creationId xmlns:a16="http://schemas.microsoft.com/office/drawing/2014/main" id="{00000000-0008-0000-0400-00005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a:extLst>
            <a:ext uri="{FF2B5EF4-FFF2-40B4-BE49-F238E27FC236}">
              <a16:creationId xmlns:a16="http://schemas.microsoft.com/office/drawing/2014/main" id="{00000000-0008-0000-0400-00005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a:extLst>
            <a:ext uri="{FF2B5EF4-FFF2-40B4-BE49-F238E27FC236}">
              <a16:creationId xmlns:a16="http://schemas.microsoft.com/office/drawing/2014/main" id="{00000000-0008-0000-0400-00005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a:extLst>
            <a:ext uri="{FF2B5EF4-FFF2-40B4-BE49-F238E27FC236}">
              <a16:creationId xmlns:a16="http://schemas.microsoft.com/office/drawing/2014/main" id="{00000000-0008-0000-0400-00005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a:extLst>
            <a:ext uri="{FF2B5EF4-FFF2-40B4-BE49-F238E27FC236}">
              <a16:creationId xmlns:a16="http://schemas.microsoft.com/office/drawing/2014/main" id="{00000000-0008-0000-0400-00005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a:extLst>
            <a:ext uri="{FF2B5EF4-FFF2-40B4-BE49-F238E27FC236}">
              <a16:creationId xmlns:a16="http://schemas.microsoft.com/office/drawing/2014/main" id="{00000000-0008-0000-0400-00005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a:extLst>
            <a:ext uri="{FF2B5EF4-FFF2-40B4-BE49-F238E27FC236}">
              <a16:creationId xmlns:a16="http://schemas.microsoft.com/office/drawing/2014/main" id="{00000000-0008-0000-0400-00005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a:extLst>
            <a:ext uri="{FF2B5EF4-FFF2-40B4-BE49-F238E27FC236}">
              <a16:creationId xmlns:a16="http://schemas.microsoft.com/office/drawing/2014/main" id="{00000000-0008-0000-0400-00005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a:extLst>
            <a:ext uri="{FF2B5EF4-FFF2-40B4-BE49-F238E27FC236}">
              <a16:creationId xmlns:a16="http://schemas.microsoft.com/office/drawing/2014/main" id="{00000000-0008-0000-0400-00005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a:extLst>
            <a:ext uri="{FF2B5EF4-FFF2-40B4-BE49-F238E27FC236}">
              <a16:creationId xmlns:a16="http://schemas.microsoft.com/office/drawing/2014/main" id="{00000000-0008-0000-0400-00005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a:extLst>
            <a:ext uri="{FF2B5EF4-FFF2-40B4-BE49-F238E27FC236}">
              <a16:creationId xmlns:a16="http://schemas.microsoft.com/office/drawing/2014/main" id="{00000000-0008-0000-0400-00005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a:extLst>
            <a:ext uri="{FF2B5EF4-FFF2-40B4-BE49-F238E27FC236}">
              <a16:creationId xmlns:a16="http://schemas.microsoft.com/office/drawing/2014/main" id="{00000000-0008-0000-0400-00005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a:extLst>
            <a:ext uri="{FF2B5EF4-FFF2-40B4-BE49-F238E27FC236}">
              <a16:creationId xmlns:a16="http://schemas.microsoft.com/office/drawing/2014/main" id="{00000000-0008-0000-0400-00005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a:extLst>
            <a:ext uri="{FF2B5EF4-FFF2-40B4-BE49-F238E27FC236}">
              <a16:creationId xmlns:a16="http://schemas.microsoft.com/office/drawing/2014/main" id="{00000000-0008-0000-0400-00005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a:extLst>
            <a:ext uri="{FF2B5EF4-FFF2-40B4-BE49-F238E27FC236}">
              <a16:creationId xmlns:a16="http://schemas.microsoft.com/office/drawing/2014/main" id="{00000000-0008-0000-0400-00006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a:extLst>
            <a:ext uri="{FF2B5EF4-FFF2-40B4-BE49-F238E27FC236}">
              <a16:creationId xmlns:a16="http://schemas.microsoft.com/office/drawing/2014/main" id="{00000000-0008-0000-0400-00006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a:extLst>
            <a:ext uri="{FF2B5EF4-FFF2-40B4-BE49-F238E27FC236}">
              <a16:creationId xmlns:a16="http://schemas.microsoft.com/office/drawing/2014/main" id="{00000000-0008-0000-0400-00006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a:extLst>
            <a:ext uri="{FF2B5EF4-FFF2-40B4-BE49-F238E27FC236}">
              <a16:creationId xmlns:a16="http://schemas.microsoft.com/office/drawing/2014/main" id="{00000000-0008-0000-0400-00006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a:extLst>
            <a:ext uri="{FF2B5EF4-FFF2-40B4-BE49-F238E27FC236}">
              <a16:creationId xmlns:a16="http://schemas.microsoft.com/office/drawing/2014/main" id="{00000000-0008-0000-0400-00006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a:extLst>
            <a:ext uri="{FF2B5EF4-FFF2-40B4-BE49-F238E27FC236}">
              <a16:creationId xmlns:a16="http://schemas.microsoft.com/office/drawing/2014/main" id="{00000000-0008-0000-0400-00006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a:extLst>
            <a:ext uri="{FF2B5EF4-FFF2-40B4-BE49-F238E27FC236}">
              <a16:creationId xmlns:a16="http://schemas.microsoft.com/office/drawing/2014/main" id="{00000000-0008-0000-0400-00006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a:extLst>
            <a:ext uri="{FF2B5EF4-FFF2-40B4-BE49-F238E27FC236}">
              <a16:creationId xmlns:a16="http://schemas.microsoft.com/office/drawing/2014/main" id="{00000000-0008-0000-0400-00006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a:extLst>
            <a:ext uri="{FF2B5EF4-FFF2-40B4-BE49-F238E27FC236}">
              <a16:creationId xmlns:a16="http://schemas.microsoft.com/office/drawing/2014/main" id="{00000000-0008-0000-0400-00006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a:extLst>
            <a:ext uri="{FF2B5EF4-FFF2-40B4-BE49-F238E27FC236}">
              <a16:creationId xmlns:a16="http://schemas.microsoft.com/office/drawing/2014/main" id="{00000000-0008-0000-0400-00006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a:extLst>
            <a:ext uri="{FF2B5EF4-FFF2-40B4-BE49-F238E27FC236}">
              <a16:creationId xmlns:a16="http://schemas.microsoft.com/office/drawing/2014/main" id="{00000000-0008-0000-0400-00006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a:extLst>
            <a:ext uri="{FF2B5EF4-FFF2-40B4-BE49-F238E27FC236}">
              <a16:creationId xmlns:a16="http://schemas.microsoft.com/office/drawing/2014/main" id="{00000000-0008-0000-0400-00006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a:extLst>
            <a:ext uri="{FF2B5EF4-FFF2-40B4-BE49-F238E27FC236}">
              <a16:creationId xmlns:a16="http://schemas.microsoft.com/office/drawing/2014/main" id="{00000000-0008-0000-0400-00006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a:extLst>
            <a:ext uri="{FF2B5EF4-FFF2-40B4-BE49-F238E27FC236}">
              <a16:creationId xmlns:a16="http://schemas.microsoft.com/office/drawing/2014/main" id="{00000000-0008-0000-0400-00006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a:extLst>
            <a:ext uri="{FF2B5EF4-FFF2-40B4-BE49-F238E27FC236}">
              <a16:creationId xmlns:a16="http://schemas.microsoft.com/office/drawing/2014/main" id="{00000000-0008-0000-0400-00006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a:extLst>
            <a:ext uri="{FF2B5EF4-FFF2-40B4-BE49-F238E27FC236}">
              <a16:creationId xmlns:a16="http://schemas.microsoft.com/office/drawing/2014/main" id="{00000000-0008-0000-0400-00006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a:extLst>
            <a:ext uri="{FF2B5EF4-FFF2-40B4-BE49-F238E27FC236}">
              <a16:creationId xmlns:a16="http://schemas.microsoft.com/office/drawing/2014/main" id="{00000000-0008-0000-0400-00007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a:extLst>
            <a:ext uri="{FF2B5EF4-FFF2-40B4-BE49-F238E27FC236}">
              <a16:creationId xmlns:a16="http://schemas.microsoft.com/office/drawing/2014/main" id="{00000000-0008-0000-0400-00007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a:extLst>
            <a:ext uri="{FF2B5EF4-FFF2-40B4-BE49-F238E27FC236}">
              <a16:creationId xmlns:a16="http://schemas.microsoft.com/office/drawing/2014/main" id="{00000000-0008-0000-0400-00007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a:extLst>
            <a:ext uri="{FF2B5EF4-FFF2-40B4-BE49-F238E27FC236}">
              <a16:creationId xmlns:a16="http://schemas.microsoft.com/office/drawing/2014/main" id="{00000000-0008-0000-0400-00007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a:extLst>
            <a:ext uri="{FF2B5EF4-FFF2-40B4-BE49-F238E27FC236}">
              <a16:creationId xmlns:a16="http://schemas.microsoft.com/office/drawing/2014/main" id="{00000000-0008-0000-0400-00007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a:extLst>
            <a:ext uri="{FF2B5EF4-FFF2-40B4-BE49-F238E27FC236}">
              <a16:creationId xmlns:a16="http://schemas.microsoft.com/office/drawing/2014/main" id="{00000000-0008-0000-0400-00007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a:extLst>
            <a:ext uri="{FF2B5EF4-FFF2-40B4-BE49-F238E27FC236}">
              <a16:creationId xmlns:a16="http://schemas.microsoft.com/office/drawing/2014/main" id="{00000000-0008-0000-0400-00007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a:extLst>
            <a:ext uri="{FF2B5EF4-FFF2-40B4-BE49-F238E27FC236}">
              <a16:creationId xmlns:a16="http://schemas.microsoft.com/office/drawing/2014/main" id="{00000000-0008-0000-0400-00007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a:extLst>
            <a:ext uri="{FF2B5EF4-FFF2-40B4-BE49-F238E27FC236}">
              <a16:creationId xmlns:a16="http://schemas.microsoft.com/office/drawing/2014/main" id="{00000000-0008-0000-0400-00007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a:extLst>
            <a:ext uri="{FF2B5EF4-FFF2-40B4-BE49-F238E27FC236}">
              <a16:creationId xmlns:a16="http://schemas.microsoft.com/office/drawing/2014/main" id="{00000000-0008-0000-0400-00007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a:extLst>
            <a:ext uri="{FF2B5EF4-FFF2-40B4-BE49-F238E27FC236}">
              <a16:creationId xmlns:a16="http://schemas.microsoft.com/office/drawing/2014/main" id="{00000000-0008-0000-0400-00007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a:extLst>
            <a:ext uri="{FF2B5EF4-FFF2-40B4-BE49-F238E27FC236}">
              <a16:creationId xmlns:a16="http://schemas.microsoft.com/office/drawing/2014/main" id="{00000000-0008-0000-0400-00007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a:extLst>
            <a:ext uri="{FF2B5EF4-FFF2-40B4-BE49-F238E27FC236}">
              <a16:creationId xmlns:a16="http://schemas.microsoft.com/office/drawing/2014/main" id="{00000000-0008-0000-0400-00007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a:extLst>
            <a:ext uri="{FF2B5EF4-FFF2-40B4-BE49-F238E27FC236}">
              <a16:creationId xmlns:a16="http://schemas.microsoft.com/office/drawing/2014/main" id="{00000000-0008-0000-0400-00007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a:extLst>
            <a:ext uri="{FF2B5EF4-FFF2-40B4-BE49-F238E27FC236}">
              <a16:creationId xmlns:a16="http://schemas.microsoft.com/office/drawing/2014/main" id="{00000000-0008-0000-0400-00007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a:extLst>
            <a:ext uri="{FF2B5EF4-FFF2-40B4-BE49-F238E27FC236}">
              <a16:creationId xmlns:a16="http://schemas.microsoft.com/office/drawing/2014/main" id="{00000000-0008-0000-0400-00007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a:extLst>
            <a:ext uri="{FF2B5EF4-FFF2-40B4-BE49-F238E27FC236}">
              <a16:creationId xmlns:a16="http://schemas.microsoft.com/office/drawing/2014/main" id="{00000000-0008-0000-0400-00008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a:extLst>
            <a:ext uri="{FF2B5EF4-FFF2-40B4-BE49-F238E27FC236}">
              <a16:creationId xmlns:a16="http://schemas.microsoft.com/office/drawing/2014/main" id="{00000000-0008-0000-0400-00008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a:extLst>
            <a:ext uri="{FF2B5EF4-FFF2-40B4-BE49-F238E27FC236}">
              <a16:creationId xmlns:a16="http://schemas.microsoft.com/office/drawing/2014/main" id="{00000000-0008-0000-0400-00008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a:extLst>
            <a:ext uri="{FF2B5EF4-FFF2-40B4-BE49-F238E27FC236}">
              <a16:creationId xmlns:a16="http://schemas.microsoft.com/office/drawing/2014/main" id="{00000000-0008-0000-0400-00008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a:extLst>
            <a:ext uri="{FF2B5EF4-FFF2-40B4-BE49-F238E27FC236}">
              <a16:creationId xmlns:a16="http://schemas.microsoft.com/office/drawing/2014/main" id="{00000000-0008-0000-0400-00008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a:extLst>
            <a:ext uri="{FF2B5EF4-FFF2-40B4-BE49-F238E27FC236}">
              <a16:creationId xmlns:a16="http://schemas.microsoft.com/office/drawing/2014/main" id="{00000000-0008-0000-0400-00008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a:extLst>
            <a:ext uri="{FF2B5EF4-FFF2-40B4-BE49-F238E27FC236}">
              <a16:creationId xmlns:a16="http://schemas.microsoft.com/office/drawing/2014/main" id="{00000000-0008-0000-0400-00008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a:extLst>
            <a:ext uri="{FF2B5EF4-FFF2-40B4-BE49-F238E27FC236}">
              <a16:creationId xmlns:a16="http://schemas.microsoft.com/office/drawing/2014/main" id="{00000000-0008-0000-0400-00008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a:extLst>
            <a:ext uri="{FF2B5EF4-FFF2-40B4-BE49-F238E27FC236}">
              <a16:creationId xmlns:a16="http://schemas.microsoft.com/office/drawing/2014/main" id="{00000000-0008-0000-0400-00008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a:extLst>
            <a:ext uri="{FF2B5EF4-FFF2-40B4-BE49-F238E27FC236}">
              <a16:creationId xmlns:a16="http://schemas.microsoft.com/office/drawing/2014/main" id="{00000000-0008-0000-0400-00008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a:extLst>
            <a:ext uri="{FF2B5EF4-FFF2-40B4-BE49-F238E27FC236}">
              <a16:creationId xmlns:a16="http://schemas.microsoft.com/office/drawing/2014/main" id="{00000000-0008-0000-0400-00008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a:extLst>
            <a:ext uri="{FF2B5EF4-FFF2-40B4-BE49-F238E27FC236}">
              <a16:creationId xmlns:a16="http://schemas.microsoft.com/office/drawing/2014/main" id="{00000000-0008-0000-0400-00008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a:extLst>
            <a:ext uri="{FF2B5EF4-FFF2-40B4-BE49-F238E27FC236}">
              <a16:creationId xmlns:a16="http://schemas.microsoft.com/office/drawing/2014/main" id="{00000000-0008-0000-0400-00008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a:extLst>
            <a:ext uri="{FF2B5EF4-FFF2-40B4-BE49-F238E27FC236}">
              <a16:creationId xmlns:a16="http://schemas.microsoft.com/office/drawing/2014/main" id="{00000000-0008-0000-0400-00008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a:extLst>
            <a:ext uri="{FF2B5EF4-FFF2-40B4-BE49-F238E27FC236}">
              <a16:creationId xmlns:a16="http://schemas.microsoft.com/office/drawing/2014/main" id="{00000000-0008-0000-0400-00008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a:extLst>
            <a:ext uri="{FF2B5EF4-FFF2-40B4-BE49-F238E27FC236}">
              <a16:creationId xmlns:a16="http://schemas.microsoft.com/office/drawing/2014/main" id="{00000000-0008-0000-0400-00008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a:extLst>
            <a:ext uri="{FF2B5EF4-FFF2-40B4-BE49-F238E27FC236}">
              <a16:creationId xmlns:a16="http://schemas.microsoft.com/office/drawing/2014/main" id="{00000000-0008-0000-0400-00009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a:extLst>
            <a:ext uri="{FF2B5EF4-FFF2-40B4-BE49-F238E27FC236}">
              <a16:creationId xmlns:a16="http://schemas.microsoft.com/office/drawing/2014/main" id="{00000000-0008-0000-0400-00009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a:extLst>
            <a:ext uri="{FF2B5EF4-FFF2-40B4-BE49-F238E27FC236}">
              <a16:creationId xmlns:a16="http://schemas.microsoft.com/office/drawing/2014/main" id="{00000000-0008-0000-0400-00009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a:extLst>
            <a:ext uri="{FF2B5EF4-FFF2-40B4-BE49-F238E27FC236}">
              <a16:creationId xmlns:a16="http://schemas.microsoft.com/office/drawing/2014/main" id="{00000000-0008-0000-0400-00009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a:extLst>
            <a:ext uri="{FF2B5EF4-FFF2-40B4-BE49-F238E27FC236}">
              <a16:creationId xmlns:a16="http://schemas.microsoft.com/office/drawing/2014/main" id="{00000000-0008-0000-0400-00009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a:extLst>
            <a:ext uri="{FF2B5EF4-FFF2-40B4-BE49-F238E27FC236}">
              <a16:creationId xmlns:a16="http://schemas.microsoft.com/office/drawing/2014/main" id="{00000000-0008-0000-0400-00009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a:extLst>
            <a:ext uri="{FF2B5EF4-FFF2-40B4-BE49-F238E27FC236}">
              <a16:creationId xmlns:a16="http://schemas.microsoft.com/office/drawing/2014/main" id="{00000000-0008-0000-0400-00009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a:extLst>
            <a:ext uri="{FF2B5EF4-FFF2-40B4-BE49-F238E27FC236}">
              <a16:creationId xmlns:a16="http://schemas.microsoft.com/office/drawing/2014/main" id="{00000000-0008-0000-0400-00009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a:extLst>
            <a:ext uri="{FF2B5EF4-FFF2-40B4-BE49-F238E27FC236}">
              <a16:creationId xmlns:a16="http://schemas.microsoft.com/office/drawing/2014/main" id="{00000000-0008-0000-0400-00009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a:extLst>
            <a:ext uri="{FF2B5EF4-FFF2-40B4-BE49-F238E27FC236}">
              <a16:creationId xmlns:a16="http://schemas.microsoft.com/office/drawing/2014/main" id="{00000000-0008-0000-0400-00009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a:extLst>
            <a:ext uri="{FF2B5EF4-FFF2-40B4-BE49-F238E27FC236}">
              <a16:creationId xmlns:a16="http://schemas.microsoft.com/office/drawing/2014/main" id="{00000000-0008-0000-0400-00009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a:extLst>
            <a:ext uri="{FF2B5EF4-FFF2-40B4-BE49-F238E27FC236}">
              <a16:creationId xmlns:a16="http://schemas.microsoft.com/office/drawing/2014/main" id="{00000000-0008-0000-0400-00009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a:extLst>
            <a:ext uri="{FF2B5EF4-FFF2-40B4-BE49-F238E27FC236}">
              <a16:creationId xmlns:a16="http://schemas.microsoft.com/office/drawing/2014/main" id="{00000000-0008-0000-0400-00009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a:extLst>
            <a:ext uri="{FF2B5EF4-FFF2-40B4-BE49-F238E27FC236}">
              <a16:creationId xmlns:a16="http://schemas.microsoft.com/office/drawing/2014/main" id="{00000000-0008-0000-0400-00009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a:extLst>
            <a:ext uri="{FF2B5EF4-FFF2-40B4-BE49-F238E27FC236}">
              <a16:creationId xmlns:a16="http://schemas.microsoft.com/office/drawing/2014/main" id="{00000000-0008-0000-0400-00009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a:extLst>
            <a:ext uri="{FF2B5EF4-FFF2-40B4-BE49-F238E27FC236}">
              <a16:creationId xmlns:a16="http://schemas.microsoft.com/office/drawing/2014/main" id="{00000000-0008-0000-0400-00009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a:extLst>
            <a:ext uri="{FF2B5EF4-FFF2-40B4-BE49-F238E27FC236}">
              <a16:creationId xmlns:a16="http://schemas.microsoft.com/office/drawing/2014/main" id="{00000000-0008-0000-0400-0000A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a:extLst>
            <a:ext uri="{FF2B5EF4-FFF2-40B4-BE49-F238E27FC236}">
              <a16:creationId xmlns:a16="http://schemas.microsoft.com/office/drawing/2014/main" id="{00000000-0008-0000-0400-0000A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a:extLst>
            <a:ext uri="{FF2B5EF4-FFF2-40B4-BE49-F238E27FC236}">
              <a16:creationId xmlns:a16="http://schemas.microsoft.com/office/drawing/2014/main" id="{00000000-0008-0000-0400-0000A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a:extLst>
            <a:ext uri="{FF2B5EF4-FFF2-40B4-BE49-F238E27FC236}">
              <a16:creationId xmlns:a16="http://schemas.microsoft.com/office/drawing/2014/main" id="{00000000-0008-0000-0400-0000A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a:extLst>
            <a:ext uri="{FF2B5EF4-FFF2-40B4-BE49-F238E27FC236}">
              <a16:creationId xmlns:a16="http://schemas.microsoft.com/office/drawing/2014/main" id="{00000000-0008-0000-0400-0000A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a:extLst>
            <a:ext uri="{FF2B5EF4-FFF2-40B4-BE49-F238E27FC236}">
              <a16:creationId xmlns:a16="http://schemas.microsoft.com/office/drawing/2014/main" id="{00000000-0008-0000-0400-0000A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a:extLst>
            <a:ext uri="{FF2B5EF4-FFF2-40B4-BE49-F238E27FC236}">
              <a16:creationId xmlns:a16="http://schemas.microsoft.com/office/drawing/2014/main" id="{00000000-0008-0000-0400-0000A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a:extLst>
            <a:ext uri="{FF2B5EF4-FFF2-40B4-BE49-F238E27FC236}">
              <a16:creationId xmlns:a16="http://schemas.microsoft.com/office/drawing/2014/main" id="{00000000-0008-0000-0400-0000A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a:extLst>
            <a:ext uri="{FF2B5EF4-FFF2-40B4-BE49-F238E27FC236}">
              <a16:creationId xmlns:a16="http://schemas.microsoft.com/office/drawing/2014/main" id="{00000000-0008-0000-0400-0000A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a:extLst>
            <a:ext uri="{FF2B5EF4-FFF2-40B4-BE49-F238E27FC236}">
              <a16:creationId xmlns:a16="http://schemas.microsoft.com/office/drawing/2014/main" id="{00000000-0008-0000-0400-0000A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a:extLst>
            <a:ext uri="{FF2B5EF4-FFF2-40B4-BE49-F238E27FC236}">
              <a16:creationId xmlns:a16="http://schemas.microsoft.com/office/drawing/2014/main" id="{00000000-0008-0000-0400-0000A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a:extLst>
            <a:ext uri="{FF2B5EF4-FFF2-40B4-BE49-F238E27FC236}">
              <a16:creationId xmlns:a16="http://schemas.microsoft.com/office/drawing/2014/main" id="{00000000-0008-0000-0400-0000A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a:extLst>
            <a:ext uri="{FF2B5EF4-FFF2-40B4-BE49-F238E27FC236}">
              <a16:creationId xmlns:a16="http://schemas.microsoft.com/office/drawing/2014/main" id="{00000000-0008-0000-0400-0000A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a:extLst>
            <a:ext uri="{FF2B5EF4-FFF2-40B4-BE49-F238E27FC236}">
              <a16:creationId xmlns:a16="http://schemas.microsoft.com/office/drawing/2014/main" id="{00000000-0008-0000-0400-0000A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a:extLst>
            <a:ext uri="{FF2B5EF4-FFF2-40B4-BE49-F238E27FC236}">
              <a16:creationId xmlns:a16="http://schemas.microsoft.com/office/drawing/2014/main" id="{00000000-0008-0000-0400-0000A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a:extLst>
            <a:ext uri="{FF2B5EF4-FFF2-40B4-BE49-F238E27FC236}">
              <a16:creationId xmlns:a16="http://schemas.microsoft.com/office/drawing/2014/main" id="{00000000-0008-0000-0400-0000A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a:extLst>
            <a:ext uri="{FF2B5EF4-FFF2-40B4-BE49-F238E27FC236}">
              <a16:creationId xmlns:a16="http://schemas.microsoft.com/office/drawing/2014/main" id="{00000000-0008-0000-0400-0000B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a:extLst>
            <a:ext uri="{FF2B5EF4-FFF2-40B4-BE49-F238E27FC236}">
              <a16:creationId xmlns:a16="http://schemas.microsoft.com/office/drawing/2014/main" id="{00000000-0008-0000-0400-0000B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a:extLst>
            <a:ext uri="{FF2B5EF4-FFF2-40B4-BE49-F238E27FC236}">
              <a16:creationId xmlns:a16="http://schemas.microsoft.com/office/drawing/2014/main" id="{00000000-0008-0000-0400-0000B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a:extLst>
            <a:ext uri="{FF2B5EF4-FFF2-40B4-BE49-F238E27FC236}">
              <a16:creationId xmlns:a16="http://schemas.microsoft.com/office/drawing/2014/main" id="{00000000-0008-0000-0400-0000B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a:extLst>
            <a:ext uri="{FF2B5EF4-FFF2-40B4-BE49-F238E27FC236}">
              <a16:creationId xmlns:a16="http://schemas.microsoft.com/office/drawing/2014/main" id="{00000000-0008-0000-0400-0000B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a:extLst>
            <a:ext uri="{FF2B5EF4-FFF2-40B4-BE49-F238E27FC236}">
              <a16:creationId xmlns:a16="http://schemas.microsoft.com/office/drawing/2014/main" id="{00000000-0008-0000-0400-0000B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a:extLst>
            <a:ext uri="{FF2B5EF4-FFF2-40B4-BE49-F238E27FC236}">
              <a16:creationId xmlns:a16="http://schemas.microsoft.com/office/drawing/2014/main" id="{00000000-0008-0000-0400-0000B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a:extLst>
            <a:ext uri="{FF2B5EF4-FFF2-40B4-BE49-F238E27FC236}">
              <a16:creationId xmlns:a16="http://schemas.microsoft.com/office/drawing/2014/main" id="{00000000-0008-0000-0400-0000B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a:extLst>
            <a:ext uri="{FF2B5EF4-FFF2-40B4-BE49-F238E27FC236}">
              <a16:creationId xmlns:a16="http://schemas.microsoft.com/office/drawing/2014/main" id="{00000000-0008-0000-0400-0000B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a:extLst>
            <a:ext uri="{FF2B5EF4-FFF2-40B4-BE49-F238E27FC236}">
              <a16:creationId xmlns:a16="http://schemas.microsoft.com/office/drawing/2014/main" id="{00000000-0008-0000-0400-0000B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a:extLst>
            <a:ext uri="{FF2B5EF4-FFF2-40B4-BE49-F238E27FC236}">
              <a16:creationId xmlns:a16="http://schemas.microsoft.com/office/drawing/2014/main" id="{00000000-0008-0000-0400-0000B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a:extLst>
            <a:ext uri="{FF2B5EF4-FFF2-40B4-BE49-F238E27FC236}">
              <a16:creationId xmlns:a16="http://schemas.microsoft.com/office/drawing/2014/main" id="{00000000-0008-0000-0400-0000B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a:extLst>
            <a:ext uri="{FF2B5EF4-FFF2-40B4-BE49-F238E27FC236}">
              <a16:creationId xmlns:a16="http://schemas.microsoft.com/office/drawing/2014/main" id="{00000000-0008-0000-0400-0000B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a:extLst>
            <a:ext uri="{FF2B5EF4-FFF2-40B4-BE49-F238E27FC236}">
              <a16:creationId xmlns:a16="http://schemas.microsoft.com/office/drawing/2014/main" id="{00000000-0008-0000-0400-0000B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a:extLst>
            <a:ext uri="{FF2B5EF4-FFF2-40B4-BE49-F238E27FC236}">
              <a16:creationId xmlns:a16="http://schemas.microsoft.com/office/drawing/2014/main" id="{00000000-0008-0000-0400-0000B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a:extLst>
            <a:ext uri="{FF2B5EF4-FFF2-40B4-BE49-F238E27FC236}">
              <a16:creationId xmlns:a16="http://schemas.microsoft.com/office/drawing/2014/main" id="{00000000-0008-0000-0400-0000B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a:extLst>
            <a:ext uri="{FF2B5EF4-FFF2-40B4-BE49-F238E27FC236}">
              <a16:creationId xmlns:a16="http://schemas.microsoft.com/office/drawing/2014/main" id="{00000000-0008-0000-0400-0000C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a:extLst>
            <a:ext uri="{FF2B5EF4-FFF2-40B4-BE49-F238E27FC236}">
              <a16:creationId xmlns:a16="http://schemas.microsoft.com/office/drawing/2014/main" id="{00000000-0008-0000-0400-0000C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a:extLst>
            <a:ext uri="{FF2B5EF4-FFF2-40B4-BE49-F238E27FC236}">
              <a16:creationId xmlns:a16="http://schemas.microsoft.com/office/drawing/2014/main" id="{00000000-0008-0000-0400-0000C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a:extLst>
            <a:ext uri="{FF2B5EF4-FFF2-40B4-BE49-F238E27FC236}">
              <a16:creationId xmlns:a16="http://schemas.microsoft.com/office/drawing/2014/main" id="{00000000-0008-0000-0400-0000C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a:extLst>
            <a:ext uri="{FF2B5EF4-FFF2-40B4-BE49-F238E27FC236}">
              <a16:creationId xmlns:a16="http://schemas.microsoft.com/office/drawing/2014/main" id="{00000000-0008-0000-0400-0000C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a:extLst>
            <a:ext uri="{FF2B5EF4-FFF2-40B4-BE49-F238E27FC236}">
              <a16:creationId xmlns:a16="http://schemas.microsoft.com/office/drawing/2014/main" id="{00000000-0008-0000-0400-0000C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a:extLst>
            <a:ext uri="{FF2B5EF4-FFF2-40B4-BE49-F238E27FC236}">
              <a16:creationId xmlns:a16="http://schemas.microsoft.com/office/drawing/2014/main" id="{00000000-0008-0000-0400-0000C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a:extLst>
            <a:ext uri="{FF2B5EF4-FFF2-40B4-BE49-F238E27FC236}">
              <a16:creationId xmlns:a16="http://schemas.microsoft.com/office/drawing/2014/main" id="{00000000-0008-0000-0400-0000C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a:extLst>
            <a:ext uri="{FF2B5EF4-FFF2-40B4-BE49-F238E27FC236}">
              <a16:creationId xmlns:a16="http://schemas.microsoft.com/office/drawing/2014/main" id="{00000000-0008-0000-0400-0000C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a:extLst>
            <a:ext uri="{FF2B5EF4-FFF2-40B4-BE49-F238E27FC236}">
              <a16:creationId xmlns:a16="http://schemas.microsoft.com/office/drawing/2014/main" id="{00000000-0008-0000-0400-0000C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a:extLst>
            <a:ext uri="{FF2B5EF4-FFF2-40B4-BE49-F238E27FC236}">
              <a16:creationId xmlns:a16="http://schemas.microsoft.com/office/drawing/2014/main" id="{00000000-0008-0000-0400-0000C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a:extLst>
            <a:ext uri="{FF2B5EF4-FFF2-40B4-BE49-F238E27FC236}">
              <a16:creationId xmlns:a16="http://schemas.microsoft.com/office/drawing/2014/main" id="{00000000-0008-0000-0400-0000C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a:extLst>
            <a:ext uri="{FF2B5EF4-FFF2-40B4-BE49-F238E27FC236}">
              <a16:creationId xmlns:a16="http://schemas.microsoft.com/office/drawing/2014/main" id="{00000000-0008-0000-0400-0000C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a:extLst>
            <a:ext uri="{FF2B5EF4-FFF2-40B4-BE49-F238E27FC236}">
              <a16:creationId xmlns:a16="http://schemas.microsoft.com/office/drawing/2014/main" id="{00000000-0008-0000-0400-0000C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a:extLst>
            <a:ext uri="{FF2B5EF4-FFF2-40B4-BE49-F238E27FC236}">
              <a16:creationId xmlns:a16="http://schemas.microsoft.com/office/drawing/2014/main" id="{00000000-0008-0000-0400-0000C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a:extLst>
            <a:ext uri="{FF2B5EF4-FFF2-40B4-BE49-F238E27FC236}">
              <a16:creationId xmlns:a16="http://schemas.microsoft.com/office/drawing/2014/main" id="{00000000-0008-0000-0400-0000C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a:extLst>
            <a:ext uri="{FF2B5EF4-FFF2-40B4-BE49-F238E27FC236}">
              <a16:creationId xmlns:a16="http://schemas.microsoft.com/office/drawing/2014/main" id="{00000000-0008-0000-0400-0000D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a:extLst>
            <a:ext uri="{FF2B5EF4-FFF2-40B4-BE49-F238E27FC236}">
              <a16:creationId xmlns:a16="http://schemas.microsoft.com/office/drawing/2014/main" id="{00000000-0008-0000-0400-0000D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a:extLst>
            <a:ext uri="{FF2B5EF4-FFF2-40B4-BE49-F238E27FC236}">
              <a16:creationId xmlns:a16="http://schemas.microsoft.com/office/drawing/2014/main" id="{00000000-0008-0000-0400-0000D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a:extLst>
            <a:ext uri="{FF2B5EF4-FFF2-40B4-BE49-F238E27FC236}">
              <a16:creationId xmlns:a16="http://schemas.microsoft.com/office/drawing/2014/main" id="{00000000-0008-0000-0400-0000D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a:extLst>
            <a:ext uri="{FF2B5EF4-FFF2-40B4-BE49-F238E27FC236}">
              <a16:creationId xmlns:a16="http://schemas.microsoft.com/office/drawing/2014/main" id="{00000000-0008-0000-0400-0000D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a:extLst>
            <a:ext uri="{FF2B5EF4-FFF2-40B4-BE49-F238E27FC236}">
              <a16:creationId xmlns:a16="http://schemas.microsoft.com/office/drawing/2014/main" id="{00000000-0008-0000-0400-0000D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a:extLst>
            <a:ext uri="{FF2B5EF4-FFF2-40B4-BE49-F238E27FC236}">
              <a16:creationId xmlns:a16="http://schemas.microsoft.com/office/drawing/2014/main" id="{00000000-0008-0000-0400-0000D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a:extLst>
            <a:ext uri="{FF2B5EF4-FFF2-40B4-BE49-F238E27FC236}">
              <a16:creationId xmlns:a16="http://schemas.microsoft.com/office/drawing/2014/main" id="{00000000-0008-0000-0400-0000D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a:extLst>
            <a:ext uri="{FF2B5EF4-FFF2-40B4-BE49-F238E27FC236}">
              <a16:creationId xmlns:a16="http://schemas.microsoft.com/office/drawing/2014/main" id="{00000000-0008-0000-0400-0000D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a:extLst>
            <a:ext uri="{FF2B5EF4-FFF2-40B4-BE49-F238E27FC236}">
              <a16:creationId xmlns:a16="http://schemas.microsoft.com/office/drawing/2014/main" id="{00000000-0008-0000-0400-0000D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a:extLst>
            <a:ext uri="{FF2B5EF4-FFF2-40B4-BE49-F238E27FC236}">
              <a16:creationId xmlns:a16="http://schemas.microsoft.com/office/drawing/2014/main" id="{00000000-0008-0000-0400-0000D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a:extLst>
            <a:ext uri="{FF2B5EF4-FFF2-40B4-BE49-F238E27FC236}">
              <a16:creationId xmlns:a16="http://schemas.microsoft.com/office/drawing/2014/main" id="{00000000-0008-0000-0400-0000D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a:extLst>
            <a:ext uri="{FF2B5EF4-FFF2-40B4-BE49-F238E27FC236}">
              <a16:creationId xmlns:a16="http://schemas.microsoft.com/office/drawing/2014/main" id="{00000000-0008-0000-0400-0000D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a:extLst>
            <a:ext uri="{FF2B5EF4-FFF2-40B4-BE49-F238E27FC236}">
              <a16:creationId xmlns:a16="http://schemas.microsoft.com/office/drawing/2014/main" id="{00000000-0008-0000-0400-0000D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a:extLst>
            <a:ext uri="{FF2B5EF4-FFF2-40B4-BE49-F238E27FC236}">
              <a16:creationId xmlns:a16="http://schemas.microsoft.com/office/drawing/2014/main" id="{00000000-0008-0000-0400-0000D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a:extLst>
            <a:ext uri="{FF2B5EF4-FFF2-40B4-BE49-F238E27FC236}">
              <a16:creationId xmlns:a16="http://schemas.microsoft.com/office/drawing/2014/main" id="{00000000-0008-0000-0400-0000D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a:extLst>
            <a:ext uri="{FF2B5EF4-FFF2-40B4-BE49-F238E27FC236}">
              <a16:creationId xmlns:a16="http://schemas.microsoft.com/office/drawing/2014/main" id="{00000000-0008-0000-0400-0000E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a:extLst>
            <a:ext uri="{FF2B5EF4-FFF2-40B4-BE49-F238E27FC236}">
              <a16:creationId xmlns:a16="http://schemas.microsoft.com/office/drawing/2014/main" id="{00000000-0008-0000-0400-0000E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a:extLst>
            <a:ext uri="{FF2B5EF4-FFF2-40B4-BE49-F238E27FC236}">
              <a16:creationId xmlns:a16="http://schemas.microsoft.com/office/drawing/2014/main" id="{00000000-0008-0000-0400-0000E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a:extLst>
            <a:ext uri="{FF2B5EF4-FFF2-40B4-BE49-F238E27FC236}">
              <a16:creationId xmlns:a16="http://schemas.microsoft.com/office/drawing/2014/main" id="{00000000-0008-0000-0400-0000E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a:extLst>
            <a:ext uri="{FF2B5EF4-FFF2-40B4-BE49-F238E27FC236}">
              <a16:creationId xmlns:a16="http://schemas.microsoft.com/office/drawing/2014/main" id="{00000000-0008-0000-0400-0000E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a:extLst>
            <a:ext uri="{FF2B5EF4-FFF2-40B4-BE49-F238E27FC236}">
              <a16:creationId xmlns:a16="http://schemas.microsoft.com/office/drawing/2014/main" id="{00000000-0008-0000-0400-0000E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a:extLst>
            <a:ext uri="{FF2B5EF4-FFF2-40B4-BE49-F238E27FC236}">
              <a16:creationId xmlns:a16="http://schemas.microsoft.com/office/drawing/2014/main" id="{00000000-0008-0000-0400-0000E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a:extLst>
            <a:ext uri="{FF2B5EF4-FFF2-40B4-BE49-F238E27FC236}">
              <a16:creationId xmlns:a16="http://schemas.microsoft.com/office/drawing/2014/main" id="{00000000-0008-0000-0400-0000E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a:extLst>
            <a:ext uri="{FF2B5EF4-FFF2-40B4-BE49-F238E27FC236}">
              <a16:creationId xmlns:a16="http://schemas.microsoft.com/office/drawing/2014/main" id="{00000000-0008-0000-0400-0000E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a:extLst>
            <a:ext uri="{FF2B5EF4-FFF2-40B4-BE49-F238E27FC236}">
              <a16:creationId xmlns:a16="http://schemas.microsoft.com/office/drawing/2014/main" id="{00000000-0008-0000-0400-0000E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a:extLst>
            <a:ext uri="{FF2B5EF4-FFF2-40B4-BE49-F238E27FC236}">
              <a16:creationId xmlns:a16="http://schemas.microsoft.com/office/drawing/2014/main" id="{00000000-0008-0000-0400-0000E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a:extLst>
            <a:ext uri="{FF2B5EF4-FFF2-40B4-BE49-F238E27FC236}">
              <a16:creationId xmlns:a16="http://schemas.microsoft.com/office/drawing/2014/main" id="{00000000-0008-0000-0400-0000E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a:extLst>
            <a:ext uri="{FF2B5EF4-FFF2-40B4-BE49-F238E27FC236}">
              <a16:creationId xmlns:a16="http://schemas.microsoft.com/office/drawing/2014/main" id="{00000000-0008-0000-0400-0000E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a:extLst>
            <a:ext uri="{FF2B5EF4-FFF2-40B4-BE49-F238E27FC236}">
              <a16:creationId xmlns:a16="http://schemas.microsoft.com/office/drawing/2014/main" id="{00000000-0008-0000-0400-0000E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a:extLst>
            <a:ext uri="{FF2B5EF4-FFF2-40B4-BE49-F238E27FC236}">
              <a16:creationId xmlns:a16="http://schemas.microsoft.com/office/drawing/2014/main" id="{00000000-0008-0000-0400-0000E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a:extLst>
            <a:ext uri="{FF2B5EF4-FFF2-40B4-BE49-F238E27FC236}">
              <a16:creationId xmlns:a16="http://schemas.microsoft.com/office/drawing/2014/main" id="{00000000-0008-0000-0400-0000E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a:extLst>
            <a:ext uri="{FF2B5EF4-FFF2-40B4-BE49-F238E27FC236}">
              <a16:creationId xmlns:a16="http://schemas.microsoft.com/office/drawing/2014/main" id="{00000000-0008-0000-0400-0000F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a:extLst>
            <a:ext uri="{FF2B5EF4-FFF2-40B4-BE49-F238E27FC236}">
              <a16:creationId xmlns:a16="http://schemas.microsoft.com/office/drawing/2014/main" id="{00000000-0008-0000-0400-0000F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a:extLst>
            <a:ext uri="{FF2B5EF4-FFF2-40B4-BE49-F238E27FC236}">
              <a16:creationId xmlns:a16="http://schemas.microsoft.com/office/drawing/2014/main" id="{00000000-0008-0000-0400-0000F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a:extLst>
            <a:ext uri="{FF2B5EF4-FFF2-40B4-BE49-F238E27FC236}">
              <a16:creationId xmlns:a16="http://schemas.microsoft.com/office/drawing/2014/main" id="{00000000-0008-0000-0400-0000F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a:extLst>
            <a:ext uri="{FF2B5EF4-FFF2-40B4-BE49-F238E27FC236}">
              <a16:creationId xmlns:a16="http://schemas.microsoft.com/office/drawing/2014/main" id="{00000000-0008-0000-0400-0000F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a:extLst>
            <a:ext uri="{FF2B5EF4-FFF2-40B4-BE49-F238E27FC236}">
              <a16:creationId xmlns:a16="http://schemas.microsoft.com/office/drawing/2014/main" id="{00000000-0008-0000-0400-0000F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a:extLst>
            <a:ext uri="{FF2B5EF4-FFF2-40B4-BE49-F238E27FC236}">
              <a16:creationId xmlns:a16="http://schemas.microsoft.com/office/drawing/2014/main" id="{00000000-0008-0000-0400-0000F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a:extLst>
            <a:ext uri="{FF2B5EF4-FFF2-40B4-BE49-F238E27FC236}">
              <a16:creationId xmlns:a16="http://schemas.microsoft.com/office/drawing/2014/main" id="{00000000-0008-0000-0400-0000F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a:extLst>
            <a:ext uri="{FF2B5EF4-FFF2-40B4-BE49-F238E27FC236}">
              <a16:creationId xmlns:a16="http://schemas.microsoft.com/office/drawing/2014/main" id="{00000000-0008-0000-0400-0000F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a:extLst>
            <a:ext uri="{FF2B5EF4-FFF2-40B4-BE49-F238E27FC236}">
              <a16:creationId xmlns:a16="http://schemas.microsoft.com/office/drawing/2014/main" id="{00000000-0008-0000-0400-0000F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a:extLst>
            <a:ext uri="{FF2B5EF4-FFF2-40B4-BE49-F238E27FC236}">
              <a16:creationId xmlns:a16="http://schemas.microsoft.com/office/drawing/2014/main" id="{00000000-0008-0000-0400-0000F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a:extLst>
            <a:ext uri="{FF2B5EF4-FFF2-40B4-BE49-F238E27FC236}">
              <a16:creationId xmlns:a16="http://schemas.microsoft.com/office/drawing/2014/main" id="{00000000-0008-0000-0400-0000F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a:extLst>
            <a:ext uri="{FF2B5EF4-FFF2-40B4-BE49-F238E27FC236}">
              <a16:creationId xmlns:a16="http://schemas.microsoft.com/office/drawing/2014/main" id="{00000000-0008-0000-0400-0000F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a:extLst>
            <a:ext uri="{FF2B5EF4-FFF2-40B4-BE49-F238E27FC236}">
              <a16:creationId xmlns:a16="http://schemas.microsoft.com/office/drawing/2014/main" id="{00000000-0008-0000-0400-0000F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a:extLst>
            <a:ext uri="{FF2B5EF4-FFF2-40B4-BE49-F238E27FC236}">
              <a16:creationId xmlns:a16="http://schemas.microsoft.com/office/drawing/2014/main" id="{00000000-0008-0000-0400-0000F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a:extLst>
            <a:ext uri="{FF2B5EF4-FFF2-40B4-BE49-F238E27FC236}">
              <a16:creationId xmlns:a16="http://schemas.microsoft.com/office/drawing/2014/main" id="{00000000-0008-0000-0400-0000F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a:extLst>
            <a:ext uri="{FF2B5EF4-FFF2-40B4-BE49-F238E27FC236}">
              <a16:creationId xmlns:a16="http://schemas.microsoft.com/office/drawing/2014/main" id="{00000000-0008-0000-0400-00000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a:extLst>
            <a:ext uri="{FF2B5EF4-FFF2-40B4-BE49-F238E27FC236}">
              <a16:creationId xmlns:a16="http://schemas.microsoft.com/office/drawing/2014/main" id="{00000000-0008-0000-0400-00000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a:extLst>
            <a:ext uri="{FF2B5EF4-FFF2-40B4-BE49-F238E27FC236}">
              <a16:creationId xmlns:a16="http://schemas.microsoft.com/office/drawing/2014/main" id="{00000000-0008-0000-0400-00000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a:extLst>
            <a:ext uri="{FF2B5EF4-FFF2-40B4-BE49-F238E27FC236}">
              <a16:creationId xmlns:a16="http://schemas.microsoft.com/office/drawing/2014/main" id="{00000000-0008-0000-0400-00000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a:extLst>
            <a:ext uri="{FF2B5EF4-FFF2-40B4-BE49-F238E27FC236}">
              <a16:creationId xmlns:a16="http://schemas.microsoft.com/office/drawing/2014/main" id="{00000000-0008-0000-0400-00000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a:extLst>
            <a:ext uri="{FF2B5EF4-FFF2-40B4-BE49-F238E27FC236}">
              <a16:creationId xmlns:a16="http://schemas.microsoft.com/office/drawing/2014/main" id="{00000000-0008-0000-0400-00000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a:extLst>
            <a:ext uri="{FF2B5EF4-FFF2-40B4-BE49-F238E27FC236}">
              <a16:creationId xmlns:a16="http://schemas.microsoft.com/office/drawing/2014/main" id="{00000000-0008-0000-0400-00000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a:extLst>
            <a:ext uri="{FF2B5EF4-FFF2-40B4-BE49-F238E27FC236}">
              <a16:creationId xmlns:a16="http://schemas.microsoft.com/office/drawing/2014/main" id="{00000000-0008-0000-0400-00000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a:extLst>
            <a:ext uri="{FF2B5EF4-FFF2-40B4-BE49-F238E27FC236}">
              <a16:creationId xmlns:a16="http://schemas.microsoft.com/office/drawing/2014/main" id="{00000000-0008-0000-0400-00000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a:extLst>
            <a:ext uri="{FF2B5EF4-FFF2-40B4-BE49-F238E27FC236}">
              <a16:creationId xmlns:a16="http://schemas.microsoft.com/office/drawing/2014/main" id="{00000000-0008-0000-0400-00000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a:extLst>
            <a:ext uri="{FF2B5EF4-FFF2-40B4-BE49-F238E27FC236}">
              <a16:creationId xmlns:a16="http://schemas.microsoft.com/office/drawing/2014/main" id="{00000000-0008-0000-0400-00000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a:extLst>
            <a:ext uri="{FF2B5EF4-FFF2-40B4-BE49-F238E27FC236}">
              <a16:creationId xmlns:a16="http://schemas.microsoft.com/office/drawing/2014/main" id="{00000000-0008-0000-0400-00000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a:extLst>
            <a:ext uri="{FF2B5EF4-FFF2-40B4-BE49-F238E27FC236}">
              <a16:creationId xmlns:a16="http://schemas.microsoft.com/office/drawing/2014/main" id="{00000000-0008-0000-0400-00000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a:extLst>
            <a:ext uri="{FF2B5EF4-FFF2-40B4-BE49-F238E27FC236}">
              <a16:creationId xmlns:a16="http://schemas.microsoft.com/office/drawing/2014/main" id="{00000000-0008-0000-0400-00000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a:extLst>
            <a:ext uri="{FF2B5EF4-FFF2-40B4-BE49-F238E27FC236}">
              <a16:creationId xmlns:a16="http://schemas.microsoft.com/office/drawing/2014/main" id="{00000000-0008-0000-0400-00000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a:extLst>
            <a:ext uri="{FF2B5EF4-FFF2-40B4-BE49-F238E27FC236}">
              <a16:creationId xmlns:a16="http://schemas.microsoft.com/office/drawing/2014/main" id="{00000000-0008-0000-0400-00000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a:extLst>
            <a:ext uri="{FF2B5EF4-FFF2-40B4-BE49-F238E27FC236}">
              <a16:creationId xmlns:a16="http://schemas.microsoft.com/office/drawing/2014/main" id="{00000000-0008-0000-0400-00001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a:extLst>
            <a:ext uri="{FF2B5EF4-FFF2-40B4-BE49-F238E27FC236}">
              <a16:creationId xmlns:a16="http://schemas.microsoft.com/office/drawing/2014/main" id="{00000000-0008-0000-0400-00001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a:extLst>
            <a:ext uri="{FF2B5EF4-FFF2-40B4-BE49-F238E27FC236}">
              <a16:creationId xmlns:a16="http://schemas.microsoft.com/office/drawing/2014/main" id="{00000000-0008-0000-0400-00001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a:extLst>
            <a:ext uri="{FF2B5EF4-FFF2-40B4-BE49-F238E27FC236}">
              <a16:creationId xmlns:a16="http://schemas.microsoft.com/office/drawing/2014/main" id="{00000000-0008-0000-0400-00001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a:extLst>
            <a:ext uri="{FF2B5EF4-FFF2-40B4-BE49-F238E27FC236}">
              <a16:creationId xmlns:a16="http://schemas.microsoft.com/office/drawing/2014/main" id="{00000000-0008-0000-0400-00001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a:extLst>
            <a:ext uri="{FF2B5EF4-FFF2-40B4-BE49-F238E27FC236}">
              <a16:creationId xmlns:a16="http://schemas.microsoft.com/office/drawing/2014/main" id="{00000000-0008-0000-0400-00001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a:extLst>
            <a:ext uri="{FF2B5EF4-FFF2-40B4-BE49-F238E27FC236}">
              <a16:creationId xmlns:a16="http://schemas.microsoft.com/office/drawing/2014/main" id="{00000000-0008-0000-0400-00001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a:extLst>
            <a:ext uri="{FF2B5EF4-FFF2-40B4-BE49-F238E27FC236}">
              <a16:creationId xmlns:a16="http://schemas.microsoft.com/office/drawing/2014/main" id="{00000000-0008-0000-0400-00001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a:extLst>
            <a:ext uri="{FF2B5EF4-FFF2-40B4-BE49-F238E27FC236}">
              <a16:creationId xmlns:a16="http://schemas.microsoft.com/office/drawing/2014/main" id="{00000000-0008-0000-0400-00001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a:extLst>
            <a:ext uri="{FF2B5EF4-FFF2-40B4-BE49-F238E27FC236}">
              <a16:creationId xmlns:a16="http://schemas.microsoft.com/office/drawing/2014/main" id="{00000000-0008-0000-0400-00001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a:extLst>
            <a:ext uri="{FF2B5EF4-FFF2-40B4-BE49-F238E27FC236}">
              <a16:creationId xmlns:a16="http://schemas.microsoft.com/office/drawing/2014/main" id="{00000000-0008-0000-0400-00001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a:extLst>
            <a:ext uri="{FF2B5EF4-FFF2-40B4-BE49-F238E27FC236}">
              <a16:creationId xmlns:a16="http://schemas.microsoft.com/office/drawing/2014/main" id="{00000000-0008-0000-0400-00001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a:extLst>
            <a:ext uri="{FF2B5EF4-FFF2-40B4-BE49-F238E27FC236}">
              <a16:creationId xmlns:a16="http://schemas.microsoft.com/office/drawing/2014/main" id="{00000000-0008-0000-0400-00001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a:extLst>
            <a:ext uri="{FF2B5EF4-FFF2-40B4-BE49-F238E27FC236}">
              <a16:creationId xmlns:a16="http://schemas.microsoft.com/office/drawing/2014/main" id="{00000000-0008-0000-0400-00001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a:extLst>
            <a:ext uri="{FF2B5EF4-FFF2-40B4-BE49-F238E27FC236}">
              <a16:creationId xmlns:a16="http://schemas.microsoft.com/office/drawing/2014/main" id="{00000000-0008-0000-0400-00001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a:extLst>
            <a:ext uri="{FF2B5EF4-FFF2-40B4-BE49-F238E27FC236}">
              <a16:creationId xmlns:a16="http://schemas.microsoft.com/office/drawing/2014/main" id="{00000000-0008-0000-0400-00001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a:extLst>
            <a:ext uri="{FF2B5EF4-FFF2-40B4-BE49-F238E27FC236}">
              <a16:creationId xmlns:a16="http://schemas.microsoft.com/office/drawing/2014/main" id="{00000000-0008-0000-0400-00002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a:extLst>
            <a:ext uri="{FF2B5EF4-FFF2-40B4-BE49-F238E27FC236}">
              <a16:creationId xmlns:a16="http://schemas.microsoft.com/office/drawing/2014/main" id="{00000000-0008-0000-0400-00002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a:extLst>
            <a:ext uri="{FF2B5EF4-FFF2-40B4-BE49-F238E27FC236}">
              <a16:creationId xmlns:a16="http://schemas.microsoft.com/office/drawing/2014/main" id="{00000000-0008-0000-0400-00002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a:extLst>
            <a:ext uri="{FF2B5EF4-FFF2-40B4-BE49-F238E27FC236}">
              <a16:creationId xmlns:a16="http://schemas.microsoft.com/office/drawing/2014/main" id="{00000000-0008-0000-0400-00002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a:extLst>
            <a:ext uri="{FF2B5EF4-FFF2-40B4-BE49-F238E27FC236}">
              <a16:creationId xmlns:a16="http://schemas.microsoft.com/office/drawing/2014/main" id="{00000000-0008-0000-0400-00002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a:extLst>
            <a:ext uri="{FF2B5EF4-FFF2-40B4-BE49-F238E27FC236}">
              <a16:creationId xmlns:a16="http://schemas.microsoft.com/office/drawing/2014/main" id="{00000000-0008-0000-0400-00002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a:extLst>
            <a:ext uri="{FF2B5EF4-FFF2-40B4-BE49-F238E27FC236}">
              <a16:creationId xmlns:a16="http://schemas.microsoft.com/office/drawing/2014/main" id="{00000000-0008-0000-0400-00002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a:extLst>
            <a:ext uri="{FF2B5EF4-FFF2-40B4-BE49-F238E27FC236}">
              <a16:creationId xmlns:a16="http://schemas.microsoft.com/office/drawing/2014/main" id="{00000000-0008-0000-0400-00002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a:extLst>
            <a:ext uri="{FF2B5EF4-FFF2-40B4-BE49-F238E27FC236}">
              <a16:creationId xmlns:a16="http://schemas.microsoft.com/office/drawing/2014/main" id="{00000000-0008-0000-0400-00002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a:extLst>
            <a:ext uri="{FF2B5EF4-FFF2-40B4-BE49-F238E27FC236}">
              <a16:creationId xmlns:a16="http://schemas.microsoft.com/office/drawing/2014/main" id="{00000000-0008-0000-0400-00002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a:extLst>
            <a:ext uri="{FF2B5EF4-FFF2-40B4-BE49-F238E27FC236}">
              <a16:creationId xmlns:a16="http://schemas.microsoft.com/office/drawing/2014/main" id="{00000000-0008-0000-0400-00002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a:extLst>
            <a:ext uri="{FF2B5EF4-FFF2-40B4-BE49-F238E27FC236}">
              <a16:creationId xmlns:a16="http://schemas.microsoft.com/office/drawing/2014/main" id="{00000000-0008-0000-0400-00002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a:extLst>
            <a:ext uri="{FF2B5EF4-FFF2-40B4-BE49-F238E27FC236}">
              <a16:creationId xmlns:a16="http://schemas.microsoft.com/office/drawing/2014/main" id="{00000000-0008-0000-0400-00002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a:extLst>
            <a:ext uri="{FF2B5EF4-FFF2-40B4-BE49-F238E27FC236}">
              <a16:creationId xmlns:a16="http://schemas.microsoft.com/office/drawing/2014/main" id="{00000000-0008-0000-0400-00002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a:extLst>
            <a:ext uri="{FF2B5EF4-FFF2-40B4-BE49-F238E27FC236}">
              <a16:creationId xmlns:a16="http://schemas.microsoft.com/office/drawing/2014/main" id="{00000000-0008-0000-0400-00002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a:extLst>
            <a:ext uri="{FF2B5EF4-FFF2-40B4-BE49-F238E27FC236}">
              <a16:creationId xmlns:a16="http://schemas.microsoft.com/office/drawing/2014/main" id="{00000000-0008-0000-0400-00002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a:extLst>
            <a:ext uri="{FF2B5EF4-FFF2-40B4-BE49-F238E27FC236}">
              <a16:creationId xmlns:a16="http://schemas.microsoft.com/office/drawing/2014/main" id="{00000000-0008-0000-0400-00003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a:extLst>
            <a:ext uri="{FF2B5EF4-FFF2-40B4-BE49-F238E27FC236}">
              <a16:creationId xmlns:a16="http://schemas.microsoft.com/office/drawing/2014/main" id="{00000000-0008-0000-0400-00003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a:extLst>
            <a:ext uri="{FF2B5EF4-FFF2-40B4-BE49-F238E27FC236}">
              <a16:creationId xmlns:a16="http://schemas.microsoft.com/office/drawing/2014/main" id="{00000000-0008-0000-0400-00003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a:extLst>
            <a:ext uri="{FF2B5EF4-FFF2-40B4-BE49-F238E27FC236}">
              <a16:creationId xmlns:a16="http://schemas.microsoft.com/office/drawing/2014/main" id="{00000000-0008-0000-0400-00003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a:extLst>
            <a:ext uri="{FF2B5EF4-FFF2-40B4-BE49-F238E27FC236}">
              <a16:creationId xmlns:a16="http://schemas.microsoft.com/office/drawing/2014/main" id="{00000000-0008-0000-0400-00003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a:extLst>
            <a:ext uri="{FF2B5EF4-FFF2-40B4-BE49-F238E27FC236}">
              <a16:creationId xmlns:a16="http://schemas.microsoft.com/office/drawing/2014/main" id="{00000000-0008-0000-0400-00003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a:extLst>
            <a:ext uri="{FF2B5EF4-FFF2-40B4-BE49-F238E27FC236}">
              <a16:creationId xmlns:a16="http://schemas.microsoft.com/office/drawing/2014/main" id="{00000000-0008-0000-0400-00003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a:extLst>
            <a:ext uri="{FF2B5EF4-FFF2-40B4-BE49-F238E27FC236}">
              <a16:creationId xmlns:a16="http://schemas.microsoft.com/office/drawing/2014/main" id="{00000000-0008-0000-0400-00003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a:extLst>
            <a:ext uri="{FF2B5EF4-FFF2-40B4-BE49-F238E27FC236}">
              <a16:creationId xmlns:a16="http://schemas.microsoft.com/office/drawing/2014/main" id="{00000000-0008-0000-0400-00003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a:extLst>
            <a:ext uri="{FF2B5EF4-FFF2-40B4-BE49-F238E27FC236}">
              <a16:creationId xmlns:a16="http://schemas.microsoft.com/office/drawing/2014/main" id="{00000000-0008-0000-0400-00003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a:extLst>
            <a:ext uri="{FF2B5EF4-FFF2-40B4-BE49-F238E27FC236}">
              <a16:creationId xmlns:a16="http://schemas.microsoft.com/office/drawing/2014/main" id="{00000000-0008-0000-0400-00003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a:extLst>
            <a:ext uri="{FF2B5EF4-FFF2-40B4-BE49-F238E27FC236}">
              <a16:creationId xmlns:a16="http://schemas.microsoft.com/office/drawing/2014/main" id="{00000000-0008-0000-0400-00003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a:extLst>
            <a:ext uri="{FF2B5EF4-FFF2-40B4-BE49-F238E27FC236}">
              <a16:creationId xmlns:a16="http://schemas.microsoft.com/office/drawing/2014/main" id="{00000000-0008-0000-0400-00003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a:extLst>
            <a:ext uri="{FF2B5EF4-FFF2-40B4-BE49-F238E27FC236}">
              <a16:creationId xmlns:a16="http://schemas.microsoft.com/office/drawing/2014/main" id="{00000000-0008-0000-0400-00003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a:extLst>
            <a:ext uri="{FF2B5EF4-FFF2-40B4-BE49-F238E27FC236}">
              <a16:creationId xmlns:a16="http://schemas.microsoft.com/office/drawing/2014/main" id="{00000000-0008-0000-0400-00003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a:extLst>
            <a:ext uri="{FF2B5EF4-FFF2-40B4-BE49-F238E27FC236}">
              <a16:creationId xmlns:a16="http://schemas.microsoft.com/office/drawing/2014/main" id="{00000000-0008-0000-0400-00003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a:extLst>
            <a:ext uri="{FF2B5EF4-FFF2-40B4-BE49-F238E27FC236}">
              <a16:creationId xmlns:a16="http://schemas.microsoft.com/office/drawing/2014/main" id="{00000000-0008-0000-0400-00004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a:extLst>
            <a:ext uri="{FF2B5EF4-FFF2-40B4-BE49-F238E27FC236}">
              <a16:creationId xmlns:a16="http://schemas.microsoft.com/office/drawing/2014/main" id="{00000000-0008-0000-0400-00004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a:extLst>
            <a:ext uri="{FF2B5EF4-FFF2-40B4-BE49-F238E27FC236}">
              <a16:creationId xmlns:a16="http://schemas.microsoft.com/office/drawing/2014/main" id="{00000000-0008-0000-0400-00004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a:extLst>
            <a:ext uri="{FF2B5EF4-FFF2-40B4-BE49-F238E27FC236}">
              <a16:creationId xmlns:a16="http://schemas.microsoft.com/office/drawing/2014/main" id="{00000000-0008-0000-0400-00004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a:extLst>
            <a:ext uri="{FF2B5EF4-FFF2-40B4-BE49-F238E27FC236}">
              <a16:creationId xmlns:a16="http://schemas.microsoft.com/office/drawing/2014/main" id="{00000000-0008-0000-0400-00004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a:extLst>
            <a:ext uri="{FF2B5EF4-FFF2-40B4-BE49-F238E27FC236}">
              <a16:creationId xmlns:a16="http://schemas.microsoft.com/office/drawing/2014/main" id="{00000000-0008-0000-0400-00004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a:extLst>
            <a:ext uri="{FF2B5EF4-FFF2-40B4-BE49-F238E27FC236}">
              <a16:creationId xmlns:a16="http://schemas.microsoft.com/office/drawing/2014/main" id="{00000000-0008-0000-0400-00004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a:extLst>
            <a:ext uri="{FF2B5EF4-FFF2-40B4-BE49-F238E27FC236}">
              <a16:creationId xmlns:a16="http://schemas.microsoft.com/office/drawing/2014/main" id="{00000000-0008-0000-0400-00004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a:extLst>
            <a:ext uri="{FF2B5EF4-FFF2-40B4-BE49-F238E27FC236}">
              <a16:creationId xmlns:a16="http://schemas.microsoft.com/office/drawing/2014/main" id="{00000000-0008-0000-0400-00004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a:extLst>
            <a:ext uri="{FF2B5EF4-FFF2-40B4-BE49-F238E27FC236}">
              <a16:creationId xmlns:a16="http://schemas.microsoft.com/office/drawing/2014/main" id="{00000000-0008-0000-0400-00004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a:extLst>
            <a:ext uri="{FF2B5EF4-FFF2-40B4-BE49-F238E27FC236}">
              <a16:creationId xmlns:a16="http://schemas.microsoft.com/office/drawing/2014/main" id="{00000000-0008-0000-0400-00004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a:extLst>
            <a:ext uri="{FF2B5EF4-FFF2-40B4-BE49-F238E27FC236}">
              <a16:creationId xmlns:a16="http://schemas.microsoft.com/office/drawing/2014/main" id="{00000000-0008-0000-0400-00004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a:extLst>
            <a:ext uri="{FF2B5EF4-FFF2-40B4-BE49-F238E27FC236}">
              <a16:creationId xmlns:a16="http://schemas.microsoft.com/office/drawing/2014/main" id="{00000000-0008-0000-0400-00004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a:extLst>
            <a:ext uri="{FF2B5EF4-FFF2-40B4-BE49-F238E27FC236}">
              <a16:creationId xmlns:a16="http://schemas.microsoft.com/office/drawing/2014/main" id="{00000000-0008-0000-0400-00004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a:extLst>
            <a:ext uri="{FF2B5EF4-FFF2-40B4-BE49-F238E27FC236}">
              <a16:creationId xmlns:a16="http://schemas.microsoft.com/office/drawing/2014/main" id="{00000000-0008-0000-0400-00004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a:extLst>
            <a:ext uri="{FF2B5EF4-FFF2-40B4-BE49-F238E27FC236}">
              <a16:creationId xmlns:a16="http://schemas.microsoft.com/office/drawing/2014/main" id="{00000000-0008-0000-0400-00004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a:extLst>
            <a:ext uri="{FF2B5EF4-FFF2-40B4-BE49-F238E27FC236}">
              <a16:creationId xmlns:a16="http://schemas.microsoft.com/office/drawing/2014/main" id="{00000000-0008-0000-0400-00005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a:extLst>
            <a:ext uri="{FF2B5EF4-FFF2-40B4-BE49-F238E27FC236}">
              <a16:creationId xmlns:a16="http://schemas.microsoft.com/office/drawing/2014/main" id="{00000000-0008-0000-0400-00005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a:extLst>
            <a:ext uri="{FF2B5EF4-FFF2-40B4-BE49-F238E27FC236}">
              <a16:creationId xmlns:a16="http://schemas.microsoft.com/office/drawing/2014/main" id="{00000000-0008-0000-0400-00005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a:extLst>
            <a:ext uri="{FF2B5EF4-FFF2-40B4-BE49-F238E27FC236}">
              <a16:creationId xmlns:a16="http://schemas.microsoft.com/office/drawing/2014/main" id="{00000000-0008-0000-0400-00005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a:extLst>
            <a:ext uri="{FF2B5EF4-FFF2-40B4-BE49-F238E27FC236}">
              <a16:creationId xmlns:a16="http://schemas.microsoft.com/office/drawing/2014/main" id="{00000000-0008-0000-0400-00005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a:extLst>
            <a:ext uri="{FF2B5EF4-FFF2-40B4-BE49-F238E27FC236}">
              <a16:creationId xmlns:a16="http://schemas.microsoft.com/office/drawing/2014/main" id="{00000000-0008-0000-0400-00005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a:extLst>
            <a:ext uri="{FF2B5EF4-FFF2-40B4-BE49-F238E27FC236}">
              <a16:creationId xmlns:a16="http://schemas.microsoft.com/office/drawing/2014/main" id="{00000000-0008-0000-0400-00005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a:extLst>
            <a:ext uri="{FF2B5EF4-FFF2-40B4-BE49-F238E27FC236}">
              <a16:creationId xmlns:a16="http://schemas.microsoft.com/office/drawing/2014/main" id="{00000000-0008-0000-0400-00005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a:extLst>
            <a:ext uri="{FF2B5EF4-FFF2-40B4-BE49-F238E27FC236}">
              <a16:creationId xmlns:a16="http://schemas.microsoft.com/office/drawing/2014/main" id="{00000000-0008-0000-0400-00005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a:extLst>
            <a:ext uri="{FF2B5EF4-FFF2-40B4-BE49-F238E27FC236}">
              <a16:creationId xmlns:a16="http://schemas.microsoft.com/office/drawing/2014/main" id="{00000000-0008-0000-0400-00005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a:extLst>
            <a:ext uri="{FF2B5EF4-FFF2-40B4-BE49-F238E27FC236}">
              <a16:creationId xmlns:a16="http://schemas.microsoft.com/office/drawing/2014/main" id="{00000000-0008-0000-0400-00005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a:extLst>
            <a:ext uri="{FF2B5EF4-FFF2-40B4-BE49-F238E27FC236}">
              <a16:creationId xmlns:a16="http://schemas.microsoft.com/office/drawing/2014/main" id="{00000000-0008-0000-0400-00005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a:extLst>
            <a:ext uri="{FF2B5EF4-FFF2-40B4-BE49-F238E27FC236}">
              <a16:creationId xmlns:a16="http://schemas.microsoft.com/office/drawing/2014/main" id="{00000000-0008-0000-0400-00005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a:extLst>
            <a:ext uri="{FF2B5EF4-FFF2-40B4-BE49-F238E27FC236}">
              <a16:creationId xmlns:a16="http://schemas.microsoft.com/office/drawing/2014/main" id="{00000000-0008-0000-0400-00005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a:extLst>
            <a:ext uri="{FF2B5EF4-FFF2-40B4-BE49-F238E27FC236}">
              <a16:creationId xmlns:a16="http://schemas.microsoft.com/office/drawing/2014/main" id="{00000000-0008-0000-0400-00005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a:extLst>
            <a:ext uri="{FF2B5EF4-FFF2-40B4-BE49-F238E27FC236}">
              <a16:creationId xmlns:a16="http://schemas.microsoft.com/office/drawing/2014/main" id="{00000000-0008-0000-0400-00005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a:extLst>
            <a:ext uri="{FF2B5EF4-FFF2-40B4-BE49-F238E27FC236}">
              <a16:creationId xmlns:a16="http://schemas.microsoft.com/office/drawing/2014/main" id="{00000000-0008-0000-0400-00006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a:extLst>
            <a:ext uri="{FF2B5EF4-FFF2-40B4-BE49-F238E27FC236}">
              <a16:creationId xmlns:a16="http://schemas.microsoft.com/office/drawing/2014/main" id="{00000000-0008-0000-0400-00006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a:extLst>
            <a:ext uri="{FF2B5EF4-FFF2-40B4-BE49-F238E27FC236}">
              <a16:creationId xmlns:a16="http://schemas.microsoft.com/office/drawing/2014/main" id="{00000000-0008-0000-0400-00006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a:extLst>
            <a:ext uri="{FF2B5EF4-FFF2-40B4-BE49-F238E27FC236}">
              <a16:creationId xmlns:a16="http://schemas.microsoft.com/office/drawing/2014/main" id="{00000000-0008-0000-0400-00006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a:extLst>
            <a:ext uri="{FF2B5EF4-FFF2-40B4-BE49-F238E27FC236}">
              <a16:creationId xmlns:a16="http://schemas.microsoft.com/office/drawing/2014/main" id="{00000000-0008-0000-0400-00006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a:extLst>
            <a:ext uri="{FF2B5EF4-FFF2-40B4-BE49-F238E27FC236}">
              <a16:creationId xmlns:a16="http://schemas.microsoft.com/office/drawing/2014/main" id="{00000000-0008-0000-0400-00006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a:extLst>
            <a:ext uri="{FF2B5EF4-FFF2-40B4-BE49-F238E27FC236}">
              <a16:creationId xmlns:a16="http://schemas.microsoft.com/office/drawing/2014/main" id="{00000000-0008-0000-0400-00006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a:extLst>
            <a:ext uri="{FF2B5EF4-FFF2-40B4-BE49-F238E27FC236}">
              <a16:creationId xmlns:a16="http://schemas.microsoft.com/office/drawing/2014/main" id="{00000000-0008-0000-0400-00006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a:extLst>
            <a:ext uri="{FF2B5EF4-FFF2-40B4-BE49-F238E27FC236}">
              <a16:creationId xmlns:a16="http://schemas.microsoft.com/office/drawing/2014/main" id="{00000000-0008-0000-0400-00006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a:extLst>
            <a:ext uri="{FF2B5EF4-FFF2-40B4-BE49-F238E27FC236}">
              <a16:creationId xmlns:a16="http://schemas.microsoft.com/office/drawing/2014/main" id="{00000000-0008-0000-0400-00006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a:extLst>
            <a:ext uri="{FF2B5EF4-FFF2-40B4-BE49-F238E27FC236}">
              <a16:creationId xmlns:a16="http://schemas.microsoft.com/office/drawing/2014/main" id="{00000000-0008-0000-0400-00006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a:extLst>
            <a:ext uri="{FF2B5EF4-FFF2-40B4-BE49-F238E27FC236}">
              <a16:creationId xmlns:a16="http://schemas.microsoft.com/office/drawing/2014/main" id="{00000000-0008-0000-0400-00006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a:extLst>
            <a:ext uri="{FF2B5EF4-FFF2-40B4-BE49-F238E27FC236}">
              <a16:creationId xmlns:a16="http://schemas.microsoft.com/office/drawing/2014/main" id="{00000000-0008-0000-0400-00006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a:extLst>
            <a:ext uri="{FF2B5EF4-FFF2-40B4-BE49-F238E27FC236}">
              <a16:creationId xmlns:a16="http://schemas.microsoft.com/office/drawing/2014/main" id="{00000000-0008-0000-0400-00006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a:extLst>
            <a:ext uri="{FF2B5EF4-FFF2-40B4-BE49-F238E27FC236}">
              <a16:creationId xmlns:a16="http://schemas.microsoft.com/office/drawing/2014/main" id="{00000000-0008-0000-0400-00006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a:extLst>
            <a:ext uri="{FF2B5EF4-FFF2-40B4-BE49-F238E27FC236}">
              <a16:creationId xmlns:a16="http://schemas.microsoft.com/office/drawing/2014/main" id="{00000000-0008-0000-0400-00006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a:extLst>
            <a:ext uri="{FF2B5EF4-FFF2-40B4-BE49-F238E27FC236}">
              <a16:creationId xmlns:a16="http://schemas.microsoft.com/office/drawing/2014/main" id="{00000000-0008-0000-0400-00007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a:extLst>
            <a:ext uri="{FF2B5EF4-FFF2-40B4-BE49-F238E27FC236}">
              <a16:creationId xmlns:a16="http://schemas.microsoft.com/office/drawing/2014/main" id="{00000000-0008-0000-0400-00007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a:extLst>
            <a:ext uri="{FF2B5EF4-FFF2-40B4-BE49-F238E27FC236}">
              <a16:creationId xmlns:a16="http://schemas.microsoft.com/office/drawing/2014/main" id="{00000000-0008-0000-0400-00007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a:extLst>
            <a:ext uri="{FF2B5EF4-FFF2-40B4-BE49-F238E27FC236}">
              <a16:creationId xmlns:a16="http://schemas.microsoft.com/office/drawing/2014/main" id="{00000000-0008-0000-0400-00007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a:extLst>
            <a:ext uri="{FF2B5EF4-FFF2-40B4-BE49-F238E27FC236}">
              <a16:creationId xmlns:a16="http://schemas.microsoft.com/office/drawing/2014/main" id="{00000000-0008-0000-0400-00007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a:extLst>
            <a:ext uri="{FF2B5EF4-FFF2-40B4-BE49-F238E27FC236}">
              <a16:creationId xmlns:a16="http://schemas.microsoft.com/office/drawing/2014/main" id="{00000000-0008-0000-0400-00007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a:extLst>
            <a:ext uri="{FF2B5EF4-FFF2-40B4-BE49-F238E27FC236}">
              <a16:creationId xmlns:a16="http://schemas.microsoft.com/office/drawing/2014/main" id="{00000000-0008-0000-0400-00007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a:extLst>
            <a:ext uri="{FF2B5EF4-FFF2-40B4-BE49-F238E27FC236}">
              <a16:creationId xmlns:a16="http://schemas.microsoft.com/office/drawing/2014/main" id="{00000000-0008-0000-0400-00007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a:extLst>
            <a:ext uri="{FF2B5EF4-FFF2-40B4-BE49-F238E27FC236}">
              <a16:creationId xmlns:a16="http://schemas.microsoft.com/office/drawing/2014/main" id="{00000000-0008-0000-0400-00007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a:extLst>
            <a:ext uri="{FF2B5EF4-FFF2-40B4-BE49-F238E27FC236}">
              <a16:creationId xmlns:a16="http://schemas.microsoft.com/office/drawing/2014/main" id="{00000000-0008-0000-0400-00007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a:extLst>
            <a:ext uri="{FF2B5EF4-FFF2-40B4-BE49-F238E27FC236}">
              <a16:creationId xmlns:a16="http://schemas.microsoft.com/office/drawing/2014/main" id="{00000000-0008-0000-0400-00007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a:extLst>
            <a:ext uri="{FF2B5EF4-FFF2-40B4-BE49-F238E27FC236}">
              <a16:creationId xmlns:a16="http://schemas.microsoft.com/office/drawing/2014/main" id="{00000000-0008-0000-0400-00007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a:extLst>
            <a:ext uri="{FF2B5EF4-FFF2-40B4-BE49-F238E27FC236}">
              <a16:creationId xmlns:a16="http://schemas.microsoft.com/office/drawing/2014/main" id="{00000000-0008-0000-0400-00007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a:extLst>
            <a:ext uri="{FF2B5EF4-FFF2-40B4-BE49-F238E27FC236}">
              <a16:creationId xmlns:a16="http://schemas.microsoft.com/office/drawing/2014/main" id="{00000000-0008-0000-0400-00007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a:extLst>
            <a:ext uri="{FF2B5EF4-FFF2-40B4-BE49-F238E27FC236}">
              <a16:creationId xmlns:a16="http://schemas.microsoft.com/office/drawing/2014/main" id="{00000000-0008-0000-0400-00007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a:extLst>
            <a:ext uri="{FF2B5EF4-FFF2-40B4-BE49-F238E27FC236}">
              <a16:creationId xmlns:a16="http://schemas.microsoft.com/office/drawing/2014/main" id="{00000000-0008-0000-0400-00007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a:extLst>
            <a:ext uri="{FF2B5EF4-FFF2-40B4-BE49-F238E27FC236}">
              <a16:creationId xmlns:a16="http://schemas.microsoft.com/office/drawing/2014/main" id="{00000000-0008-0000-0400-00008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a:extLst>
            <a:ext uri="{FF2B5EF4-FFF2-40B4-BE49-F238E27FC236}">
              <a16:creationId xmlns:a16="http://schemas.microsoft.com/office/drawing/2014/main" id="{00000000-0008-0000-0400-00008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a:extLst>
            <a:ext uri="{FF2B5EF4-FFF2-40B4-BE49-F238E27FC236}">
              <a16:creationId xmlns:a16="http://schemas.microsoft.com/office/drawing/2014/main" id="{00000000-0008-0000-0400-00008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a:extLst>
            <a:ext uri="{FF2B5EF4-FFF2-40B4-BE49-F238E27FC236}">
              <a16:creationId xmlns:a16="http://schemas.microsoft.com/office/drawing/2014/main" id="{00000000-0008-0000-0400-00008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a:extLst>
            <a:ext uri="{FF2B5EF4-FFF2-40B4-BE49-F238E27FC236}">
              <a16:creationId xmlns:a16="http://schemas.microsoft.com/office/drawing/2014/main" id="{00000000-0008-0000-0400-00008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a:extLst>
            <a:ext uri="{FF2B5EF4-FFF2-40B4-BE49-F238E27FC236}">
              <a16:creationId xmlns:a16="http://schemas.microsoft.com/office/drawing/2014/main" id="{00000000-0008-0000-0400-00008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a:extLst>
            <a:ext uri="{FF2B5EF4-FFF2-40B4-BE49-F238E27FC236}">
              <a16:creationId xmlns:a16="http://schemas.microsoft.com/office/drawing/2014/main" id="{00000000-0008-0000-0400-00008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a:extLst>
            <a:ext uri="{FF2B5EF4-FFF2-40B4-BE49-F238E27FC236}">
              <a16:creationId xmlns:a16="http://schemas.microsoft.com/office/drawing/2014/main" id="{00000000-0008-0000-0400-00008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a:extLst>
            <a:ext uri="{FF2B5EF4-FFF2-40B4-BE49-F238E27FC236}">
              <a16:creationId xmlns:a16="http://schemas.microsoft.com/office/drawing/2014/main" id="{00000000-0008-0000-0400-00008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a:extLst>
            <a:ext uri="{FF2B5EF4-FFF2-40B4-BE49-F238E27FC236}">
              <a16:creationId xmlns:a16="http://schemas.microsoft.com/office/drawing/2014/main" id="{00000000-0008-0000-0400-00008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a:extLst>
            <a:ext uri="{FF2B5EF4-FFF2-40B4-BE49-F238E27FC236}">
              <a16:creationId xmlns:a16="http://schemas.microsoft.com/office/drawing/2014/main" id="{00000000-0008-0000-0400-00008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a:extLst>
            <a:ext uri="{FF2B5EF4-FFF2-40B4-BE49-F238E27FC236}">
              <a16:creationId xmlns:a16="http://schemas.microsoft.com/office/drawing/2014/main" id="{00000000-0008-0000-0400-00008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a:extLst>
            <a:ext uri="{FF2B5EF4-FFF2-40B4-BE49-F238E27FC236}">
              <a16:creationId xmlns:a16="http://schemas.microsoft.com/office/drawing/2014/main" id="{00000000-0008-0000-0400-00008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a:extLst>
            <a:ext uri="{FF2B5EF4-FFF2-40B4-BE49-F238E27FC236}">
              <a16:creationId xmlns:a16="http://schemas.microsoft.com/office/drawing/2014/main" id="{00000000-0008-0000-0400-00008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a:extLst>
            <a:ext uri="{FF2B5EF4-FFF2-40B4-BE49-F238E27FC236}">
              <a16:creationId xmlns:a16="http://schemas.microsoft.com/office/drawing/2014/main" id="{00000000-0008-0000-0400-00008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a:extLst>
            <a:ext uri="{FF2B5EF4-FFF2-40B4-BE49-F238E27FC236}">
              <a16:creationId xmlns:a16="http://schemas.microsoft.com/office/drawing/2014/main" id="{00000000-0008-0000-0400-00008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a:extLst>
            <a:ext uri="{FF2B5EF4-FFF2-40B4-BE49-F238E27FC236}">
              <a16:creationId xmlns:a16="http://schemas.microsoft.com/office/drawing/2014/main" id="{00000000-0008-0000-0400-00009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a:extLst>
            <a:ext uri="{FF2B5EF4-FFF2-40B4-BE49-F238E27FC236}">
              <a16:creationId xmlns:a16="http://schemas.microsoft.com/office/drawing/2014/main" id="{00000000-0008-0000-0400-00009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a:extLst>
            <a:ext uri="{FF2B5EF4-FFF2-40B4-BE49-F238E27FC236}">
              <a16:creationId xmlns:a16="http://schemas.microsoft.com/office/drawing/2014/main" id="{00000000-0008-0000-0400-00009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a:extLst>
            <a:ext uri="{FF2B5EF4-FFF2-40B4-BE49-F238E27FC236}">
              <a16:creationId xmlns:a16="http://schemas.microsoft.com/office/drawing/2014/main" id="{00000000-0008-0000-0400-00009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a:extLst>
            <a:ext uri="{FF2B5EF4-FFF2-40B4-BE49-F238E27FC236}">
              <a16:creationId xmlns:a16="http://schemas.microsoft.com/office/drawing/2014/main" id="{00000000-0008-0000-0400-00009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a:extLst>
            <a:ext uri="{FF2B5EF4-FFF2-40B4-BE49-F238E27FC236}">
              <a16:creationId xmlns:a16="http://schemas.microsoft.com/office/drawing/2014/main" id="{00000000-0008-0000-0400-00009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a:extLst>
            <a:ext uri="{FF2B5EF4-FFF2-40B4-BE49-F238E27FC236}">
              <a16:creationId xmlns:a16="http://schemas.microsoft.com/office/drawing/2014/main" id="{00000000-0008-0000-0400-00009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a:extLst>
            <a:ext uri="{FF2B5EF4-FFF2-40B4-BE49-F238E27FC236}">
              <a16:creationId xmlns:a16="http://schemas.microsoft.com/office/drawing/2014/main" id="{00000000-0008-0000-0400-00009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a:extLst>
            <a:ext uri="{FF2B5EF4-FFF2-40B4-BE49-F238E27FC236}">
              <a16:creationId xmlns:a16="http://schemas.microsoft.com/office/drawing/2014/main" id="{00000000-0008-0000-0400-00009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a:extLst>
            <a:ext uri="{FF2B5EF4-FFF2-40B4-BE49-F238E27FC236}">
              <a16:creationId xmlns:a16="http://schemas.microsoft.com/office/drawing/2014/main" id="{00000000-0008-0000-0400-00009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a:extLst>
            <a:ext uri="{FF2B5EF4-FFF2-40B4-BE49-F238E27FC236}">
              <a16:creationId xmlns:a16="http://schemas.microsoft.com/office/drawing/2014/main" id="{00000000-0008-0000-0400-00009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a:extLst>
            <a:ext uri="{FF2B5EF4-FFF2-40B4-BE49-F238E27FC236}">
              <a16:creationId xmlns:a16="http://schemas.microsoft.com/office/drawing/2014/main" id="{00000000-0008-0000-0400-00009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a:extLst>
            <a:ext uri="{FF2B5EF4-FFF2-40B4-BE49-F238E27FC236}">
              <a16:creationId xmlns:a16="http://schemas.microsoft.com/office/drawing/2014/main" id="{00000000-0008-0000-0400-00009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a:extLst>
            <a:ext uri="{FF2B5EF4-FFF2-40B4-BE49-F238E27FC236}">
              <a16:creationId xmlns:a16="http://schemas.microsoft.com/office/drawing/2014/main" id="{00000000-0008-0000-0400-00009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a:extLst>
            <a:ext uri="{FF2B5EF4-FFF2-40B4-BE49-F238E27FC236}">
              <a16:creationId xmlns:a16="http://schemas.microsoft.com/office/drawing/2014/main" id="{00000000-0008-0000-0400-00009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a:extLst>
            <a:ext uri="{FF2B5EF4-FFF2-40B4-BE49-F238E27FC236}">
              <a16:creationId xmlns:a16="http://schemas.microsoft.com/office/drawing/2014/main" id="{00000000-0008-0000-0400-00009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a:extLst>
            <a:ext uri="{FF2B5EF4-FFF2-40B4-BE49-F238E27FC236}">
              <a16:creationId xmlns:a16="http://schemas.microsoft.com/office/drawing/2014/main" id="{00000000-0008-0000-0400-0000A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a:extLst>
            <a:ext uri="{FF2B5EF4-FFF2-40B4-BE49-F238E27FC236}">
              <a16:creationId xmlns:a16="http://schemas.microsoft.com/office/drawing/2014/main" id="{00000000-0008-0000-0400-0000A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a:extLst>
            <a:ext uri="{FF2B5EF4-FFF2-40B4-BE49-F238E27FC236}">
              <a16:creationId xmlns:a16="http://schemas.microsoft.com/office/drawing/2014/main" id="{00000000-0008-0000-0400-0000A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a:extLst>
            <a:ext uri="{FF2B5EF4-FFF2-40B4-BE49-F238E27FC236}">
              <a16:creationId xmlns:a16="http://schemas.microsoft.com/office/drawing/2014/main" id="{00000000-0008-0000-0400-0000A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a:extLst>
            <a:ext uri="{FF2B5EF4-FFF2-40B4-BE49-F238E27FC236}">
              <a16:creationId xmlns:a16="http://schemas.microsoft.com/office/drawing/2014/main" id="{00000000-0008-0000-0400-0000A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a:extLst>
            <a:ext uri="{FF2B5EF4-FFF2-40B4-BE49-F238E27FC236}">
              <a16:creationId xmlns:a16="http://schemas.microsoft.com/office/drawing/2014/main" id="{00000000-0008-0000-0400-0000A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a:extLst>
            <a:ext uri="{FF2B5EF4-FFF2-40B4-BE49-F238E27FC236}">
              <a16:creationId xmlns:a16="http://schemas.microsoft.com/office/drawing/2014/main" id="{00000000-0008-0000-0400-0000A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a:extLst>
            <a:ext uri="{FF2B5EF4-FFF2-40B4-BE49-F238E27FC236}">
              <a16:creationId xmlns:a16="http://schemas.microsoft.com/office/drawing/2014/main" id="{00000000-0008-0000-0400-0000A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a:extLst>
            <a:ext uri="{FF2B5EF4-FFF2-40B4-BE49-F238E27FC236}">
              <a16:creationId xmlns:a16="http://schemas.microsoft.com/office/drawing/2014/main" id="{00000000-0008-0000-0400-0000A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a:extLst>
            <a:ext uri="{FF2B5EF4-FFF2-40B4-BE49-F238E27FC236}">
              <a16:creationId xmlns:a16="http://schemas.microsoft.com/office/drawing/2014/main" id="{00000000-0008-0000-0400-0000A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a:extLst>
            <a:ext uri="{FF2B5EF4-FFF2-40B4-BE49-F238E27FC236}">
              <a16:creationId xmlns:a16="http://schemas.microsoft.com/office/drawing/2014/main" id="{00000000-0008-0000-0400-0000A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a:extLst>
            <a:ext uri="{FF2B5EF4-FFF2-40B4-BE49-F238E27FC236}">
              <a16:creationId xmlns:a16="http://schemas.microsoft.com/office/drawing/2014/main" id="{00000000-0008-0000-0400-0000A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a:extLst>
            <a:ext uri="{FF2B5EF4-FFF2-40B4-BE49-F238E27FC236}">
              <a16:creationId xmlns:a16="http://schemas.microsoft.com/office/drawing/2014/main" id="{00000000-0008-0000-0400-0000A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a:extLst>
            <a:ext uri="{FF2B5EF4-FFF2-40B4-BE49-F238E27FC236}">
              <a16:creationId xmlns:a16="http://schemas.microsoft.com/office/drawing/2014/main" id="{00000000-0008-0000-0400-0000A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a:extLst>
            <a:ext uri="{FF2B5EF4-FFF2-40B4-BE49-F238E27FC236}">
              <a16:creationId xmlns:a16="http://schemas.microsoft.com/office/drawing/2014/main" id="{00000000-0008-0000-0400-0000A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a:extLst>
            <a:ext uri="{FF2B5EF4-FFF2-40B4-BE49-F238E27FC236}">
              <a16:creationId xmlns:a16="http://schemas.microsoft.com/office/drawing/2014/main" id="{00000000-0008-0000-0400-0000A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a:extLst>
            <a:ext uri="{FF2B5EF4-FFF2-40B4-BE49-F238E27FC236}">
              <a16:creationId xmlns:a16="http://schemas.microsoft.com/office/drawing/2014/main" id="{00000000-0008-0000-0400-0000B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a:extLst>
            <a:ext uri="{FF2B5EF4-FFF2-40B4-BE49-F238E27FC236}">
              <a16:creationId xmlns:a16="http://schemas.microsoft.com/office/drawing/2014/main" id="{00000000-0008-0000-0400-0000B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a:extLst>
            <a:ext uri="{FF2B5EF4-FFF2-40B4-BE49-F238E27FC236}">
              <a16:creationId xmlns:a16="http://schemas.microsoft.com/office/drawing/2014/main" id="{00000000-0008-0000-0400-0000B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a:extLst>
            <a:ext uri="{FF2B5EF4-FFF2-40B4-BE49-F238E27FC236}">
              <a16:creationId xmlns:a16="http://schemas.microsoft.com/office/drawing/2014/main" id="{00000000-0008-0000-0400-0000B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a:extLst>
            <a:ext uri="{FF2B5EF4-FFF2-40B4-BE49-F238E27FC236}">
              <a16:creationId xmlns:a16="http://schemas.microsoft.com/office/drawing/2014/main" id="{00000000-0008-0000-0400-0000B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a:extLst>
            <a:ext uri="{FF2B5EF4-FFF2-40B4-BE49-F238E27FC236}">
              <a16:creationId xmlns:a16="http://schemas.microsoft.com/office/drawing/2014/main" id="{00000000-0008-0000-0400-0000B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a:extLst>
            <a:ext uri="{FF2B5EF4-FFF2-40B4-BE49-F238E27FC236}">
              <a16:creationId xmlns:a16="http://schemas.microsoft.com/office/drawing/2014/main" id="{00000000-0008-0000-0400-0000B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a:extLst>
            <a:ext uri="{FF2B5EF4-FFF2-40B4-BE49-F238E27FC236}">
              <a16:creationId xmlns:a16="http://schemas.microsoft.com/office/drawing/2014/main" id="{00000000-0008-0000-0400-0000B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a:extLst>
            <a:ext uri="{FF2B5EF4-FFF2-40B4-BE49-F238E27FC236}">
              <a16:creationId xmlns:a16="http://schemas.microsoft.com/office/drawing/2014/main" id="{00000000-0008-0000-0400-0000B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a:extLst>
            <a:ext uri="{FF2B5EF4-FFF2-40B4-BE49-F238E27FC236}">
              <a16:creationId xmlns:a16="http://schemas.microsoft.com/office/drawing/2014/main" id="{00000000-0008-0000-0400-0000B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a:extLst>
            <a:ext uri="{FF2B5EF4-FFF2-40B4-BE49-F238E27FC236}">
              <a16:creationId xmlns:a16="http://schemas.microsoft.com/office/drawing/2014/main" id="{00000000-0008-0000-0400-0000B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a:extLst>
            <a:ext uri="{FF2B5EF4-FFF2-40B4-BE49-F238E27FC236}">
              <a16:creationId xmlns:a16="http://schemas.microsoft.com/office/drawing/2014/main" id="{00000000-0008-0000-0400-0000B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a:extLst>
            <a:ext uri="{FF2B5EF4-FFF2-40B4-BE49-F238E27FC236}">
              <a16:creationId xmlns:a16="http://schemas.microsoft.com/office/drawing/2014/main" id="{00000000-0008-0000-0400-0000B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a:extLst>
            <a:ext uri="{FF2B5EF4-FFF2-40B4-BE49-F238E27FC236}">
              <a16:creationId xmlns:a16="http://schemas.microsoft.com/office/drawing/2014/main" id="{00000000-0008-0000-0400-0000B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a:extLst>
            <a:ext uri="{FF2B5EF4-FFF2-40B4-BE49-F238E27FC236}">
              <a16:creationId xmlns:a16="http://schemas.microsoft.com/office/drawing/2014/main" id="{00000000-0008-0000-0400-0000B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a:extLst>
            <a:ext uri="{FF2B5EF4-FFF2-40B4-BE49-F238E27FC236}">
              <a16:creationId xmlns:a16="http://schemas.microsoft.com/office/drawing/2014/main" id="{00000000-0008-0000-0400-0000B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a:extLst>
            <a:ext uri="{FF2B5EF4-FFF2-40B4-BE49-F238E27FC236}">
              <a16:creationId xmlns:a16="http://schemas.microsoft.com/office/drawing/2014/main" id="{00000000-0008-0000-0400-0000C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a:extLst>
            <a:ext uri="{FF2B5EF4-FFF2-40B4-BE49-F238E27FC236}">
              <a16:creationId xmlns:a16="http://schemas.microsoft.com/office/drawing/2014/main" id="{00000000-0008-0000-0400-0000C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a:extLst>
            <a:ext uri="{FF2B5EF4-FFF2-40B4-BE49-F238E27FC236}">
              <a16:creationId xmlns:a16="http://schemas.microsoft.com/office/drawing/2014/main" id="{00000000-0008-0000-0400-0000C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a:extLst>
            <a:ext uri="{FF2B5EF4-FFF2-40B4-BE49-F238E27FC236}">
              <a16:creationId xmlns:a16="http://schemas.microsoft.com/office/drawing/2014/main" id="{00000000-0008-0000-0400-0000C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a:extLst>
            <a:ext uri="{FF2B5EF4-FFF2-40B4-BE49-F238E27FC236}">
              <a16:creationId xmlns:a16="http://schemas.microsoft.com/office/drawing/2014/main" id="{00000000-0008-0000-0400-0000C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a:extLst>
            <a:ext uri="{FF2B5EF4-FFF2-40B4-BE49-F238E27FC236}">
              <a16:creationId xmlns:a16="http://schemas.microsoft.com/office/drawing/2014/main" id="{00000000-0008-0000-0400-0000C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a:extLst>
            <a:ext uri="{FF2B5EF4-FFF2-40B4-BE49-F238E27FC236}">
              <a16:creationId xmlns:a16="http://schemas.microsoft.com/office/drawing/2014/main" id="{00000000-0008-0000-0400-0000C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a:extLst>
            <a:ext uri="{FF2B5EF4-FFF2-40B4-BE49-F238E27FC236}">
              <a16:creationId xmlns:a16="http://schemas.microsoft.com/office/drawing/2014/main" id="{00000000-0008-0000-0400-0000C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a:extLst>
            <a:ext uri="{FF2B5EF4-FFF2-40B4-BE49-F238E27FC236}">
              <a16:creationId xmlns:a16="http://schemas.microsoft.com/office/drawing/2014/main" id="{00000000-0008-0000-0400-0000C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a:extLst>
            <a:ext uri="{FF2B5EF4-FFF2-40B4-BE49-F238E27FC236}">
              <a16:creationId xmlns:a16="http://schemas.microsoft.com/office/drawing/2014/main" id="{00000000-0008-0000-0400-0000C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a:extLst>
            <a:ext uri="{FF2B5EF4-FFF2-40B4-BE49-F238E27FC236}">
              <a16:creationId xmlns:a16="http://schemas.microsoft.com/office/drawing/2014/main" id="{00000000-0008-0000-0400-0000C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a:extLst>
            <a:ext uri="{FF2B5EF4-FFF2-40B4-BE49-F238E27FC236}">
              <a16:creationId xmlns:a16="http://schemas.microsoft.com/office/drawing/2014/main" id="{00000000-0008-0000-0400-0000C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a:extLst>
            <a:ext uri="{FF2B5EF4-FFF2-40B4-BE49-F238E27FC236}">
              <a16:creationId xmlns:a16="http://schemas.microsoft.com/office/drawing/2014/main" id="{00000000-0008-0000-0400-0000C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a:extLst>
            <a:ext uri="{FF2B5EF4-FFF2-40B4-BE49-F238E27FC236}">
              <a16:creationId xmlns:a16="http://schemas.microsoft.com/office/drawing/2014/main" id="{00000000-0008-0000-0400-0000C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a:extLst>
            <a:ext uri="{FF2B5EF4-FFF2-40B4-BE49-F238E27FC236}">
              <a16:creationId xmlns:a16="http://schemas.microsoft.com/office/drawing/2014/main" id="{00000000-0008-0000-0400-0000C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a:extLst>
            <a:ext uri="{FF2B5EF4-FFF2-40B4-BE49-F238E27FC236}">
              <a16:creationId xmlns:a16="http://schemas.microsoft.com/office/drawing/2014/main" id="{00000000-0008-0000-0400-0000C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a:extLst>
            <a:ext uri="{FF2B5EF4-FFF2-40B4-BE49-F238E27FC236}">
              <a16:creationId xmlns:a16="http://schemas.microsoft.com/office/drawing/2014/main" id="{00000000-0008-0000-0400-0000D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a:extLst>
            <a:ext uri="{FF2B5EF4-FFF2-40B4-BE49-F238E27FC236}">
              <a16:creationId xmlns:a16="http://schemas.microsoft.com/office/drawing/2014/main" id="{00000000-0008-0000-0400-0000D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a:extLst>
            <a:ext uri="{FF2B5EF4-FFF2-40B4-BE49-F238E27FC236}">
              <a16:creationId xmlns:a16="http://schemas.microsoft.com/office/drawing/2014/main" id="{00000000-0008-0000-0400-0000D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a:extLst>
            <a:ext uri="{FF2B5EF4-FFF2-40B4-BE49-F238E27FC236}">
              <a16:creationId xmlns:a16="http://schemas.microsoft.com/office/drawing/2014/main" id="{00000000-0008-0000-0400-0000D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a:extLst>
            <a:ext uri="{FF2B5EF4-FFF2-40B4-BE49-F238E27FC236}">
              <a16:creationId xmlns:a16="http://schemas.microsoft.com/office/drawing/2014/main" id="{00000000-0008-0000-0400-0000D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a:extLst>
            <a:ext uri="{FF2B5EF4-FFF2-40B4-BE49-F238E27FC236}">
              <a16:creationId xmlns:a16="http://schemas.microsoft.com/office/drawing/2014/main" id="{00000000-0008-0000-0400-0000D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a:extLst>
            <a:ext uri="{FF2B5EF4-FFF2-40B4-BE49-F238E27FC236}">
              <a16:creationId xmlns:a16="http://schemas.microsoft.com/office/drawing/2014/main" id="{00000000-0008-0000-0400-0000D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a:extLst>
            <a:ext uri="{FF2B5EF4-FFF2-40B4-BE49-F238E27FC236}">
              <a16:creationId xmlns:a16="http://schemas.microsoft.com/office/drawing/2014/main" id="{00000000-0008-0000-0400-0000D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a:extLst>
            <a:ext uri="{FF2B5EF4-FFF2-40B4-BE49-F238E27FC236}">
              <a16:creationId xmlns:a16="http://schemas.microsoft.com/office/drawing/2014/main" id="{00000000-0008-0000-0400-0000D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a:extLst>
            <a:ext uri="{FF2B5EF4-FFF2-40B4-BE49-F238E27FC236}">
              <a16:creationId xmlns:a16="http://schemas.microsoft.com/office/drawing/2014/main" id="{00000000-0008-0000-0400-0000D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a:extLst>
            <a:ext uri="{FF2B5EF4-FFF2-40B4-BE49-F238E27FC236}">
              <a16:creationId xmlns:a16="http://schemas.microsoft.com/office/drawing/2014/main" id="{00000000-0008-0000-0400-0000D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a:extLst>
            <a:ext uri="{FF2B5EF4-FFF2-40B4-BE49-F238E27FC236}">
              <a16:creationId xmlns:a16="http://schemas.microsoft.com/office/drawing/2014/main" id="{00000000-0008-0000-0400-0000D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a:extLst>
            <a:ext uri="{FF2B5EF4-FFF2-40B4-BE49-F238E27FC236}">
              <a16:creationId xmlns:a16="http://schemas.microsoft.com/office/drawing/2014/main" id="{00000000-0008-0000-0400-0000D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a:extLst>
            <a:ext uri="{FF2B5EF4-FFF2-40B4-BE49-F238E27FC236}">
              <a16:creationId xmlns:a16="http://schemas.microsoft.com/office/drawing/2014/main" id="{00000000-0008-0000-0400-0000D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a:extLst>
            <a:ext uri="{FF2B5EF4-FFF2-40B4-BE49-F238E27FC236}">
              <a16:creationId xmlns:a16="http://schemas.microsoft.com/office/drawing/2014/main" id="{00000000-0008-0000-0400-0000D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a:extLst>
            <a:ext uri="{FF2B5EF4-FFF2-40B4-BE49-F238E27FC236}">
              <a16:creationId xmlns:a16="http://schemas.microsoft.com/office/drawing/2014/main" id="{00000000-0008-0000-0400-0000D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a:extLst>
            <a:ext uri="{FF2B5EF4-FFF2-40B4-BE49-F238E27FC236}">
              <a16:creationId xmlns:a16="http://schemas.microsoft.com/office/drawing/2014/main" id="{00000000-0008-0000-0400-0000E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a:extLst>
            <a:ext uri="{FF2B5EF4-FFF2-40B4-BE49-F238E27FC236}">
              <a16:creationId xmlns:a16="http://schemas.microsoft.com/office/drawing/2014/main" id="{00000000-0008-0000-0400-0000E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a:extLst>
            <a:ext uri="{FF2B5EF4-FFF2-40B4-BE49-F238E27FC236}">
              <a16:creationId xmlns:a16="http://schemas.microsoft.com/office/drawing/2014/main" id="{00000000-0008-0000-0400-0000E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a:extLst>
            <a:ext uri="{FF2B5EF4-FFF2-40B4-BE49-F238E27FC236}">
              <a16:creationId xmlns:a16="http://schemas.microsoft.com/office/drawing/2014/main" id="{00000000-0008-0000-0400-0000E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a:extLst>
            <a:ext uri="{FF2B5EF4-FFF2-40B4-BE49-F238E27FC236}">
              <a16:creationId xmlns:a16="http://schemas.microsoft.com/office/drawing/2014/main" id="{00000000-0008-0000-0400-0000E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a:extLst>
            <a:ext uri="{FF2B5EF4-FFF2-40B4-BE49-F238E27FC236}">
              <a16:creationId xmlns:a16="http://schemas.microsoft.com/office/drawing/2014/main" id="{00000000-0008-0000-0400-0000E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a:extLst>
            <a:ext uri="{FF2B5EF4-FFF2-40B4-BE49-F238E27FC236}">
              <a16:creationId xmlns:a16="http://schemas.microsoft.com/office/drawing/2014/main" id="{00000000-0008-0000-0400-0000E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a:extLst>
            <a:ext uri="{FF2B5EF4-FFF2-40B4-BE49-F238E27FC236}">
              <a16:creationId xmlns:a16="http://schemas.microsoft.com/office/drawing/2014/main" id="{00000000-0008-0000-0400-0000E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a:extLst>
            <a:ext uri="{FF2B5EF4-FFF2-40B4-BE49-F238E27FC236}">
              <a16:creationId xmlns:a16="http://schemas.microsoft.com/office/drawing/2014/main" id="{00000000-0008-0000-0400-0000E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a:extLst>
            <a:ext uri="{FF2B5EF4-FFF2-40B4-BE49-F238E27FC236}">
              <a16:creationId xmlns:a16="http://schemas.microsoft.com/office/drawing/2014/main" id="{00000000-0008-0000-0400-0000E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a:extLst>
            <a:ext uri="{FF2B5EF4-FFF2-40B4-BE49-F238E27FC236}">
              <a16:creationId xmlns:a16="http://schemas.microsoft.com/office/drawing/2014/main" id="{00000000-0008-0000-0400-0000E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a:extLst>
            <a:ext uri="{FF2B5EF4-FFF2-40B4-BE49-F238E27FC236}">
              <a16:creationId xmlns:a16="http://schemas.microsoft.com/office/drawing/2014/main" id="{00000000-0008-0000-0400-0000E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a:extLst>
            <a:ext uri="{FF2B5EF4-FFF2-40B4-BE49-F238E27FC236}">
              <a16:creationId xmlns:a16="http://schemas.microsoft.com/office/drawing/2014/main" id="{00000000-0008-0000-0400-0000E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a:extLst>
            <a:ext uri="{FF2B5EF4-FFF2-40B4-BE49-F238E27FC236}">
              <a16:creationId xmlns:a16="http://schemas.microsoft.com/office/drawing/2014/main" id="{00000000-0008-0000-0400-0000E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a:extLst>
            <a:ext uri="{FF2B5EF4-FFF2-40B4-BE49-F238E27FC236}">
              <a16:creationId xmlns:a16="http://schemas.microsoft.com/office/drawing/2014/main" id="{00000000-0008-0000-0400-0000E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a:extLst>
            <a:ext uri="{FF2B5EF4-FFF2-40B4-BE49-F238E27FC236}">
              <a16:creationId xmlns:a16="http://schemas.microsoft.com/office/drawing/2014/main" id="{00000000-0008-0000-0400-0000E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a:extLst>
            <a:ext uri="{FF2B5EF4-FFF2-40B4-BE49-F238E27FC236}">
              <a16:creationId xmlns:a16="http://schemas.microsoft.com/office/drawing/2014/main" id="{00000000-0008-0000-0400-0000F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a:extLst>
            <a:ext uri="{FF2B5EF4-FFF2-40B4-BE49-F238E27FC236}">
              <a16:creationId xmlns:a16="http://schemas.microsoft.com/office/drawing/2014/main" id="{00000000-0008-0000-0400-0000F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a:extLst>
            <a:ext uri="{FF2B5EF4-FFF2-40B4-BE49-F238E27FC236}">
              <a16:creationId xmlns:a16="http://schemas.microsoft.com/office/drawing/2014/main" id="{00000000-0008-0000-0400-0000F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a:extLst>
            <a:ext uri="{FF2B5EF4-FFF2-40B4-BE49-F238E27FC236}">
              <a16:creationId xmlns:a16="http://schemas.microsoft.com/office/drawing/2014/main" id="{00000000-0008-0000-0400-0000F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a:extLst>
            <a:ext uri="{FF2B5EF4-FFF2-40B4-BE49-F238E27FC236}">
              <a16:creationId xmlns:a16="http://schemas.microsoft.com/office/drawing/2014/main" id="{00000000-0008-0000-0400-0000F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a:extLst>
            <a:ext uri="{FF2B5EF4-FFF2-40B4-BE49-F238E27FC236}">
              <a16:creationId xmlns:a16="http://schemas.microsoft.com/office/drawing/2014/main" id="{00000000-0008-0000-0400-0000F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a:extLst>
            <a:ext uri="{FF2B5EF4-FFF2-40B4-BE49-F238E27FC236}">
              <a16:creationId xmlns:a16="http://schemas.microsoft.com/office/drawing/2014/main" id="{00000000-0008-0000-0400-0000F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a:extLst>
            <a:ext uri="{FF2B5EF4-FFF2-40B4-BE49-F238E27FC236}">
              <a16:creationId xmlns:a16="http://schemas.microsoft.com/office/drawing/2014/main" id="{00000000-0008-0000-0400-0000F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a:extLst>
            <a:ext uri="{FF2B5EF4-FFF2-40B4-BE49-F238E27FC236}">
              <a16:creationId xmlns:a16="http://schemas.microsoft.com/office/drawing/2014/main" id="{00000000-0008-0000-0400-0000F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a:extLst>
            <a:ext uri="{FF2B5EF4-FFF2-40B4-BE49-F238E27FC236}">
              <a16:creationId xmlns:a16="http://schemas.microsoft.com/office/drawing/2014/main" id="{00000000-0008-0000-0400-0000F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a:extLst>
            <a:ext uri="{FF2B5EF4-FFF2-40B4-BE49-F238E27FC236}">
              <a16:creationId xmlns:a16="http://schemas.microsoft.com/office/drawing/2014/main" id="{00000000-0008-0000-0400-0000F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a:extLst>
            <a:ext uri="{FF2B5EF4-FFF2-40B4-BE49-F238E27FC236}">
              <a16:creationId xmlns:a16="http://schemas.microsoft.com/office/drawing/2014/main" id="{00000000-0008-0000-0400-0000F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a:extLst>
            <a:ext uri="{FF2B5EF4-FFF2-40B4-BE49-F238E27FC236}">
              <a16:creationId xmlns:a16="http://schemas.microsoft.com/office/drawing/2014/main" id="{00000000-0008-0000-0400-0000F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a:extLst>
            <a:ext uri="{FF2B5EF4-FFF2-40B4-BE49-F238E27FC236}">
              <a16:creationId xmlns:a16="http://schemas.microsoft.com/office/drawing/2014/main" id="{00000000-0008-0000-0400-0000F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a:extLst>
            <a:ext uri="{FF2B5EF4-FFF2-40B4-BE49-F238E27FC236}">
              <a16:creationId xmlns:a16="http://schemas.microsoft.com/office/drawing/2014/main" id="{00000000-0008-0000-0400-0000F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a:extLst>
            <a:ext uri="{FF2B5EF4-FFF2-40B4-BE49-F238E27FC236}">
              <a16:creationId xmlns:a16="http://schemas.microsoft.com/office/drawing/2014/main" id="{00000000-0008-0000-0400-0000F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a:extLst>
            <a:ext uri="{FF2B5EF4-FFF2-40B4-BE49-F238E27FC236}">
              <a16:creationId xmlns:a16="http://schemas.microsoft.com/office/drawing/2014/main" id="{00000000-0008-0000-0400-00000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a:extLst>
            <a:ext uri="{FF2B5EF4-FFF2-40B4-BE49-F238E27FC236}">
              <a16:creationId xmlns:a16="http://schemas.microsoft.com/office/drawing/2014/main" id="{00000000-0008-0000-0400-00000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a:extLst>
            <a:ext uri="{FF2B5EF4-FFF2-40B4-BE49-F238E27FC236}">
              <a16:creationId xmlns:a16="http://schemas.microsoft.com/office/drawing/2014/main" id="{00000000-0008-0000-0400-00000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a:extLst>
            <a:ext uri="{FF2B5EF4-FFF2-40B4-BE49-F238E27FC236}">
              <a16:creationId xmlns:a16="http://schemas.microsoft.com/office/drawing/2014/main" id="{00000000-0008-0000-0400-00000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a:extLst>
            <a:ext uri="{FF2B5EF4-FFF2-40B4-BE49-F238E27FC236}">
              <a16:creationId xmlns:a16="http://schemas.microsoft.com/office/drawing/2014/main" id="{00000000-0008-0000-0400-00000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a:extLst>
            <a:ext uri="{FF2B5EF4-FFF2-40B4-BE49-F238E27FC236}">
              <a16:creationId xmlns:a16="http://schemas.microsoft.com/office/drawing/2014/main" id="{00000000-0008-0000-0400-00000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a:extLst>
            <a:ext uri="{FF2B5EF4-FFF2-40B4-BE49-F238E27FC236}">
              <a16:creationId xmlns:a16="http://schemas.microsoft.com/office/drawing/2014/main" id="{00000000-0008-0000-0400-00000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a:extLst>
            <a:ext uri="{FF2B5EF4-FFF2-40B4-BE49-F238E27FC236}">
              <a16:creationId xmlns:a16="http://schemas.microsoft.com/office/drawing/2014/main" id="{00000000-0008-0000-0400-00000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a:extLst>
            <a:ext uri="{FF2B5EF4-FFF2-40B4-BE49-F238E27FC236}">
              <a16:creationId xmlns:a16="http://schemas.microsoft.com/office/drawing/2014/main" id="{00000000-0008-0000-0400-00000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a:extLst>
            <a:ext uri="{FF2B5EF4-FFF2-40B4-BE49-F238E27FC236}">
              <a16:creationId xmlns:a16="http://schemas.microsoft.com/office/drawing/2014/main" id="{00000000-0008-0000-0400-00000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a:extLst>
            <a:ext uri="{FF2B5EF4-FFF2-40B4-BE49-F238E27FC236}">
              <a16:creationId xmlns:a16="http://schemas.microsoft.com/office/drawing/2014/main" id="{00000000-0008-0000-0400-00000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a:extLst>
            <a:ext uri="{FF2B5EF4-FFF2-40B4-BE49-F238E27FC236}">
              <a16:creationId xmlns:a16="http://schemas.microsoft.com/office/drawing/2014/main" id="{00000000-0008-0000-0400-00000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a:extLst>
            <a:ext uri="{FF2B5EF4-FFF2-40B4-BE49-F238E27FC236}">
              <a16:creationId xmlns:a16="http://schemas.microsoft.com/office/drawing/2014/main" id="{00000000-0008-0000-0400-00000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a:extLst>
            <a:ext uri="{FF2B5EF4-FFF2-40B4-BE49-F238E27FC236}">
              <a16:creationId xmlns:a16="http://schemas.microsoft.com/office/drawing/2014/main" id="{00000000-0008-0000-0400-00000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a:extLst>
            <a:ext uri="{FF2B5EF4-FFF2-40B4-BE49-F238E27FC236}">
              <a16:creationId xmlns:a16="http://schemas.microsoft.com/office/drawing/2014/main" id="{00000000-0008-0000-0400-00000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a:extLst>
            <a:ext uri="{FF2B5EF4-FFF2-40B4-BE49-F238E27FC236}">
              <a16:creationId xmlns:a16="http://schemas.microsoft.com/office/drawing/2014/main" id="{00000000-0008-0000-0400-00000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a:extLst>
            <a:ext uri="{FF2B5EF4-FFF2-40B4-BE49-F238E27FC236}">
              <a16:creationId xmlns:a16="http://schemas.microsoft.com/office/drawing/2014/main" id="{00000000-0008-0000-0400-00001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a:extLst>
            <a:ext uri="{FF2B5EF4-FFF2-40B4-BE49-F238E27FC236}">
              <a16:creationId xmlns:a16="http://schemas.microsoft.com/office/drawing/2014/main" id="{00000000-0008-0000-0400-00001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a:extLst>
            <a:ext uri="{FF2B5EF4-FFF2-40B4-BE49-F238E27FC236}">
              <a16:creationId xmlns:a16="http://schemas.microsoft.com/office/drawing/2014/main" id="{00000000-0008-0000-0400-00001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a:extLst>
            <a:ext uri="{FF2B5EF4-FFF2-40B4-BE49-F238E27FC236}">
              <a16:creationId xmlns:a16="http://schemas.microsoft.com/office/drawing/2014/main" id="{00000000-0008-0000-0400-00001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a:extLst>
            <a:ext uri="{FF2B5EF4-FFF2-40B4-BE49-F238E27FC236}">
              <a16:creationId xmlns:a16="http://schemas.microsoft.com/office/drawing/2014/main" id="{00000000-0008-0000-0400-00001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a:extLst>
            <a:ext uri="{FF2B5EF4-FFF2-40B4-BE49-F238E27FC236}">
              <a16:creationId xmlns:a16="http://schemas.microsoft.com/office/drawing/2014/main" id="{00000000-0008-0000-0400-00001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a:extLst>
            <a:ext uri="{FF2B5EF4-FFF2-40B4-BE49-F238E27FC236}">
              <a16:creationId xmlns:a16="http://schemas.microsoft.com/office/drawing/2014/main" id="{00000000-0008-0000-0400-00001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a:extLst>
            <a:ext uri="{FF2B5EF4-FFF2-40B4-BE49-F238E27FC236}">
              <a16:creationId xmlns:a16="http://schemas.microsoft.com/office/drawing/2014/main" id="{00000000-0008-0000-0400-00001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a:extLst>
            <a:ext uri="{FF2B5EF4-FFF2-40B4-BE49-F238E27FC236}">
              <a16:creationId xmlns:a16="http://schemas.microsoft.com/office/drawing/2014/main" id="{00000000-0008-0000-0400-00001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a:extLst>
            <a:ext uri="{FF2B5EF4-FFF2-40B4-BE49-F238E27FC236}">
              <a16:creationId xmlns:a16="http://schemas.microsoft.com/office/drawing/2014/main" id="{00000000-0008-0000-0400-00001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a:extLst>
            <a:ext uri="{FF2B5EF4-FFF2-40B4-BE49-F238E27FC236}">
              <a16:creationId xmlns:a16="http://schemas.microsoft.com/office/drawing/2014/main" id="{00000000-0008-0000-0400-00001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a:extLst>
            <a:ext uri="{FF2B5EF4-FFF2-40B4-BE49-F238E27FC236}">
              <a16:creationId xmlns:a16="http://schemas.microsoft.com/office/drawing/2014/main" id="{00000000-0008-0000-0400-00001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a:extLst>
            <a:ext uri="{FF2B5EF4-FFF2-40B4-BE49-F238E27FC236}">
              <a16:creationId xmlns:a16="http://schemas.microsoft.com/office/drawing/2014/main" id="{00000000-0008-0000-0400-00001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a:extLst>
            <a:ext uri="{FF2B5EF4-FFF2-40B4-BE49-F238E27FC236}">
              <a16:creationId xmlns:a16="http://schemas.microsoft.com/office/drawing/2014/main" id="{00000000-0008-0000-0400-00001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a:extLst>
            <a:ext uri="{FF2B5EF4-FFF2-40B4-BE49-F238E27FC236}">
              <a16:creationId xmlns:a16="http://schemas.microsoft.com/office/drawing/2014/main" id="{00000000-0008-0000-0400-00001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a:extLst>
            <a:ext uri="{FF2B5EF4-FFF2-40B4-BE49-F238E27FC236}">
              <a16:creationId xmlns:a16="http://schemas.microsoft.com/office/drawing/2014/main" id="{00000000-0008-0000-0400-00001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a:extLst>
            <a:ext uri="{FF2B5EF4-FFF2-40B4-BE49-F238E27FC236}">
              <a16:creationId xmlns:a16="http://schemas.microsoft.com/office/drawing/2014/main" id="{00000000-0008-0000-0400-00002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a:extLst>
            <a:ext uri="{FF2B5EF4-FFF2-40B4-BE49-F238E27FC236}">
              <a16:creationId xmlns:a16="http://schemas.microsoft.com/office/drawing/2014/main" id="{00000000-0008-0000-0400-00002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a:extLst>
            <a:ext uri="{FF2B5EF4-FFF2-40B4-BE49-F238E27FC236}">
              <a16:creationId xmlns:a16="http://schemas.microsoft.com/office/drawing/2014/main" id="{00000000-0008-0000-0400-00002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a:extLst>
            <a:ext uri="{FF2B5EF4-FFF2-40B4-BE49-F238E27FC236}">
              <a16:creationId xmlns:a16="http://schemas.microsoft.com/office/drawing/2014/main" id="{00000000-0008-0000-0400-00002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a:extLst>
            <a:ext uri="{FF2B5EF4-FFF2-40B4-BE49-F238E27FC236}">
              <a16:creationId xmlns:a16="http://schemas.microsoft.com/office/drawing/2014/main" id="{00000000-0008-0000-0400-00002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a:extLst>
            <a:ext uri="{FF2B5EF4-FFF2-40B4-BE49-F238E27FC236}">
              <a16:creationId xmlns:a16="http://schemas.microsoft.com/office/drawing/2014/main" id="{00000000-0008-0000-0400-00002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a:extLst>
            <a:ext uri="{FF2B5EF4-FFF2-40B4-BE49-F238E27FC236}">
              <a16:creationId xmlns:a16="http://schemas.microsoft.com/office/drawing/2014/main" id="{00000000-0008-0000-0400-00002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a:extLst>
            <a:ext uri="{FF2B5EF4-FFF2-40B4-BE49-F238E27FC236}">
              <a16:creationId xmlns:a16="http://schemas.microsoft.com/office/drawing/2014/main" id="{00000000-0008-0000-0400-00002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a:extLst>
            <a:ext uri="{FF2B5EF4-FFF2-40B4-BE49-F238E27FC236}">
              <a16:creationId xmlns:a16="http://schemas.microsoft.com/office/drawing/2014/main" id="{00000000-0008-0000-0400-00002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a:extLst>
            <a:ext uri="{FF2B5EF4-FFF2-40B4-BE49-F238E27FC236}">
              <a16:creationId xmlns:a16="http://schemas.microsoft.com/office/drawing/2014/main" id="{00000000-0008-0000-0400-00002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a:extLst>
            <a:ext uri="{FF2B5EF4-FFF2-40B4-BE49-F238E27FC236}">
              <a16:creationId xmlns:a16="http://schemas.microsoft.com/office/drawing/2014/main" id="{00000000-0008-0000-0400-00002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a:extLst>
            <a:ext uri="{FF2B5EF4-FFF2-40B4-BE49-F238E27FC236}">
              <a16:creationId xmlns:a16="http://schemas.microsoft.com/office/drawing/2014/main" id="{00000000-0008-0000-0400-00002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a:extLst>
            <a:ext uri="{FF2B5EF4-FFF2-40B4-BE49-F238E27FC236}">
              <a16:creationId xmlns:a16="http://schemas.microsoft.com/office/drawing/2014/main" id="{00000000-0008-0000-0400-00002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a:extLst>
            <a:ext uri="{FF2B5EF4-FFF2-40B4-BE49-F238E27FC236}">
              <a16:creationId xmlns:a16="http://schemas.microsoft.com/office/drawing/2014/main" id="{00000000-0008-0000-0400-00002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a:extLst>
            <a:ext uri="{FF2B5EF4-FFF2-40B4-BE49-F238E27FC236}">
              <a16:creationId xmlns:a16="http://schemas.microsoft.com/office/drawing/2014/main" id="{00000000-0008-0000-0400-00002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a:extLst>
            <a:ext uri="{FF2B5EF4-FFF2-40B4-BE49-F238E27FC236}">
              <a16:creationId xmlns:a16="http://schemas.microsoft.com/office/drawing/2014/main" id="{00000000-0008-0000-0400-00002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a:extLst>
            <a:ext uri="{FF2B5EF4-FFF2-40B4-BE49-F238E27FC236}">
              <a16:creationId xmlns:a16="http://schemas.microsoft.com/office/drawing/2014/main" id="{00000000-0008-0000-0400-00003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a:extLst>
            <a:ext uri="{FF2B5EF4-FFF2-40B4-BE49-F238E27FC236}">
              <a16:creationId xmlns:a16="http://schemas.microsoft.com/office/drawing/2014/main" id="{00000000-0008-0000-0400-00003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a:extLst>
            <a:ext uri="{FF2B5EF4-FFF2-40B4-BE49-F238E27FC236}">
              <a16:creationId xmlns:a16="http://schemas.microsoft.com/office/drawing/2014/main" id="{00000000-0008-0000-0400-00003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a:extLst>
            <a:ext uri="{FF2B5EF4-FFF2-40B4-BE49-F238E27FC236}">
              <a16:creationId xmlns:a16="http://schemas.microsoft.com/office/drawing/2014/main" id="{00000000-0008-0000-0400-00003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a:extLst>
            <a:ext uri="{FF2B5EF4-FFF2-40B4-BE49-F238E27FC236}">
              <a16:creationId xmlns:a16="http://schemas.microsoft.com/office/drawing/2014/main" id="{00000000-0008-0000-0400-00003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a:extLst>
            <a:ext uri="{FF2B5EF4-FFF2-40B4-BE49-F238E27FC236}">
              <a16:creationId xmlns:a16="http://schemas.microsoft.com/office/drawing/2014/main" id="{00000000-0008-0000-0400-00003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a:extLst>
            <a:ext uri="{FF2B5EF4-FFF2-40B4-BE49-F238E27FC236}">
              <a16:creationId xmlns:a16="http://schemas.microsoft.com/office/drawing/2014/main" id="{00000000-0008-0000-0400-00003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a:extLst>
            <a:ext uri="{FF2B5EF4-FFF2-40B4-BE49-F238E27FC236}">
              <a16:creationId xmlns:a16="http://schemas.microsoft.com/office/drawing/2014/main" id="{00000000-0008-0000-0400-00003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a:extLst>
            <a:ext uri="{FF2B5EF4-FFF2-40B4-BE49-F238E27FC236}">
              <a16:creationId xmlns:a16="http://schemas.microsoft.com/office/drawing/2014/main" id="{00000000-0008-0000-0400-00003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a:extLst>
            <a:ext uri="{FF2B5EF4-FFF2-40B4-BE49-F238E27FC236}">
              <a16:creationId xmlns:a16="http://schemas.microsoft.com/office/drawing/2014/main" id="{00000000-0008-0000-0400-00003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a:extLst>
            <a:ext uri="{FF2B5EF4-FFF2-40B4-BE49-F238E27FC236}">
              <a16:creationId xmlns:a16="http://schemas.microsoft.com/office/drawing/2014/main" id="{00000000-0008-0000-0400-00003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a:extLst>
            <a:ext uri="{FF2B5EF4-FFF2-40B4-BE49-F238E27FC236}">
              <a16:creationId xmlns:a16="http://schemas.microsoft.com/office/drawing/2014/main" id="{00000000-0008-0000-0400-00003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a:extLst>
            <a:ext uri="{FF2B5EF4-FFF2-40B4-BE49-F238E27FC236}">
              <a16:creationId xmlns:a16="http://schemas.microsoft.com/office/drawing/2014/main" id="{00000000-0008-0000-0400-00003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a:extLst>
            <a:ext uri="{FF2B5EF4-FFF2-40B4-BE49-F238E27FC236}">
              <a16:creationId xmlns:a16="http://schemas.microsoft.com/office/drawing/2014/main" id="{00000000-0008-0000-0400-00003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a:extLst>
            <a:ext uri="{FF2B5EF4-FFF2-40B4-BE49-F238E27FC236}">
              <a16:creationId xmlns:a16="http://schemas.microsoft.com/office/drawing/2014/main" id="{00000000-0008-0000-0400-00003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a:extLst>
            <a:ext uri="{FF2B5EF4-FFF2-40B4-BE49-F238E27FC236}">
              <a16:creationId xmlns:a16="http://schemas.microsoft.com/office/drawing/2014/main" id="{00000000-0008-0000-0400-00003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a:extLst>
            <a:ext uri="{FF2B5EF4-FFF2-40B4-BE49-F238E27FC236}">
              <a16:creationId xmlns:a16="http://schemas.microsoft.com/office/drawing/2014/main" id="{00000000-0008-0000-0400-00004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a:extLst>
            <a:ext uri="{FF2B5EF4-FFF2-40B4-BE49-F238E27FC236}">
              <a16:creationId xmlns:a16="http://schemas.microsoft.com/office/drawing/2014/main" id="{00000000-0008-0000-0400-00004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a:extLst>
            <a:ext uri="{FF2B5EF4-FFF2-40B4-BE49-F238E27FC236}">
              <a16:creationId xmlns:a16="http://schemas.microsoft.com/office/drawing/2014/main" id="{00000000-0008-0000-0400-00004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a:extLst>
            <a:ext uri="{FF2B5EF4-FFF2-40B4-BE49-F238E27FC236}">
              <a16:creationId xmlns:a16="http://schemas.microsoft.com/office/drawing/2014/main" id="{00000000-0008-0000-0400-00004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a:extLst>
            <a:ext uri="{FF2B5EF4-FFF2-40B4-BE49-F238E27FC236}">
              <a16:creationId xmlns:a16="http://schemas.microsoft.com/office/drawing/2014/main" id="{00000000-0008-0000-0400-00004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a:extLst>
            <a:ext uri="{FF2B5EF4-FFF2-40B4-BE49-F238E27FC236}">
              <a16:creationId xmlns:a16="http://schemas.microsoft.com/office/drawing/2014/main" id="{00000000-0008-0000-0400-00004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a:extLst>
            <a:ext uri="{FF2B5EF4-FFF2-40B4-BE49-F238E27FC236}">
              <a16:creationId xmlns:a16="http://schemas.microsoft.com/office/drawing/2014/main" id="{00000000-0008-0000-0400-00004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a:extLst>
            <a:ext uri="{FF2B5EF4-FFF2-40B4-BE49-F238E27FC236}">
              <a16:creationId xmlns:a16="http://schemas.microsoft.com/office/drawing/2014/main" id="{00000000-0008-0000-0400-00004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a:extLst>
            <a:ext uri="{FF2B5EF4-FFF2-40B4-BE49-F238E27FC236}">
              <a16:creationId xmlns:a16="http://schemas.microsoft.com/office/drawing/2014/main" id="{00000000-0008-0000-0400-00004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a:extLst>
            <a:ext uri="{FF2B5EF4-FFF2-40B4-BE49-F238E27FC236}">
              <a16:creationId xmlns:a16="http://schemas.microsoft.com/office/drawing/2014/main" id="{00000000-0008-0000-0400-00004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a:extLst>
            <a:ext uri="{FF2B5EF4-FFF2-40B4-BE49-F238E27FC236}">
              <a16:creationId xmlns:a16="http://schemas.microsoft.com/office/drawing/2014/main" id="{00000000-0008-0000-0400-00004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a:extLst>
            <a:ext uri="{FF2B5EF4-FFF2-40B4-BE49-F238E27FC236}">
              <a16:creationId xmlns:a16="http://schemas.microsoft.com/office/drawing/2014/main" id="{00000000-0008-0000-0400-00004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a:extLst>
            <a:ext uri="{FF2B5EF4-FFF2-40B4-BE49-F238E27FC236}">
              <a16:creationId xmlns:a16="http://schemas.microsoft.com/office/drawing/2014/main" id="{00000000-0008-0000-0400-00004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a:extLst>
            <a:ext uri="{FF2B5EF4-FFF2-40B4-BE49-F238E27FC236}">
              <a16:creationId xmlns:a16="http://schemas.microsoft.com/office/drawing/2014/main" id="{00000000-0008-0000-0400-00004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a:extLst>
            <a:ext uri="{FF2B5EF4-FFF2-40B4-BE49-F238E27FC236}">
              <a16:creationId xmlns:a16="http://schemas.microsoft.com/office/drawing/2014/main" id="{00000000-0008-0000-0400-00004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a:extLst>
            <a:ext uri="{FF2B5EF4-FFF2-40B4-BE49-F238E27FC236}">
              <a16:creationId xmlns:a16="http://schemas.microsoft.com/office/drawing/2014/main" id="{00000000-0008-0000-0400-00004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a:extLst>
            <a:ext uri="{FF2B5EF4-FFF2-40B4-BE49-F238E27FC236}">
              <a16:creationId xmlns:a16="http://schemas.microsoft.com/office/drawing/2014/main" id="{00000000-0008-0000-0400-00005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a:extLst>
            <a:ext uri="{FF2B5EF4-FFF2-40B4-BE49-F238E27FC236}">
              <a16:creationId xmlns:a16="http://schemas.microsoft.com/office/drawing/2014/main" id="{00000000-0008-0000-0400-00005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a:extLst>
            <a:ext uri="{FF2B5EF4-FFF2-40B4-BE49-F238E27FC236}">
              <a16:creationId xmlns:a16="http://schemas.microsoft.com/office/drawing/2014/main" id="{00000000-0008-0000-0400-00005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a:extLst>
            <a:ext uri="{FF2B5EF4-FFF2-40B4-BE49-F238E27FC236}">
              <a16:creationId xmlns:a16="http://schemas.microsoft.com/office/drawing/2014/main" id="{00000000-0008-0000-0400-00005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a:extLst>
            <a:ext uri="{FF2B5EF4-FFF2-40B4-BE49-F238E27FC236}">
              <a16:creationId xmlns:a16="http://schemas.microsoft.com/office/drawing/2014/main" id="{00000000-0008-0000-0400-00005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a:extLst>
            <a:ext uri="{FF2B5EF4-FFF2-40B4-BE49-F238E27FC236}">
              <a16:creationId xmlns:a16="http://schemas.microsoft.com/office/drawing/2014/main" id="{00000000-0008-0000-0400-00005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a:extLst>
            <a:ext uri="{FF2B5EF4-FFF2-40B4-BE49-F238E27FC236}">
              <a16:creationId xmlns:a16="http://schemas.microsoft.com/office/drawing/2014/main" id="{00000000-0008-0000-0400-00005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a:extLst>
            <a:ext uri="{FF2B5EF4-FFF2-40B4-BE49-F238E27FC236}">
              <a16:creationId xmlns:a16="http://schemas.microsoft.com/office/drawing/2014/main" id="{00000000-0008-0000-0400-00005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a:extLst>
            <a:ext uri="{FF2B5EF4-FFF2-40B4-BE49-F238E27FC236}">
              <a16:creationId xmlns:a16="http://schemas.microsoft.com/office/drawing/2014/main" id="{00000000-0008-0000-0400-00005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a:extLst>
            <a:ext uri="{FF2B5EF4-FFF2-40B4-BE49-F238E27FC236}">
              <a16:creationId xmlns:a16="http://schemas.microsoft.com/office/drawing/2014/main" id="{00000000-0008-0000-0400-00005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a:extLst>
            <a:ext uri="{FF2B5EF4-FFF2-40B4-BE49-F238E27FC236}">
              <a16:creationId xmlns:a16="http://schemas.microsoft.com/office/drawing/2014/main" id="{00000000-0008-0000-0400-00005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a:extLst>
            <a:ext uri="{FF2B5EF4-FFF2-40B4-BE49-F238E27FC236}">
              <a16:creationId xmlns:a16="http://schemas.microsoft.com/office/drawing/2014/main" id="{00000000-0008-0000-0400-00005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a:extLst>
            <a:ext uri="{FF2B5EF4-FFF2-40B4-BE49-F238E27FC236}">
              <a16:creationId xmlns:a16="http://schemas.microsoft.com/office/drawing/2014/main" id="{00000000-0008-0000-0400-00005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a:extLst>
            <a:ext uri="{FF2B5EF4-FFF2-40B4-BE49-F238E27FC236}">
              <a16:creationId xmlns:a16="http://schemas.microsoft.com/office/drawing/2014/main" id="{00000000-0008-0000-0400-00005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a:extLst>
            <a:ext uri="{FF2B5EF4-FFF2-40B4-BE49-F238E27FC236}">
              <a16:creationId xmlns:a16="http://schemas.microsoft.com/office/drawing/2014/main" id="{00000000-0008-0000-0400-00005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a:extLst>
            <a:ext uri="{FF2B5EF4-FFF2-40B4-BE49-F238E27FC236}">
              <a16:creationId xmlns:a16="http://schemas.microsoft.com/office/drawing/2014/main" id="{00000000-0008-0000-0400-00005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a:extLst>
            <a:ext uri="{FF2B5EF4-FFF2-40B4-BE49-F238E27FC236}">
              <a16:creationId xmlns:a16="http://schemas.microsoft.com/office/drawing/2014/main" id="{00000000-0008-0000-0400-00006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a:extLst>
            <a:ext uri="{FF2B5EF4-FFF2-40B4-BE49-F238E27FC236}">
              <a16:creationId xmlns:a16="http://schemas.microsoft.com/office/drawing/2014/main" id="{00000000-0008-0000-0400-00006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a:extLst>
            <a:ext uri="{FF2B5EF4-FFF2-40B4-BE49-F238E27FC236}">
              <a16:creationId xmlns:a16="http://schemas.microsoft.com/office/drawing/2014/main" id="{00000000-0008-0000-0400-00006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a:extLst>
            <a:ext uri="{FF2B5EF4-FFF2-40B4-BE49-F238E27FC236}">
              <a16:creationId xmlns:a16="http://schemas.microsoft.com/office/drawing/2014/main" id="{00000000-0008-0000-0400-00006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a:extLst>
            <a:ext uri="{FF2B5EF4-FFF2-40B4-BE49-F238E27FC236}">
              <a16:creationId xmlns:a16="http://schemas.microsoft.com/office/drawing/2014/main" id="{00000000-0008-0000-0400-00006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a:extLst>
            <a:ext uri="{FF2B5EF4-FFF2-40B4-BE49-F238E27FC236}">
              <a16:creationId xmlns:a16="http://schemas.microsoft.com/office/drawing/2014/main" id="{00000000-0008-0000-0400-00006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a:extLst>
            <a:ext uri="{FF2B5EF4-FFF2-40B4-BE49-F238E27FC236}">
              <a16:creationId xmlns:a16="http://schemas.microsoft.com/office/drawing/2014/main" id="{00000000-0008-0000-0400-00006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a:extLst>
            <a:ext uri="{FF2B5EF4-FFF2-40B4-BE49-F238E27FC236}">
              <a16:creationId xmlns:a16="http://schemas.microsoft.com/office/drawing/2014/main" id="{00000000-0008-0000-0400-00006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a:extLst>
            <a:ext uri="{FF2B5EF4-FFF2-40B4-BE49-F238E27FC236}">
              <a16:creationId xmlns:a16="http://schemas.microsoft.com/office/drawing/2014/main" id="{00000000-0008-0000-0400-00006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a:extLst>
            <a:ext uri="{FF2B5EF4-FFF2-40B4-BE49-F238E27FC236}">
              <a16:creationId xmlns:a16="http://schemas.microsoft.com/office/drawing/2014/main" id="{00000000-0008-0000-0400-00006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a:extLst>
            <a:ext uri="{FF2B5EF4-FFF2-40B4-BE49-F238E27FC236}">
              <a16:creationId xmlns:a16="http://schemas.microsoft.com/office/drawing/2014/main" id="{00000000-0008-0000-0400-00006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a:extLst>
            <a:ext uri="{FF2B5EF4-FFF2-40B4-BE49-F238E27FC236}">
              <a16:creationId xmlns:a16="http://schemas.microsoft.com/office/drawing/2014/main" id="{00000000-0008-0000-0400-00006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a:extLst>
            <a:ext uri="{FF2B5EF4-FFF2-40B4-BE49-F238E27FC236}">
              <a16:creationId xmlns:a16="http://schemas.microsoft.com/office/drawing/2014/main" id="{00000000-0008-0000-0400-00006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a:extLst>
            <a:ext uri="{FF2B5EF4-FFF2-40B4-BE49-F238E27FC236}">
              <a16:creationId xmlns:a16="http://schemas.microsoft.com/office/drawing/2014/main" id="{00000000-0008-0000-0400-00006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a:extLst>
            <a:ext uri="{FF2B5EF4-FFF2-40B4-BE49-F238E27FC236}">
              <a16:creationId xmlns:a16="http://schemas.microsoft.com/office/drawing/2014/main" id="{00000000-0008-0000-0400-00006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a:extLst>
            <a:ext uri="{FF2B5EF4-FFF2-40B4-BE49-F238E27FC236}">
              <a16:creationId xmlns:a16="http://schemas.microsoft.com/office/drawing/2014/main" id="{00000000-0008-0000-0400-00006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a:extLst>
            <a:ext uri="{FF2B5EF4-FFF2-40B4-BE49-F238E27FC236}">
              <a16:creationId xmlns:a16="http://schemas.microsoft.com/office/drawing/2014/main" id="{00000000-0008-0000-0400-00007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a:extLst>
            <a:ext uri="{FF2B5EF4-FFF2-40B4-BE49-F238E27FC236}">
              <a16:creationId xmlns:a16="http://schemas.microsoft.com/office/drawing/2014/main" id="{00000000-0008-0000-0400-00007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a:extLst>
            <a:ext uri="{FF2B5EF4-FFF2-40B4-BE49-F238E27FC236}">
              <a16:creationId xmlns:a16="http://schemas.microsoft.com/office/drawing/2014/main" id="{00000000-0008-0000-0400-00007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a:extLst>
            <a:ext uri="{FF2B5EF4-FFF2-40B4-BE49-F238E27FC236}">
              <a16:creationId xmlns:a16="http://schemas.microsoft.com/office/drawing/2014/main" id="{00000000-0008-0000-0400-00007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a:extLst>
            <a:ext uri="{FF2B5EF4-FFF2-40B4-BE49-F238E27FC236}">
              <a16:creationId xmlns:a16="http://schemas.microsoft.com/office/drawing/2014/main" id="{00000000-0008-0000-0400-00007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a:extLst>
            <a:ext uri="{FF2B5EF4-FFF2-40B4-BE49-F238E27FC236}">
              <a16:creationId xmlns:a16="http://schemas.microsoft.com/office/drawing/2014/main" id="{00000000-0008-0000-0400-00007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a:extLst>
            <a:ext uri="{FF2B5EF4-FFF2-40B4-BE49-F238E27FC236}">
              <a16:creationId xmlns:a16="http://schemas.microsoft.com/office/drawing/2014/main" id="{00000000-0008-0000-0400-00007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a:extLst>
            <a:ext uri="{FF2B5EF4-FFF2-40B4-BE49-F238E27FC236}">
              <a16:creationId xmlns:a16="http://schemas.microsoft.com/office/drawing/2014/main" id="{00000000-0008-0000-0400-00007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a:extLst>
            <a:ext uri="{FF2B5EF4-FFF2-40B4-BE49-F238E27FC236}">
              <a16:creationId xmlns:a16="http://schemas.microsoft.com/office/drawing/2014/main" id="{00000000-0008-0000-0400-00007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a:extLst>
            <a:ext uri="{FF2B5EF4-FFF2-40B4-BE49-F238E27FC236}">
              <a16:creationId xmlns:a16="http://schemas.microsoft.com/office/drawing/2014/main" id="{00000000-0008-0000-0400-00007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a:extLst>
            <a:ext uri="{FF2B5EF4-FFF2-40B4-BE49-F238E27FC236}">
              <a16:creationId xmlns:a16="http://schemas.microsoft.com/office/drawing/2014/main" id="{00000000-0008-0000-0400-00007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a:extLst>
            <a:ext uri="{FF2B5EF4-FFF2-40B4-BE49-F238E27FC236}">
              <a16:creationId xmlns:a16="http://schemas.microsoft.com/office/drawing/2014/main" id="{00000000-0008-0000-0400-00007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a:extLst>
            <a:ext uri="{FF2B5EF4-FFF2-40B4-BE49-F238E27FC236}">
              <a16:creationId xmlns:a16="http://schemas.microsoft.com/office/drawing/2014/main" id="{00000000-0008-0000-0400-00007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a:extLst>
            <a:ext uri="{FF2B5EF4-FFF2-40B4-BE49-F238E27FC236}">
              <a16:creationId xmlns:a16="http://schemas.microsoft.com/office/drawing/2014/main" id="{00000000-0008-0000-0400-00007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a:extLst>
            <a:ext uri="{FF2B5EF4-FFF2-40B4-BE49-F238E27FC236}">
              <a16:creationId xmlns:a16="http://schemas.microsoft.com/office/drawing/2014/main" id="{00000000-0008-0000-0400-00007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a:extLst>
            <a:ext uri="{FF2B5EF4-FFF2-40B4-BE49-F238E27FC236}">
              <a16:creationId xmlns:a16="http://schemas.microsoft.com/office/drawing/2014/main" id="{00000000-0008-0000-0400-00007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a:extLst>
            <a:ext uri="{FF2B5EF4-FFF2-40B4-BE49-F238E27FC236}">
              <a16:creationId xmlns:a16="http://schemas.microsoft.com/office/drawing/2014/main" id="{00000000-0008-0000-0400-00008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a:extLst>
            <a:ext uri="{FF2B5EF4-FFF2-40B4-BE49-F238E27FC236}">
              <a16:creationId xmlns:a16="http://schemas.microsoft.com/office/drawing/2014/main" id="{00000000-0008-0000-0400-00008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a:extLst>
            <a:ext uri="{FF2B5EF4-FFF2-40B4-BE49-F238E27FC236}">
              <a16:creationId xmlns:a16="http://schemas.microsoft.com/office/drawing/2014/main" id="{00000000-0008-0000-0400-00008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a:extLst>
            <a:ext uri="{FF2B5EF4-FFF2-40B4-BE49-F238E27FC236}">
              <a16:creationId xmlns:a16="http://schemas.microsoft.com/office/drawing/2014/main" id="{00000000-0008-0000-0400-00008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a:extLst>
            <a:ext uri="{FF2B5EF4-FFF2-40B4-BE49-F238E27FC236}">
              <a16:creationId xmlns:a16="http://schemas.microsoft.com/office/drawing/2014/main" id="{00000000-0008-0000-0400-00008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a:extLst>
            <a:ext uri="{FF2B5EF4-FFF2-40B4-BE49-F238E27FC236}">
              <a16:creationId xmlns:a16="http://schemas.microsoft.com/office/drawing/2014/main" id="{00000000-0008-0000-0400-00008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a:extLst>
            <a:ext uri="{FF2B5EF4-FFF2-40B4-BE49-F238E27FC236}">
              <a16:creationId xmlns:a16="http://schemas.microsoft.com/office/drawing/2014/main" id="{00000000-0008-0000-0400-00008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a:extLst>
            <a:ext uri="{FF2B5EF4-FFF2-40B4-BE49-F238E27FC236}">
              <a16:creationId xmlns:a16="http://schemas.microsoft.com/office/drawing/2014/main" id="{00000000-0008-0000-0400-00008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a:extLst>
            <a:ext uri="{FF2B5EF4-FFF2-40B4-BE49-F238E27FC236}">
              <a16:creationId xmlns:a16="http://schemas.microsoft.com/office/drawing/2014/main" id="{00000000-0008-0000-0400-00008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a:extLst>
            <a:ext uri="{FF2B5EF4-FFF2-40B4-BE49-F238E27FC236}">
              <a16:creationId xmlns:a16="http://schemas.microsoft.com/office/drawing/2014/main" id="{00000000-0008-0000-0400-00008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a:extLst>
            <a:ext uri="{FF2B5EF4-FFF2-40B4-BE49-F238E27FC236}">
              <a16:creationId xmlns:a16="http://schemas.microsoft.com/office/drawing/2014/main" id="{00000000-0008-0000-0400-00008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a:extLst>
            <a:ext uri="{FF2B5EF4-FFF2-40B4-BE49-F238E27FC236}">
              <a16:creationId xmlns:a16="http://schemas.microsoft.com/office/drawing/2014/main" id="{00000000-0008-0000-0400-00008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a:extLst>
            <a:ext uri="{FF2B5EF4-FFF2-40B4-BE49-F238E27FC236}">
              <a16:creationId xmlns:a16="http://schemas.microsoft.com/office/drawing/2014/main" id="{00000000-0008-0000-0400-00008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a:extLst>
            <a:ext uri="{FF2B5EF4-FFF2-40B4-BE49-F238E27FC236}">
              <a16:creationId xmlns:a16="http://schemas.microsoft.com/office/drawing/2014/main" id="{00000000-0008-0000-0400-00008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a:extLst>
            <a:ext uri="{FF2B5EF4-FFF2-40B4-BE49-F238E27FC236}">
              <a16:creationId xmlns:a16="http://schemas.microsoft.com/office/drawing/2014/main" id="{00000000-0008-0000-0400-00008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a:extLst>
            <a:ext uri="{FF2B5EF4-FFF2-40B4-BE49-F238E27FC236}">
              <a16:creationId xmlns:a16="http://schemas.microsoft.com/office/drawing/2014/main" id="{00000000-0008-0000-0400-00008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a:extLst>
            <a:ext uri="{FF2B5EF4-FFF2-40B4-BE49-F238E27FC236}">
              <a16:creationId xmlns:a16="http://schemas.microsoft.com/office/drawing/2014/main" id="{00000000-0008-0000-0400-00009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a:extLst>
            <a:ext uri="{FF2B5EF4-FFF2-40B4-BE49-F238E27FC236}">
              <a16:creationId xmlns:a16="http://schemas.microsoft.com/office/drawing/2014/main" id="{00000000-0008-0000-0400-00009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a:extLst>
            <a:ext uri="{FF2B5EF4-FFF2-40B4-BE49-F238E27FC236}">
              <a16:creationId xmlns:a16="http://schemas.microsoft.com/office/drawing/2014/main" id="{00000000-0008-0000-0400-00009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a:extLst>
            <a:ext uri="{FF2B5EF4-FFF2-40B4-BE49-F238E27FC236}">
              <a16:creationId xmlns:a16="http://schemas.microsoft.com/office/drawing/2014/main" id="{00000000-0008-0000-0400-00009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a:extLst>
            <a:ext uri="{FF2B5EF4-FFF2-40B4-BE49-F238E27FC236}">
              <a16:creationId xmlns:a16="http://schemas.microsoft.com/office/drawing/2014/main" id="{00000000-0008-0000-0400-00009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a:extLst>
            <a:ext uri="{FF2B5EF4-FFF2-40B4-BE49-F238E27FC236}">
              <a16:creationId xmlns:a16="http://schemas.microsoft.com/office/drawing/2014/main" id="{00000000-0008-0000-0400-00009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a:extLst>
            <a:ext uri="{FF2B5EF4-FFF2-40B4-BE49-F238E27FC236}">
              <a16:creationId xmlns:a16="http://schemas.microsoft.com/office/drawing/2014/main" id="{00000000-0008-0000-0400-00009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a:extLst>
            <a:ext uri="{FF2B5EF4-FFF2-40B4-BE49-F238E27FC236}">
              <a16:creationId xmlns:a16="http://schemas.microsoft.com/office/drawing/2014/main" id="{00000000-0008-0000-0400-00009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a:extLst>
            <a:ext uri="{FF2B5EF4-FFF2-40B4-BE49-F238E27FC236}">
              <a16:creationId xmlns:a16="http://schemas.microsoft.com/office/drawing/2014/main" id="{00000000-0008-0000-0400-00009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a:extLst>
            <a:ext uri="{FF2B5EF4-FFF2-40B4-BE49-F238E27FC236}">
              <a16:creationId xmlns:a16="http://schemas.microsoft.com/office/drawing/2014/main" id="{00000000-0008-0000-0400-00009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a:extLst>
            <a:ext uri="{FF2B5EF4-FFF2-40B4-BE49-F238E27FC236}">
              <a16:creationId xmlns:a16="http://schemas.microsoft.com/office/drawing/2014/main" id="{00000000-0008-0000-0400-00009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a:extLst>
            <a:ext uri="{FF2B5EF4-FFF2-40B4-BE49-F238E27FC236}">
              <a16:creationId xmlns:a16="http://schemas.microsoft.com/office/drawing/2014/main" id="{00000000-0008-0000-0400-00009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a:extLst>
            <a:ext uri="{FF2B5EF4-FFF2-40B4-BE49-F238E27FC236}">
              <a16:creationId xmlns:a16="http://schemas.microsoft.com/office/drawing/2014/main" id="{00000000-0008-0000-0400-00009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a:extLst>
            <a:ext uri="{FF2B5EF4-FFF2-40B4-BE49-F238E27FC236}">
              <a16:creationId xmlns:a16="http://schemas.microsoft.com/office/drawing/2014/main" id="{00000000-0008-0000-0400-00009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a:extLst>
            <a:ext uri="{FF2B5EF4-FFF2-40B4-BE49-F238E27FC236}">
              <a16:creationId xmlns:a16="http://schemas.microsoft.com/office/drawing/2014/main" id="{00000000-0008-0000-0400-00009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a:extLst>
            <a:ext uri="{FF2B5EF4-FFF2-40B4-BE49-F238E27FC236}">
              <a16:creationId xmlns:a16="http://schemas.microsoft.com/office/drawing/2014/main" id="{00000000-0008-0000-0400-00009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a:extLst>
            <a:ext uri="{FF2B5EF4-FFF2-40B4-BE49-F238E27FC236}">
              <a16:creationId xmlns:a16="http://schemas.microsoft.com/office/drawing/2014/main" id="{00000000-0008-0000-0400-0000A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a:extLst>
            <a:ext uri="{FF2B5EF4-FFF2-40B4-BE49-F238E27FC236}">
              <a16:creationId xmlns:a16="http://schemas.microsoft.com/office/drawing/2014/main" id="{00000000-0008-0000-0400-0000A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a:extLst>
            <a:ext uri="{FF2B5EF4-FFF2-40B4-BE49-F238E27FC236}">
              <a16:creationId xmlns:a16="http://schemas.microsoft.com/office/drawing/2014/main" id="{00000000-0008-0000-0400-0000A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a:extLst>
            <a:ext uri="{FF2B5EF4-FFF2-40B4-BE49-F238E27FC236}">
              <a16:creationId xmlns:a16="http://schemas.microsoft.com/office/drawing/2014/main" id="{00000000-0008-0000-0400-0000A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a:extLst>
            <a:ext uri="{FF2B5EF4-FFF2-40B4-BE49-F238E27FC236}">
              <a16:creationId xmlns:a16="http://schemas.microsoft.com/office/drawing/2014/main" id="{00000000-0008-0000-0400-0000A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a:extLst>
            <a:ext uri="{FF2B5EF4-FFF2-40B4-BE49-F238E27FC236}">
              <a16:creationId xmlns:a16="http://schemas.microsoft.com/office/drawing/2014/main" id="{00000000-0008-0000-0400-0000A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a:extLst>
            <a:ext uri="{FF2B5EF4-FFF2-40B4-BE49-F238E27FC236}">
              <a16:creationId xmlns:a16="http://schemas.microsoft.com/office/drawing/2014/main" id="{00000000-0008-0000-0400-0000A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a:extLst>
            <a:ext uri="{FF2B5EF4-FFF2-40B4-BE49-F238E27FC236}">
              <a16:creationId xmlns:a16="http://schemas.microsoft.com/office/drawing/2014/main" id="{00000000-0008-0000-0400-0000A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a:extLst>
            <a:ext uri="{FF2B5EF4-FFF2-40B4-BE49-F238E27FC236}">
              <a16:creationId xmlns:a16="http://schemas.microsoft.com/office/drawing/2014/main" id="{00000000-0008-0000-0400-0000A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a:extLst>
            <a:ext uri="{FF2B5EF4-FFF2-40B4-BE49-F238E27FC236}">
              <a16:creationId xmlns:a16="http://schemas.microsoft.com/office/drawing/2014/main" id="{00000000-0008-0000-0400-0000A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a:extLst>
            <a:ext uri="{FF2B5EF4-FFF2-40B4-BE49-F238E27FC236}">
              <a16:creationId xmlns:a16="http://schemas.microsoft.com/office/drawing/2014/main" id="{00000000-0008-0000-0400-0000A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a:extLst>
            <a:ext uri="{FF2B5EF4-FFF2-40B4-BE49-F238E27FC236}">
              <a16:creationId xmlns:a16="http://schemas.microsoft.com/office/drawing/2014/main" id="{00000000-0008-0000-0400-0000A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a:extLst>
            <a:ext uri="{FF2B5EF4-FFF2-40B4-BE49-F238E27FC236}">
              <a16:creationId xmlns:a16="http://schemas.microsoft.com/office/drawing/2014/main" id="{00000000-0008-0000-0400-0000A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a:extLst>
            <a:ext uri="{FF2B5EF4-FFF2-40B4-BE49-F238E27FC236}">
              <a16:creationId xmlns:a16="http://schemas.microsoft.com/office/drawing/2014/main" id="{00000000-0008-0000-0400-0000A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a:extLst>
            <a:ext uri="{FF2B5EF4-FFF2-40B4-BE49-F238E27FC236}">
              <a16:creationId xmlns:a16="http://schemas.microsoft.com/office/drawing/2014/main" id="{00000000-0008-0000-0400-0000A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a:extLst>
            <a:ext uri="{FF2B5EF4-FFF2-40B4-BE49-F238E27FC236}">
              <a16:creationId xmlns:a16="http://schemas.microsoft.com/office/drawing/2014/main" id="{00000000-0008-0000-0400-0000A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a:extLst>
            <a:ext uri="{FF2B5EF4-FFF2-40B4-BE49-F238E27FC236}">
              <a16:creationId xmlns:a16="http://schemas.microsoft.com/office/drawing/2014/main" id="{00000000-0008-0000-0400-0000B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a:extLst>
            <a:ext uri="{FF2B5EF4-FFF2-40B4-BE49-F238E27FC236}">
              <a16:creationId xmlns:a16="http://schemas.microsoft.com/office/drawing/2014/main" id="{00000000-0008-0000-0400-0000B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a:extLst>
            <a:ext uri="{FF2B5EF4-FFF2-40B4-BE49-F238E27FC236}">
              <a16:creationId xmlns:a16="http://schemas.microsoft.com/office/drawing/2014/main" id="{00000000-0008-0000-0400-0000B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a:extLst>
            <a:ext uri="{FF2B5EF4-FFF2-40B4-BE49-F238E27FC236}">
              <a16:creationId xmlns:a16="http://schemas.microsoft.com/office/drawing/2014/main" id="{00000000-0008-0000-0400-0000B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a:extLst>
            <a:ext uri="{FF2B5EF4-FFF2-40B4-BE49-F238E27FC236}">
              <a16:creationId xmlns:a16="http://schemas.microsoft.com/office/drawing/2014/main" id="{00000000-0008-0000-0400-0000B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a:extLst>
            <a:ext uri="{FF2B5EF4-FFF2-40B4-BE49-F238E27FC236}">
              <a16:creationId xmlns:a16="http://schemas.microsoft.com/office/drawing/2014/main" id="{00000000-0008-0000-0400-0000B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a:extLst>
            <a:ext uri="{FF2B5EF4-FFF2-40B4-BE49-F238E27FC236}">
              <a16:creationId xmlns:a16="http://schemas.microsoft.com/office/drawing/2014/main" id="{00000000-0008-0000-0400-0000B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a:extLst>
            <a:ext uri="{FF2B5EF4-FFF2-40B4-BE49-F238E27FC236}">
              <a16:creationId xmlns:a16="http://schemas.microsoft.com/office/drawing/2014/main" id="{00000000-0008-0000-0400-0000B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a:extLst>
            <a:ext uri="{FF2B5EF4-FFF2-40B4-BE49-F238E27FC236}">
              <a16:creationId xmlns:a16="http://schemas.microsoft.com/office/drawing/2014/main" id="{00000000-0008-0000-0400-0000B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a:extLst>
            <a:ext uri="{FF2B5EF4-FFF2-40B4-BE49-F238E27FC236}">
              <a16:creationId xmlns:a16="http://schemas.microsoft.com/office/drawing/2014/main" id="{00000000-0008-0000-0400-0000B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a:extLst>
            <a:ext uri="{FF2B5EF4-FFF2-40B4-BE49-F238E27FC236}">
              <a16:creationId xmlns:a16="http://schemas.microsoft.com/office/drawing/2014/main" id="{00000000-0008-0000-0400-0000B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a:extLst>
            <a:ext uri="{FF2B5EF4-FFF2-40B4-BE49-F238E27FC236}">
              <a16:creationId xmlns:a16="http://schemas.microsoft.com/office/drawing/2014/main" id="{00000000-0008-0000-0400-0000B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a:extLst>
            <a:ext uri="{FF2B5EF4-FFF2-40B4-BE49-F238E27FC236}">
              <a16:creationId xmlns:a16="http://schemas.microsoft.com/office/drawing/2014/main" id="{00000000-0008-0000-0400-0000B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a:extLst>
            <a:ext uri="{FF2B5EF4-FFF2-40B4-BE49-F238E27FC236}">
              <a16:creationId xmlns:a16="http://schemas.microsoft.com/office/drawing/2014/main" id="{00000000-0008-0000-0400-0000B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a:extLst>
            <a:ext uri="{FF2B5EF4-FFF2-40B4-BE49-F238E27FC236}">
              <a16:creationId xmlns:a16="http://schemas.microsoft.com/office/drawing/2014/main" id="{00000000-0008-0000-0400-0000B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a:extLst>
            <a:ext uri="{FF2B5EF4-FFF2-40B4-BE49-F238E27FC236}">
              <a16:creationId xmlns:a16="http://schemas.microsoft.com/office/drawing/2014/main" id="{00000000-0008-0000-0400-0000B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a:extLst>
            <a:ext uri="{FF2B5EF4-FFF2-40B4-BE49-F238E27FC236}">
              <a16:creationId xmlns:a16="http://schemas.microsoft.com/office/drawing/2014/main" id="{00000000-0008-0000-0400-0000C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a:extLst>
            <a:ext uri="{FF2B5EF4-FFF2-40B4-BE49-F238E27FC236}">
              <a16:creationId xmlns:a16="http://schemas.microsoft.com/office/drawing/2014/main" id="{00000000-0008-0000-0400-0000C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a:extLst>
            <a:ext uri="{FF2B5EF4-FFF2-40B4-BE49-F238E27FC236}">
              <a16:creationId xmlns:a16="http://schemas.microsoft.com/office/drawing/2014/main" id="{00000000-0008-0000-0400-0000C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a:extLst>
            <a:ext uri="{FF2B5EF4-FFF2-40B4-BE49-F238E27FC236}">
              <a16:creationId xmlns:a16="http://schemas.microsoft.com/office/drawing/2014/main" id="{00000000-0008-0000-0400-0000C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a:extLst>
            <a:ext uri="{FF2B5EF4-FFF2-40B4-BE49-F238E27FC236}">
              <a16:creationId xmlns:a16="http://schemas.microsoft.com/office/drawing/2014/main" id="{00000000-0008-0000-0400-0000C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a:extLst>
            <a:ext uri="{FF2B5EF4-FFF2-40B4-BE49-F238E27FC236}">
              <a16:creationId xmlns:a16="http://schemas.microsoft.com/office/drawing/2014/main" id="{00000000-0008-0000-0400-0000C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a:extLst>
            <a:ext uri="{FF2B5EF4-FFF2-40B4-BE49-F238E27FC236}">
              <a16:creationId xmlns:a16="http://schemas.microsoft.com/office/drawing/2014/main" id="{00000000-0008-0000-0400-0000C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a:extLst>
            <a:ext uri="{FF2B5EF4-FFF2-40B4-BE49-F238E27FC236}">
              <a16:creationId xmlns:a16="http://schemas.microsoft.com/office/drawing/2014/main" id="{00000000-0008-0000-0400-0000C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a:extLst>
            <a:ext uri="{FF2B5EF4-FFF2-40B4-BE49-F238E27FC236}">
              <a16:creationId xmlns:a16="http://schemas.microsoft.com/office/drawing/2014/main" id="{00000000-0008-0000-0400-0000C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a:extLst>
            <a:ext uri="{FF2B5EF4-FFF2-40B4-BE49-F238E27FC236}">
              <a16:creationId xmlns:a16="http://schemas.microsoft.com/office/drawing/2014/main" id="{00000000-0008-0000-0400-0000C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a:extLst>
            <a:ext uri="{FF2B5EF4-FFF2-40B4-BE49-F238E27FC236}">
              <a16:creationId xmlns:a16="http://schemas.microsoft.com/office/drawing/2014/main" id="{00000000-0008-0000-0400-0000C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a:extLst>
            <a:ext uri="{FF2B5EF4-FFF2-40B4-BE49-F238E27FC236}">
              <a16:creationId xmlns:a16="http://schemas.microsoft.com/office/drawing/2014/main" id="{00000000-0008-0000-0400-0000C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a:extLst>
            <a:ext uri="{FF2B5EF4-FFF2-40B4-BE49-F238E27FC236}">
              <a16:creationId xmlns:a16="http://schemas.microsoft.com/office/drawing/2014/main" id="{00000000-0008-0000-0400-0000C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a:extLst>
            <a:ext uri="{FF2B5EF4-FFF2-40B4-BE49-F238E27FC236}">
              <a16:creationId xmlns:a16="http://schemas.microsoft.com/office/drawing/2014/main" id="{00000000-0008-0000-0400-0000C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a:extLst>
            <a:ext uri="{FF2B5EF4-FFF2-40B4-BE49-F238E27FC236}">
              <a16:creationId xmlns:a16="http://schemas.microsoft.com/office/drawing/2014/main" id="{00000000-0008-0000-0400-0000C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a:extLst>
            <a:ext uri="{FF2B5EF4-FFF2-40B4-BE49-F238E27FC236}">
              <a16:creationId xmlns:a16="http://schemas.microsoft.com/office/drawing/2014/main" id="{00000000-0008-0000-0400-0000C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a:extLst>
            <a:ext uri="{FF2B5EF4-FFF2-40B4-BE49-F238E27FC236}">
              <a16:creationId xmlns:a16="http://schemas.microsoft.com/office/drawing/2014/main" id="{00000000-0008-0000-0400-0000D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a:extLst>
            <a:ext uri="{FF2B5EF4-FFF2-40B4-BE49-F238E27FC236}">
              <a16:creationId xmlns:a16="http://schemas.microsoft.com/office/drawing/2014/main" id="{00000000-0008-0000-0400-0000D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a:extLst>
            <a:ext uri="{FF2B5EF4-FFF2-40B4-BE49-F238E27FC236}">
              <a16:creationId xmlns:a16="http://schemas.microsoft.com/office/drawing/2014/main" id="{00000000-0008-0000-0400-0000D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a:extLst>
            <a:ext uri="{FF2B5EF4-FFF2-40B4-BE49-F238E27FC236}">
              <a16:creationId xmlns:a16="http://schemas.microsoft.com/office/drawing/2014/main" id="{00000000-0008-0000-0400-0000D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a:extLst>
            <a:ext uri="{FF2B5EF4-FFF2-40B4-BE49-F238E27FC236}">
              <a16:creationId xmlns:a16="http://schemas.microsoft.com/office/drawing/2014/main" id="{00000000-0008-0000-0400-0000D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a:extLst>
            <a:ext uri="{FF2B5EF4-FFF2-40B4-BE49-F238E27FC236}">
              <a16:creationId xmlns:a16="http://schemas.microsoft.com/office/drawing/2014/main" id="{00000000-0008-0000-0400-0000D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a:extLst>
            <a:ext uri="{FF2B5EF4-FFF2-40B4-BE49-F238E27FC236}">
              <a16:creationId xmlns:a16="http://schemas.microsoft.com/office/drawing/2014/main" id="{00000000-0008-0000-0400-0000D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a:extLst>
            <a:ext uri="{FF2B5EF4-FFF2-40B4-BE49-F238E27FC236}">
              <a16:creationId xmlns:a16="http://schemas.microsoft.com/office/drawing/2014/main" id="{00000000-0008-0000-0400-0000D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a:extLst>
            <a:ext uri="{FF2B5EF4-FFF2-40B4-BE49-F238E27FC236}">
              <a16:creationId xmlns:a16="http://schemas.microsoft.com/office/drawing/2014/main" id="{00000000-0008-0000-0400-0000D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a:extLst>
            <a:ext uri="{FF2B5EF4-FFF2-40B4-BE49-F238E27FC236}">
              <a16:creationId xmlns:a16="http://schemas.microsoft.com/office/drawing/2014/main" id="{00000000-0008-0000-0400-0000D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a:extLst>
            <a:ext uri="{FF2B5EF4-FFF2-40B4-BE49-F238E27FC236}">
              <a16:creationId xmlns:a16="http://schemas.microsoft.com/office/drawing/2014/main" id="{00000000-0008-0000-0400-0000D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a:extLst>
            <a:ext uri="{FF2B5EF4-FFF2-40B4-BE49-F238E27FC236}">
              <a16:creationId xmlns:a16="http://schemas.microsoft.com/office/drawing/2014/main" id="{00000000-0008-0000-0400-0000D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a:extLst>
            <a:ext uri="{FF2B5EF4-FFF2-40B4-BE49-F238E27FC236}">
              <a16:creationId xmlns:a16="http://schemas.microsoft.com/office/drawing/2014/main" id="{00000000-0008-0000-0400-0000D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a:extLst>
            <a:ext uri="{FF2B5EF4-FFF2-40B4-BE49-F238E27FC236}">
              <a16:creationId xmlns:a16="http://schemas.microsoft.com/office/drawing/2014/main" id="{00000000-0008-0000-0400-0000D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a:extLst>
            <a:ext uri="{FF2B5EF4-FFF2-40B4-BE49-F238E27FC236}">
              <a16:creationId xmlns:a16="http://schemas.microsoft.com/office/drawing/2014/main" id="{00000000-0008-0000-0400-0000D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a:extLst>
            <a:ext uri="{FF2B5EF4-FFF2-40B4-BE49-F238E27FC236}">
              <a16:creationId xmlns:a16="http://schemas.microsoft.com/office/drawing/2014/main" id="{00000000-0008-0000-0400-0000D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a:extLst>
            <a:ext uri="{FF2B5EF4-FFF2-40B4-BE49-F238E27FC236}">
              <a16:creationId xmlns:a16="http://schemas.microsoft.com/office/drawing/2014/main" id="{00000000-0008-0000-0400-0000E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a:extLst>
            <a:ext uri="{FF2B5EF4-FFF2-40B4-BE49-F238E27FC236}">
              <a16:creationId xmlns:a16="http://schemas.microsoft.com/office/drawing/2014/main" id="{00000000-0008-0000-0400-0000E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a:extLst>
            <a:ext uri="{FF2B5EF4-FFF2-40B4-BE49-F238E27FC236}">
              <a16:creationId xmlns:a16="http://schemas.microsoft.com/office/drawing/2014/main" id="{00000000-0008-0000-0400-0000E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a:extLst>
            <a:ext uri="{FF2B5EF4-FFF2-40B4-BE49-F238E27FC236}">
              <a16:creationId xmlns:a16="http://schemas.microsoft.com/office/drawing/2014/main" id="{00000000-0008-0000-0400-0000E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a:extLst>
            <a:ext uri="{FF2B5EF4-FFF2-40B4-BE49-F238E27FC236}">
              <a16:creationId xmlns:a16="http://schemas.microsoft.com/office/drawing/2014/main" id="{00000000-0008-0000-0400-0000E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a:extLst>
            <a:ext uri="{FF2B5EF4-FFF2-40B4-BE49-F238E27FC236}">
              <a16:creationId xmlns:a16="http://schemas.microsoft.com/office/drawing/2014/main" id="{00000000-0008-0000-0400-0000E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a:extLst>
            <a:ext uri="{FF2B5EF4-FFF2-40B4-BE49-F238E27FC236}">
              <a16:creationId xmlns:a16="http://schemas.microsoft.com/office/drawing/2014/main" id="{00000000-0008-0000-0400-0000E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a:extLst>
            <a:ext uri="{FF2B5EF4-FFF2-40B4-BE49-F238E27FC236}">
              <a16:creationId xmlns:a16="http://schemas.microsoft.com/office/drawing/2014/main" id="{00000000-0008-0000-0400-0000E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a:extLst>
            <a:ext uri="{FF2B5EF4-FFF2-40B4-BE49-F238E27FC236}">
              <a16:creationId xmlns:a16="http://schemas.microsoft.com/office/drawing/2014/main" id="{00000000-0008-0000-0400-0000E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a:extLst>
            <a:ext uri="{FF2B5EF4-FFF2-40B4-BE49-F238E27FC236}">
              <a16:creationId xmlns:a16="http://schemas.microsoft.com/office/drawing/2014/main" id="{00000000-0008-0000-0400-0000E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a:extLst>
            <a:ext uri="{FF2B5EF4-FFF2-40B4-BE49-F238E27FC236}">
              <a16:creationId xmlns:a16="http://schemas.microsoft.com/office/drawing/2014/main" id="{00000000-0008-0000-0400-0000E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a:extLst>
            <a:ext uri="{FF2B5EF4-FFF2-40B4-BE49-F238E27FC236}">
              <a16:creationId xmlns:a16="http://schemas.microsoft.com/office/drawing/2014/main" id="{00000000-0008-0000-0400-0000E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a:extLst>
            <a:ext uri="{FF2B5EF4-FFF2-40B4-BE49-F238E27FC236}">
              <a16:creationId xmlns:a16="http://schemas.microsoft.com/office/drawing/2014/main" id="{00000000-0008-0000-0400-0000E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a:extLst>
            <a:ext uri="{FF2B5EF4-FFF2-40B4-BE49-F238E27FC236}">
              <a16:creationId xmlns:a16="http://schemas.microsoft.com/office/drawing/2014/main" id="{00000000-0008-0000-0400-0000E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a:extLst>
            <a:ext uri="{FF2B5EF4-FFF2-40B4-BE49-F238E27FC236}">
              <a16:creationId xmlns:a16="http://schemas.microsoft.com/office/drawing/2014/main" id="{00000000-0008-0000-0400-0000E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a:extLst>
            <a:ext uri="{FF2B5EF4-FFF2-40B4-BE49-F238E27FC236}">
              <a16:creationId xmlns:a16="http://schemas.microsoft.com/office/drawing/2014/main" id="{00000000-0008-0000-0400-0000E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a:extLst>
            <a:ext uri="{FF2B5EF4-FFF2-40B4-BE49-F238E27FC236}">
              <a16:creationId xmlns:a16="http://schemas.microsoft.com/office/drawing/2014/main" id="{00000000-0008-0000-0400-0000F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a:extLst>
            <a:ext uri="{FF2B5EF4-FFF2-40B4-BE49-F238E27FC236}">
              <a16:creationId xmlns:a16="http://schemas.microsoft.com/office/drawing/2014/main" id="{00000000-0008-0000-0400-0000F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a:extLst>
            <a:ext uri="{FF2B5EF4-FFF2-40B4-BE49-F238E27FC236}">
              <a16:creationId xmlns:a16="http://schemas.microsoft.com/office/drawing/2014/main" id="{00000000-0008-0000-0400-0000F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a:extLst>
            <a:ext uri="{FF2B5EF4-FFF2-40B4-BE49-F238E27FC236}">
              <a16:creationId xmlns:a16="http://schemas.microsoft.com/office/drawing/2014/main" id="{00000000-0008-0000-0400-0000F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a:extLst>
            <a:ext uri="{FF2B5EF4-FFF2-40B4-BE49-F238E27FC236}">
              <a16:creationId xmlns:a16="http://schemas.microsoft.com/office/drawing/2014/main" id="{00000000-0008-0000-0400-0000F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a:extLst>
            <a:ext uri="{FF2B5EF4-FFF2-40B4-BE49-F238E27FC236}">
              <a16:creationId xmlns:a16="http://schemas.microsoft.com/office/drawing/2014/main" id="{00000000-0008-0000-0400-0000F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a:extLst>
            <a:ext uri="{FF2B5EF4-FFF2-40B4-BE49-F238E27FC236}">
              <a16:creationId xmlns:a16="http://schemas.microsoft.com/office/drawing/2014/main" id="{00000000-0008-0000-0400-0000F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a:extLst>
            <a:ext uri="{FF2B5EF4-FFF2-40B4-BE49-F238E27FC236}">
              <a16:creationId xmlns:a16="http://schemas.microsoft.com/office/drawing/2014/main" id="{00000000-0008-0000-0400-0000F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a:extLst>
            <a:ext uri="{FF2B5EF4-FFF2-40B4-BE49-F238E27FC236}">
              <a16:creationId xmlns:a16="http://schemas.microsoft.com/office/drawing/2014/main" id="{00000000-0008-0000-0400-0000F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a:extLst>
            <a:ext uri="{FF2B5EF4-FFF2-40B4-BE49-F238E27FC236}">
              <a16:creationId xmlns:a16="http://schemas.microsoft.com/office/drawing/2014/main" id="{00000000-0008-0000-0400-0000F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a:extLst>
            <a:ext uri="{FF2B5EF4-FFF2-40B4-BE49-F238E27FC236}">
              <a16:creationId xmlns:a16="http://schemas.microsoft.com/office/drawing/2014/main" id="{00000000-0008-0000-0400-0000F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a:extLst>
            <a:ext uri="{FF2B5EF4-FFF2-40B4-BE49-F238E27FC236}">
              <a16:creationId xmlns:a16="http://schemas.microsoft.com/office/drawing/2014/main" id="{00000000-0008-0000-0400-0000F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a:extLst>
            <a:ext uri="{FF2B5EF4-FFF2-40B4-BE49-F238E27FC236}">
              <a16:creationId xmlns:a16="http://schemas.microsoft.com/office/drawing/2014/main" id="{00000000-0008-0000-0400-0000F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a:extLst>
            <a:ext uri="{FF2B5EF4-FFF2-40B4-BE49-F238E27FC236}">
              <a16:creationId xmlns:a16="http://schemas.microsoft.com/office/drawing/2014/main" id="{00000000-0008-0000-0400-0000F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a:extLst>
            <a:ext uri="{FF2B5EF4-FFF2-40B4-BE49-F238E27FC236}">
              <a16:creationId xmlns:a16="http://schemas.microsoft.com/office/drawing/2014/main" id="{00000000-0008-0000-0400-0000F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a:extLst>
            <a:ext uri="{FF2B5EF4-FFF2-40B4-BE49-F238E27FC236}">
              <a16:creationId xmlns:a16="http://schemas.microsoft.com/office/drawing/2014/main" id="{00000000-0008-0000-0400-0000F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a:extLst>
            <a:ext uri="{FF2B5EF4-FFF2-40B4-BE49-F238E27FC236}">
              <a16:creationId xmlns:a16="http://schemas.microsoft.com/office/drawing/2014/main" id="{00000000-0008-0000-0400-00000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a:extLst>
            <a:ext uri="{FF2B5EF4-FFF2-40B4-BE49-F238E27FC236}">
              <a16:creationId xmlns:a16="http://schemas.microsoft.com/office/drawing/2014/main" id="{00000000-0008-0000-04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a:extLst>
            <a:ext uri="{FF2B5EF4-FFF2-40B4-BE49-F238E27FC236}">
              <a16:creationId xmlns:a16="http://schemas.microsoft.com/office/drawing/2014/main" id="{00000000-0008-0000-0400-00000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a:extLst>
            <a:ext uri="{FF2B5EF4-FFF2-40B4-BE49-F238E27FC236}">
              <a16:creationId xmlns:a16="http://schemas.microsoft.com/office/drawing/2014/main" id="{00000000-0008-0000-04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a:extLst>
            <a:ext uri="{FF2B5EF4-FFF2-40B4-BE49-F238E27FC236}">
              <a16:creationId xmlns:a16="http://schemas.microsoft.com/office/drawing/2014/main" id="{00000000-0008-0000-04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a:extLst>
            <a:ext uri="{FF2B5EF4-FFF2-40B4-BE49-F238E27FC236}">
              <a16:creationId xmlns:a16="http://schemas.microsoft.com/office/drawing/2014/main" id="{00000000-0008-0000-0400-00000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a:extLst>
            <a:ext uri="{FF2B5EF4-FFF2-40B4-BE49-F238E27FC236}">
              <a16:creationId xmlns:a16="http://schemas.microsoft.com/office/drawing/2014/main" id="{00000000-0008-0000-0400-00000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a:extLst>
            <a:ext uri="{FF2B5EF4-FFF2-40B4-BE49-F238E27FC236}">
              <a16:creationId xmlns:a16="http://schemas.microsoft.com/office/drawing/2014/main" id="{00000000-0008-0000-0400-00000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a:extLst>
            <a:ext uri="{FF2B5EF4-FFF2-40B4-BE49-F238E27FC236}">
              <a16:creationId xmlns:a16="http://schemas.microsoft.com/office/drawing/2014/main" id="{00000000-0008-0000-0400-00000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a:extLst>
            <a:ext uri="{FF2B5EF4-FFF2-40B4-BE49-F238E27FC236}">
              <a16:creationId xmlns:a16="http://schemas.microsoft.com/office/drawing/2014/main" id="{00000000-0008-0000-0400-00000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a:extLst>
            <a:ext uri="{FF2B5EF4-FFF2-40B4-BE49-F238E27FC236}">
              <a16:creationId xmlns:a16="http://schemas.microsoft.com/office/drawing/2014/main" id="{00000000-0008-0000-0400-00000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a:extLst>
            <a:ext uri="{FF2B5EF4-FFF2-40B4-BE49-F238E27FC236}">
              <a16:creationId xmlns:a16="http://schemas.microsoft.com/office/drawing/2014/main" id="{00000000-0008-0000-0400-00000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a:extLst>
            <a:ext uri="{FF2B5EF4-FFF2-40B4-BE49-F238E27FC236}">
              <a16:creationId xmlns:a16="http://schemas.microsoft.com/office/drawing/2014/main" id="{00000000-0008-0000-0400-00000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a:extLst>
            <a:ext uri="{FF2B5EF4-FFF2-40B4-BE49-F238E27FC236}">
              <a16:creationId xmlns:a16="http://schemas.microsoft.com/office/drawing/2014/main" id="{00000000-0008-0000-0400-00000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a:extLst>
            <a:ext uri="{FF2B5EF4-FFF2-40B4-BE49-F238E27FC236}">
              <a16:creationId xmlns:a16="http://schemas.microsoft.com/office/drawing/2014/main" id="{00000000-0008-0000-0400-00000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a:extLst>
            <a:ext uri="{FF2B5EF4-FFF2-40B4-BE49-F238E27FC236}">
              <a16:creationId xmlns:a16="http://schemas.microsoft.com/office/drawing/2014/main" id="{00000000-0008-0000-0400-00000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a:extLst>
            <a:ext uri="{FF2B5EF4-FFF2-40B4-BE49-F238E27FC236}">
              <a16:creationId xmlns:a16="http://schemas.microsoft.com/office/drawing/2014/main" id="{00000000-0008-0000-0400-00001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a:extLst>
            <a:ext uri="{FF2B5EF4-FFF2-40B4-BE49-F238E27FC236}">
              <a16:creationId xmlns:a16="http://schemas.microsoft.com/office/drawing/2014/main" id="{00000000-0008-0000-0400-00001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a:extLst>
            <a:ext uri="{FF2B5EF4-FFF2-40B4-BE49-F238E27FC236}">
              <a16:creationId xmlns:a16="http://schemas.microsoft.com/office/drawing/2014/main" id="{00000000-0008-0000-0400-00001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a:extLst>
            <a:ext uri="{FF2B5EF4-FFF2-40B4-BE49-F238E27FC236}">
              <a16:creationId xmlns:a16="http://schemas.microsoft.com/office/drawing/2014/main" id="{00000000-0008-0000-0400-00001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a:extLst>
            <a:ext uri="{FF2B5EF4-FFF2-40B4-BE49-F238E27FC236}">
              <a16:creationId xmlns:a16="http://schemas.microsoft.com/office/drawing/2014/main" id="{00000000-0008-0000-0400-00001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a:extLst>
            <a:ext uri="{FF2B5EF4-FFF2-40B4-BE49-F238E27FC236}">
              <a16:creationId xmlns:a16="http://schemas.microsoft.com/office/drawing/2014/main" id="{00000000-0008-0000-0400-00001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a:extLst>
            <a:ext uri="{FF2B5EF4-FFF2-40B4-BE49-F238E27FC236}">
              <a16:creationId xmlns:a16="http://schemas.microsoft.com/office/drawing/2014/main" id="{00000000-0008-0000-0400-00001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a:extLst>
            <a:ext uri="{FF2B5EF4-FFF2-40B4-BE49-F238E27FC236}">
              <a16:creationId xmlns:a16="http://schemas.microsoft.com/office/drawing/2014/main" id="{00000000-0008-0000-0400-00001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a:extLst>
            <a:ext uri="{FF2B5EF4-FFF2-40B4-BE49-F238E27FC236}">
              <a16:creationId xmlns:a16="http://schemas.microsoft.com/office/drawing/2014/main" id="{00000000-0008-0000-0400-00001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a:extLst>
            <a:ext uri="{FF2B5EF4-FFF2-40B4-BE49-F238E27FC236}">
              <a16:creationId xmlns:a16="http://schemas.microsoft.com/office/drawing/2014/main" id="{00000000-0008-0000-0400-00001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a:extLst>
            <a:ext uri="{FF2B5EF4-FFF2-40B4-BE49-F238E27FC236}">
              <a16:creationId xmlns:a16="http://schemas.microsoft.com/office/drawing/2014/main" id="{00000000-0008-0000-0400-00001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a:extLst>
            <a:ext uri="{FF2B5EF4-FFF2-40B4-BE49-F238E27FC236}">
              <a16:creationId xmlns:a16="http://schemas.microsoft.com/office/drawing/2014/main" id="{00000000-0008-0000-0400-00001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a:extLst>
            <a:ext uri="{FF2B5EF4-FFF2-40B4-BE49-F238E27FC236}">
              <a16:creationId xmlns:a16="http://schemas.microsoft.com/office/drawing/2014/main" id="{00000000-0008-0000-0400-00001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a:extLst>
            <a:ext uri="{FF2B5EF4-FFF2-40B4-BE49-F238E27FC236}">
              <a16:creationId xmlns:a16="http://schemas.microsoft.com/office/drawing/2014/main" id="{00000000-0008-0000-0400-00001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a:extLst>
            <a:ext uri="{FF2B5EF4-FFF2-40B4-BE49-F238E27FC236}">
              <a16:creationId xmlns:a16="http://schemas.microsoft.com/office/drawing/2014/main" id="{00000000-0008-0000-0400-00001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a:extLst>
            <a:ext uri="{FF2B5EF4-FFF2-40B4-BE49-F238E27FC236}">
              <a16:creationId xmlns:a16="http://schemas.microsoft.com/office/drawing/2014/main" id="{00000000-0008-0000-0400-00001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a:extLst>
            <a:ext uri="{FF2B5EF4-FFF2-40B4-BE49-F238E27FC236}">
              <a16:creationId xmlns:a16="http://schemas.microsoft.com/office/drawing/2014/main" id="{00000000-0008-0000-0400-00002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a:extLst>
            <a:ext uri="{FF2B5EF4-FFF2-40B4-BE49-F238E27FC236}">
              <a16:creationId xmlns:a16="http://schemas.microsoft.com/office/drawing/2014/main" id="{00000000-0008-0000-0400-00002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a:extLst>
            <a:ext uri="{FF2B5EF4-FFF2-40B4-BE49-F238E27FC236}">
              <a16:creationId xmlns:a16="http://schemas.microsoft.com/office/drawing/2014/main" id="{00000000-0008-0000-0400-00002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a:extLst>
            <a:ext uri="{FF2B5EF4-FFF2-40B4-BE49-F238E27FC236}">
              <a16:creationId xmlns:a16="http://schemas.microsoft.com/office/drawing/2014/main" id="{00000000-0008-0000-0400-00002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a:extLst>
            <a:ext uri="{FF2B5EF4-FFF2-40B4-BE49-F238E27FC236}">
              <a16:creationId xmlns:a16="http://schemas.microsoft.com/office/drawing/2014/main" id="{00000000-0008-0000-0400-00002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a:extLst>
            <a:ext uri="{FF2B5EF4-FFF2-40B4-BE49-F238E27FC236}">
              <a16:creationId xmlns:a16="http://schemas.microsoft.com/office/drawing/2014/main" id="{00000000-0008-0000-0400-00002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a:extLst>
            <a:ext uri="{FF2B5EF4-FFF2-40B4-BE49-F238E27FC236}">
              <a16:creationId xmlns:a16="http://schemas.microsoft.com/office/drawing/2014/main" id="{00000000-0008-0000-0400-00002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a:extLst>
            <a:ext uri="{FF2B5EF4-FFF2-40B4-BE49-F238E27FC236}">
              <a16:creationId xmlns:a16="http://schemas.microsoft.com/office/drawing/2014/main" id="{00000000-0008-0000-0400-00002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a:extLst>
            <a:ext uri="{FF2B5EF4-FFF2-40B4-BE49-F238E27FC236}">
              <a16:creationId xmlns:a16="http://schemas.microsoft.com/office/drawing/2014/main" id="{00000000-0008-0000-0400-00002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a:extLst>
            <a:ext uri="{FF2B5EF4-FFF2-40B4-BE49-F238E27FC236}">
              <a16:creationId xmlns:a16="http://schemas.microsoft.com/office/drawing/2014/main" id="{00000000-0008-0000-0400-00002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a:extLst>
            <a:ext uri="{FF2B5EF4-FFF2-40B4-BE49-F238E27FC236}">
              <a16:creationId xmlns:a16="http://schemas.microsoft.com/office/drawing/2014/main" id="{00000000-0008-0000-0400-00002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a:extLst>
            <a:ext uri="{FF2B5EF4-FFF2-40B4-BE49-F238E27FC236}">
              <a16:creationId xmlns:a16="http://schemas.microsoft.com/office/drawing/2014/main" id="{00000000-0008-0000-0400-00002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a:extLst>
            <a:ext uri="{FF2B5EF4-FFF2-40B4-BE49-F238E27FC236}">
              <a16:creationId xmlns:a16="http://schemas.microsoft.com/office/drawing/2014/main" id="{00000000-0008-0000-0400-00002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a:extLst>
            <a:ext uri="{FF2B5EF4-FFF2-40B4-BE49-F238E27FC236}">
              <a16:creationId xmlns:a16="http://schemas.microsoft.com/office/drawing/2014/main" id="{00000000-0008-0000-0400-00002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a:extLst>
            <a:ext uri="{FF2B5EF4-FFF2-40B4-BE49-F238E27FC236}">
              <a16:creationId xmlns:a16="http://schemas.microsoft.com/office/drawing/2014/main" id="{00000000-0008-0000-0400-00002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a:extLst>
            <a:ext uri="{FF2B5EF4-FFF2-40B4-BE49-F238E27FC236}">
              <a16:creationId xmlns:a16="http://schemas.microsoft.com/office/drawing/2014/main" id="{00000000-0008-0000-0400-00002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a:extLst>
            <a:ext uri="{FF2B5EF4-FFF2-40B4-BE49-F238E27FC236}">
              <a16:creationId xmlns:a16="http://schemas.microsoft.com/office/drawing/2014/main" id="{00000000-0008-0000-0400-00003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a:extLst>
            <a:ext uri="{FF2B5EF4-FFF2-40B4-BE49-F238E27FC236}">
              <a16:creationId xmlns:a16="http://schemas.microsoft.com/office/drawing/2014/main" id="{00000000-0008-0000-0400-00003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a:extLst>
            <a:ext uri="{FF2B5EF4-FFF2-40B4-BE49-F238E27FC236}">
              <a16:creationId xmlns:a16="http://schemas.microsoft.com/office/drawing/2014/main" id="{00000000-0008-0000-0400-00003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a:extLst>
            <a:ext uri="{FF2B5EF4-FFF2-40B4-BE49-F238E27FC236}">
              <a16:creationId xmlns:a16="http://schemas.microsoft.com/office/drawing/2014/main" id="{00000000-0008-0000-0400-00003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a:extLst>
            <a:ext uri="{FF2B5EF4-FFF2-40B4-BE49-F238E27FC236}">
              <a16:creationId xmlns:a16="http://schemas.microsoft.com/office/drawing/2014/main" id="{00000000-0008-0000-0400-00003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a:extLst>
            <a:ext uri="{FF2B5EF4-FFF2-40B4-BE49-F238E27FC236}">
              <a16:creationId xmlns:a16="http://schemas.microsoft.com/office/drawing/2014/main" id="{00000000-0008-0000-0400-00003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a:extLst>
            <a:ext uri="{FF2B5EF4-FFF2-40B4-BE49-F238E27FC236}">
              <a16:creationId xmlns:a16="http://schemas.microsoft.com/office/drawing/2014/main" id="{00000000-0008-0000-0400-00003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a:extLst>
            <a:ext uri="{FF2B5EF4-FFF2-40B4-BE49-F238E27FC236}">
              <a16:creationId xmlns:a16="http://schemas.microsoft.com/office/drawing/2014/main" id="{00000000-0008-0000-0400-00003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a:extLst>
            <a:ext uri="{FF2B5EF4-FFF2-40B4-BE49-F238E27FC236}">
              <a16:creationId xmlns:a16="http://schemas.microsoft.com/office/drawing/2014/main" id="{00000000-0008-0000-0400-00003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a:extLst>
            <a:ext uri="{FF2B5EF4-FFF2-40B4-BE49-F238E27FC236}">
              <a16:creationId xmlns:a16="http://schemas.microsoft.com/office/drawing/2014/main" id="{00000000-0008-0000-0400-00003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a:extLst>
            <a:ext uri="{FF2B5EF4-FFF2-40B4-BE49-F238E27FC236}">
              <a16:creationId xmlns:a16="http://schemas.microsoft.com/office/drawing/2014/main" id="{00000000-0008-0000-0400-00003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a:extLst>
            <a:ext uri="{FF2B5EF4-FFF2-40B4-BE49-F238E27FC236}">
              <a16:creationId xmlns:a16="http://schemas.microsoft.com/office/drawing/2014/main" id="{00000000-0008-0000-0400-00003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a:extLst>
            <a:ext uri="{FF2B5EF4-FFF2-40B4-BE49-F238E27FC236}">
              <a16:creationId xmlns:a16="http://schemas.microsoft.com/office/drawing/2014/main" id="{00000000-0008-0000-0400-00003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a:extLst>
            <a:ext uri="{FF2B5EF4-FFF2-40B4-BE49-F238E27FC236}">
              <a16:creationId xmlns:a16="http://schemas.microsoft.com/office/drawing/2014/main" id="{00000000-0008-0000-0400-00003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a:extLst>
            <a:ext uri="{FF2B5EF4-FFF2-40B4-BE49-F238E27FC236}">
              <a16:creationId xmlns:a16="http://schemas.microsoft.com/office/drawing/2014/main" id="{00000000-0008-0000-0400-00003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a:extLst>
            <a:ext uri="{FF2B5EF4-FFF2-40B4-BE49-F238E27FC236}">
              <a16:creationId xmlns:a16="http://schemas.microsoft.com/office/drawing/2014/main" id="{00000000-0008-0000-0400-00003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a:extLst>
            <a:ext uri="{FF2B5EF4-FFF2-40B4-BE49-F238E27FC236}">
              <a16:creationId xmlns:a16="http://schemas.microsoft.com/office/drawing/2014/main" id="{00000000-0008-0000-0400-00004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a:extLst>
            <a:ext uri="{FF2B5EF4-FFF2-40B4-BE49-F238E27FC236}">
              <a16:creationId xmlns:a16="http://schemas.microsoft.com/office/drawing/2014/main" id="{00000000-0008-0000-0400-00004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a:extLst>
            <a:ext uri="{FF2B5EF4-FFF2-40B4-BE49-F238E27FC236}">
              <a16:creationId xmlns:a16="http://schemas.microsoft.com/office/drawing/2014/main" id="{00000000-0008-0000-0400-00004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a:extLst>
            <a:ext uri="{FF2B5EF4-FFF2-40B4-BE49-F238E27FC236}">
              <a16:creationId xmlns:a16="http://schemas.microsoft.com/office/drawing/2014/main" id="{00000000-0008-0000-0400-00004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a:extLst>
            <a:ext uri="{FF2B5EF4-FFF2-40B4-BE49-F238E27FC236}">
              <a16:creationId xmlns:a16="http://schemas.microsoft.com/office/drawing/2014/main" id="{00000000-0008-0000-0400-00004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a:extLst>
            <a:ext uri="{FF2B5EF4-FFF2-40B4-BE49-F238E27FC236}">
              <a16:creationId xmlns:a16="http://schemas.microsoft.com/office/drawing/2014/main" id="{00000000-0008-0000-0400-00004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a:extLst>
            <a:ext uri="{FF2B5EF4-FFF2-40B4-BE49-F238E27FC236}">
              <a16:creationId xmlns:a16="http://schemas.microsoft.com/office/drawing/2014/main" id="{00000000-0008-0000-0400-00004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a:extLst>
            <a:ext uri="{FF2B5EF4-FFF2-40B4-BE49-F238E27FC236}">
              <a16:creationId xmlns:a16="http://schemas.microsoft.com/office/drawing/2014/main" id="{00000000-0008-0000-0400-00004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a:extLst>
            <a:ext uri="{FF2B5EF4-FFF2-40B4-BE49-F238E27FC236}">
              <a16:creationId xmlns:a16="http://schemas.microsoft.com/office/drawing/2014/main" id="{00000000-0008-0000-0400-00004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a:extLst>
            <a:ext uri="{FF2B5EF4-FFF2-40B4-BE49-F238E27FC236}">
              <a16:creationId xmlns:a16="http://schemas.microsoft.com/office/drawing/2014/main" id="{00000000-0008-0000-0400-00004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a:extLst>
            <a:ext uri="{FF2B5EF4-FFF2-40B4-BE49-F238E27FC236}">
              <a16:creationId xmlns:a16="http://schemas.microsoft.com/office/drawing/2014/main" id="{00000000-0008-0000-0400-00004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a:extLst>
            <a:ext uri="{FF2B5EF4-FFF2-40B4-BE49-F238E27FC236}">
              <a16:creationId xmlns:a16="http://schemas.microsoft.com/office/drawing/2014/main" id="{00000000-0008-0000-0400-00004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a:extLst>
            <a:ext uri="{FF2B5EF4-FFF2-40B4-BE49-F238E27FC236}">
              <a16:creationId xmlns:a16="http://schemas.microsoft.com/office/drawing/2014/main" id="{00000000-0008-0000-0400-00004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a:extLst>
            <a:ext uri="{FF2B5EF4-FFF2-40B4-BE49-F238E27FC236}">
              <a16:creationId xmlns:a16="http://schemas.microsoft.com/office/drawing/2014/main" id="{00000000-0008-0000-0400-00004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a:extLst>
            <a:ext uri="{FF2B5EF4-FFF2-40B4-BE49-F238E27FC236}">
              <a16:creationId xmlns:a16="http://schemas.microsoft.com/office/drawing/2014/main" id="{00000000-0008-0000-0400-00004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a:extLst>
            <a:ext uri="{FF2B5EF4-FFF2-40B4-BE49-F238E27FC236}">
              <a16:creationId xmlns:a16="http://schemas.microsoft.com/office/drawing/2014/main" id="{00000000-0008-0000-0400-00004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a:extLst>
            <a:ext uri="{FF2B5EF4-FFF2-40B4-BE49-F238E27FC236}">
              <a16:creationId xmlns:a16="http://schemas.microsoft.com/office/drawing/2014/main" id="{00000000-0008-0000-0400-00005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a:extLst>
            <a:ext uri="{FF2B5EF4-FFF2-40B4-BE49-F238E27FC236}">
              <a16:creationId xmlns:a16="http://schemas.microsoft.com/office/drawing/2014/main" id="{00000000-0008-0000-0400-00005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a:extLst>
            <a:ext uri="{FF2B5EF4-FFF2-40B4-BE49-F238E27FC236}">
              <a16:creationId xmlns:a16="http://schemas.microsoft.com/office/drawing/2014/main" id="{00000000-0008-0000-0400-00005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a:extLst>
            <a:ext uri="{FF2B5EF4-FFF2-40B4-BE49-F238E27FC236}">
              <a16:creationId xmlns:a16="http://schemas.microsoft.com/office/drawing/2014/main" id="{00000000-0008-0000-0400-00005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a:extLst>
            <a:ext uri="{FF2B5EF4-FFF2-40B4-BE49-F238E27FC236}">
              <a16:creationId xmlns:a16="http://schemas.microsoft.com/office/drawing/2014/main" id="{00000000-0008-0000-0400-00005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a:extLst>
            <a:ext uri="{FF2B5EF4-FFF2-40B4-BE49-F238E27FC236}">
              <a16:creationId xmlns:a16="http://schemas.microsoft.com/office/drawing/2014/main" id="{00000000-0008-0000-0400-00005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a:extLst>
            <a:ext uri="{FF2B5EF4-FFF2-40B4-BE49-F238E27FC236}">
              <a16:creationId xmlns:a16="http://schemas.microsoft.com/office/drawing/2014/main" id="{00000000-0008-0000-0400-00005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a:extLst>
            <a:ext uri="{FF2B5EF4-FFF2-40B4-BE49-F238E27FC236}">
              <a16:creationId xmlns:a16="http://schemas.microsoft.com/office/drawing/2014/main" id="{00000000-0008-0000-0400-00005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a:extLst>
            <a:ext uri="{FF2B5EF4-FFF2-40B4-BE49-F238E27FC236}">
              <a16:creationId xmlns:a16="http://schemas.microsoft.com/office/drawing/2014/main" id="{00000000-0008-0000-0400-00005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a:extLst>
            <a:ext uri="{FF2B5EF4-FFF2-40B4-BE49-F238E27FC236}">
              <a16:creationId xmlns:a16="http://schemas.microsoft.com/office/drawing/2014/main" id="{00000000-0008-0000-0400-00005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a:extLst>
            <a:ext uri="{FF2B5EF4-FFF2-40B4-BE49-F238E27FC236}">
              <a16:creationId xmlns:a16="http://schemas.microsoft.com/office/drawing/2014/main" id="{00000000-0008-0000-0400-00005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a:extLst>
            <a:ext uri="{FF2B5EF4-FFF2-40B4-BE49-F238E27FC236}">
              <a16:creationId xmlns:a16="http://schemas.microsoft.com/office/drawing/2014/main" id="{00000000-0008-0000-0400-00005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a:extLst>
            <a:ext uri="{FF2B5EF4-FFF2-40B4-BE49-F238E27FC236}">
              <a16:creationId xmlns:a16="http://schemas.microsoft.com/office/drawing/2014/main" id="{00000000-0008-0000-0400-00005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a:extLst>
            <a:ext uri="{FF2B5EF4-FFF2-40B4-BE49-F238E27FC236}">
              <a16:creationId xmlns:a16="http://schemas.microsoft.com/office/drawing/2014/main" id="{00000000-0008-0000-0400-00005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a:extLst>
            <a:ext uri="{FF2B5EF4-FFF2-40B4-BE49-F238E27FC236}">
              <a16:creationId xmlns:a16="http://schemas.microsoft.com/office/drawing/2014/main" id="{00000000-0008-0000-0400-00005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a:extLst>
            <a:ext uri="{FF2B5EF4-FFF2-40B4-BE49-F238E27FC236}">
              <a16:creationId xmlns:a16="http://schemas.microsoft.com/office/drawing/2014/main" id="{00000000-0008-0000-0400-00005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a:extLst>
            <a:ext uri="{FF2B5EF4-FFF2-40B4-BE49-F238E27FC236}">
              <a16:creationId xmlns:a16="http://schemas.microsoft.com/office/drawing/2014/main" id="{00000000-0008-0000-0400-00006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a:extLst>
            <a:ext uri="{FF2B5EF4-FFF2-40B4-BE49-F238E27FC236}">
              <a16:creationId xmlns:a16="http://schemas.microsoft.com/office/drawing/2014/main" id="{00000000-0008-0000-0400-00006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a:extLst>
            <a:ext uri="{FF2B5EF4-FFF2-40B4-BE49-F238E27FC236}">
              <a16:creationId xmlns:a16="http://schemas.microsoft.com/office/drawing/2014/main" id="{00000000-0008-0000-0400-00006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a:extLst>
            <a:ext uri="{FF2B5EF4-FFF2-40B4-BE49-F238E27FC236}">
              <a16:creationId xmlns:a16="http://schemas.microsoft.com/office/drawing/2014/main" id="{00000000-0008-0000-0400-00006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a:extLst>
            <a:ext uri="{FF2B5EF4-FFF2-40B4-BE49-F238E27FC236}">
              <a16:creationId xmlns:a16="http://schemas.microsoft.com/office/drawing/2014/main" id="{00000000-0008-0000-0400-00006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a:extLst>
            <a:ext uri="{FF2B5EF4-FFF2-40B4-BE49-F238E27FC236}">
              <a16:creationId xmlns:a16="http://schemas.microsoft.com/office/drawing/2014/main" id="{00000000-0008-0000-0400-00006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a:extLst>
            <a:ext uri="{FF2B5EF4-FFF2-40B4-BE49-F238E27FC236}">
              <a16:creationId xmlns:a16="http://schemas.microsoft.com/office/drawing/2014/main" id="{00000000-0008-0000-0400-00006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a:extLst>
            <a:ext uri="{FF2B5EF4-FFF2-40B4-BE49-F238E27FC236}">
              <a16:creationId xmlns:a16="http://schemas.microsoft.com/office/drawing/2014/main" id="{00000000-0008-0000-0400-00006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a:extLst>
            <a:ext uri="{FF2B5EF4-FFF2-40B4-BE49-F238E27FC236}">
              <a16:creationId xmlns:a16="http://schemas.microsoft.com/office/drawing/2014/main" id="{00000000-0008-0000-0400-00006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a:extLst>
            <a:ext uri="{FF2B5EF4-FFF2-40B4-BE49-F238E27FC236}">
              <a16:creationId xmlns:a16="http://schemas.microsoft.com/office/drawing/2014/main" id="{00000000-0008-0000-0400-00006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a:extLst>
            <a:ext uri="{FF2B5EF4-FFF2-40B4-BE49-F238E27FC236}">
              <a16:creationId xmlns:a16="http://schemas.microsoft.com/office/drawing/2014/main" id="{00000000-0008-0000-0400-00006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a:extLst>
            <a:ext uri="{FF2B5EF4-FFF2-40B4-BE49-F238E27FC236}">
              <a16:creationId xmlns:a16="http://schemas.microsoft.com/office/drawing/2014/main" id="{00000000-0008-0000-0400-00006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a:extLst>
            <a:ext uri="{FF2B5EF4-FFF2-40B4-BE49-F238E27FC236}">
              <a16:creationId xmlns:a16="http://schemas.microsoft.com/office/drawing/2014/main" id="{00000000-0008-0000-0400-00006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a:extLst>
            <a:ext uri="{FF2B5EF4-FFF2-40B4-BE49-F238E27FC236}">
              <a16:creationId xmlns:a16="http://schemas.microsoft.com/office/drawing/2014/main" id="{00000000-0008-0000-0400-00006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a:extLst>
            <a:ext uri="{FF2B5EF4-FFF2-40B4-BE49-F238E27FC236}">
              <a16:creationId xmlns:a16="http://schemas.microsoft.com/office/drawing/2014/main" id="{00000000-0008-0000-0400-00006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a:extLst>
            <a:ext uri="{FF2B5EF4-FFF2-40B4-BE49-F238E27FC236}">
              <a16:creationId xmlns:a16="http://schemas.microsoft.com/office/drawing/2014/main" id="{00000000-0008-0000-0400-00006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a:extLst>
            <a:ext uri="{FF2B5EF4-FFF2-40B4-BE49-F238E27FC236}">
              <a16:creationId xmlns:a16="http://schemas.microsoft.com/office/drawing/2014/main" id="{00000000-0008-0000-0400-00007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a:extLst>
            <a:ext uri="{FF2B5EF4-FFF2-40B4-BE49-F238E27FC236}">
              <a16:creationId xmlns:a16="http://schemas.microsoft.com/office/drawing/2014/main" id="{00000000-0008-0000-0400-00007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a:extLst>
            <a:ext uri="{FF2B5EF4-FFF2-40B4-BE49-F238E27FC236}">
              <a16:creationId xmlns:a16="http://schemas.microsoft.com/office/drawing/2014/main" id="{00000000-0008-0000-0400-00007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a:extLst>
            <a:ext uri="{FF2B5EF4-FFF2-40B4-BE49-F238E27FC236}">
              <a16:creationId xmlns:a16="http://schemas.microsoft.com/office/drawing/2014/main" id="{00000000-0008-0000-0400-00007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a:extLst>
            <a:ext uri="{FF2B5EF4-FFF2-40B4-BE49-F238E27FC236}">
              <a16:creationId xmlns:a16="http://schemas.microsoft.com/office/drawing/2014/main" id="{00000000-0008-0000-0400-00007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a:extLst>
            <a:ext uri="{FF2B5EF4-FFF2-40B4-BE49-F238E27FC236}">
              <a16:creationId xmlns:a16="http://schemas.microsoft.com/office/drawing/2014/main" id="{00000000-0008-0000-0400-00007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a:extLst>
            <a:ext uri="{FF2B5EF4-FFF2-40B4-BE49-F238E27FC236}">
              <a16:creationId xmlns:a16="http://schemas.microsoft.com/office/drawing/2014/main" id="{00000000-0008-0000-0400-00007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a:extLst>
            <a:ext uri="{FF2B5EF4-FFF2-40B4-BE49-F238E27FC236}">
              <a16:creationId xmlns:a16="http://schemas.microsoft.com/office/drawing/2014/main" id="{00000000-0008-0000-0400-00007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a:extLst>
            <a:ext uri="{FF2B5EF4-FFF2-40B4-BE49-F238E27FC236}">
              <a16:creationId xmlns:a16="http://schemas.microsoft.com/office/drawing/2014/main" id="{00000000-0008-0000-0400-00007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a:extLst>
            <a:ext uri="{FF2B5EF4-FFF2-40B4-BE49-F238E27FC236}">
              <a16:creationId xmlns:a16="http://schemas.microsoft.com/office/drawing/2014/main" id="{00000000-0008-0000-0400-00007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a:extLst>
            <a:ext uri="{FF2B5EF4-FFF2-40B4-BE49-F238E27FC236}">
              <a16:creationId xmlns:a16="http://schemas.microsoft.com/office/drawing/2014/main" id="{00000000-0008-0000-0400-00007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a:extLst>
            <a:ext uri="{FF2B5EF4-FFF2-40B4-BE49-F238E27FC236}">
              <a16:creationId xmlns:a16="http://schemas.microsoft.com/office/drawing/2014/main" id="{00000000-0008-0000-0400-00007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a:extLst>
            <a:ext uri="{FF2B5EF4-FFF2-40B4-BE49-F238E27FC236}">
              <a16:creationId xmlns:a16="http://schemas.microsoft.com/office/drawing/2014/main" id="{00000000-0008-0000-0400-00007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a:extLst>
            <a:ext uri="{FF2B5EF4-FFF2-40B4-BE49-F238E27FC236}">
              <a16:creationId xmlns:a16="http://schemas.microsoft.com/office/drawing/2014/main" id="{00000000-0008-0000-0400-00007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a:extLst>
            <a:ext uri="{FF2B5EF4-FFF2-40B4-BE49-F238E27FC236}">
              <a16:creationId xmlns:a16="http://schemas.microsoft.com/office/drawing/2014/main" id="{00000000-0008-0000-0400-00007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a:extLst>
            <a:ext uri="{FF2B5EF4-FFF2-40B4-BE49-F238E27FC236}">
              <a16:creationId xmlns:a16="http://schemas.microsoft.com/office/drawing/2014/main" id="{00000000-0008-0000-0400-00007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a:extLst>
            <a:ext uri="{FF2B5EF4-FFF2-40B4-BE49-F238E27FC236}">
              <a16:creationId xmlns:a16="http://schemas.microsoft.com/office/drawing/2014/main" id="{00000000-0008-0000-0400-00008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a:extLst>
            <a:ext uri="{FF2B5EF4-FFF2-40B4-BE49-F238E27FC236}">
              <a16:creationId xmlns:a16="http://schemas.microsoft.com/office/drawing/2014/main" id="{00000000-0008-0000-0400-00008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a:extLst>
            <a:ext uri="{FF2B5EF4-FFF2-40B4-BE49-F238E27FC236}">
              <a16:creationId xmlns:a16="http://schemas.microsoft.com/office/drawing/2014/main" id="{00000000-0008-0000-0400-00008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a:extLst>
            <a:ext uri="{FF2B5EF4-FFF2-40B4-BE49-F238E27FC236}">
              <a16:creationId xmlns:a16="http://schemas.microsoft.com/office/drawing/2014/main" id="{00000000-0008-0000-0400-00008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a:extLst>
            <a:ext uri="{FF2B5EF4-FFF2-40B4-BE49-F238E27FC236}">
              <a16:creationId xmlns:a16="http://schemas.microsoft.com/office/drawing/2014/main" id="{00000000-0008-0000-0400-00008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a:extLst>
            <a:ext uri="{FF2B5EF4-FFF2-40B4-BE49-F238E27FC236}">
              <a16:creationId xmlns:a16="http://schemas.microsoft.com/office/drawing/2014/main" id="{00000000-0008-0000-0400-00008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a:extLst>
            <a:ext uri="{FF2B5EF4-FFF2-40B4-BE49-F238E27FC236}">
              <a16:creationId xmlns:a16="http://schemas.microsoft.com/office/drawing/2014/main" id="{00000000-0008-0000-0400-00008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a:extLst>
            <a:ext uri="{FF2B5EF4-FFF2-40B4-BE49-F238E27FC236}">
              <a16:creationId xmlns:a16="http://schemas.microsoft.com/office/drawing/2014/main" id="{00000000-0008-0000-0400-00008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a:extLst>
            <a:ext uri="{FF2B5EF4-FFF2-40B4-BE49-F238E27FC236}">
              <a16:creationId xmlns:a16="http://schemas.microsoft.com/office/drawing/2014/main" id="{00000000-0008-0000-0400-00008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a:extLst>
            <a:ext uri="{FF2B5EF4-FFF2-40B4-BE49-F238E27FC236}">
              <a16:creationId xmlns:a16="http://schemas.microsoft.com/office/drawing/2014/main" id="{00000000-0008-0000-0400-00008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a:extLst>
            <a:ext uri="{FF2B5EF4-FFF2-40B4-BE49-F238E27FC236}">
              <a16:creationId xmlns:a16="http://schemas.microsoft.com/office/drawing/2014/main" id="{00000000-0008-0000-0400-00008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a:extLst>
            <a:ext uri="{FF2B5EF4-FFF2-40B4-BE49-F238E27FC236}">
              <a16:creationId xmlns:a16="http://schemas.microsoft.com/office/drawing/2014/main" id="{00000000-0008-0000-0400-00008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a:extLst>
            <a:ext uri="{FF2B5EF4-FFF2-40B4-BE49-F238E27FC236}">
              <a16:creationId xmlns:a16="http://schemas.microsoft.com/office/drawing/2014/main" id="{00000000-0008-0000-0400-00008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a:extLst>
            <a:ext uri="{FF2B5EF4-FFF2-40B4-BE49-F238E27FC236}">
              <a16:creationId xmlns:a16="http://schemas.microsoft.com/office/drawing/2014/main" id="{00000000-0008-0000-0400-00008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a:extLst>
            <a:ext uri="{FF2B5EF4-FFF2-40B4-BE49-F238E27FC236}">
              <a16:creationId xmlns:a16="http://schemas.microsoft.com/office/drawing/2014/main" id="{00000000-0008-0000-0400-00008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a:extLst>
            <a:ext uri="{FF2B5EF4-FFF2-40B4-BE49-F238E27FC236}">
              <a16:creationId xmlns:a16="http://schemas.microsoft.com/office/drawing/2014/main" id="{00000000-0008-0000-0400-00008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a:extLst>
            <a:ext uri="{FF2B5EF4-FFF2-40B4-BE49-F238E27FC236}">
              <a16:creationId xmlns:a16="http://schemas.microsoft.com/office/drawing/2014/main" id="{00000000-0008-0000-0400-00009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a:extLst>
            <a:ext uri="{FF2B5EF4-FFF2-40B4-BE49-F238E27FC236}">
              <a16:creationId xmlns:a16="http://schemas.microsoft.com/office/drawing/2014/main" id="{00000000-0008-0000-0400-00009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a:extLst>
            <a:ext uri="{FF2B5EF4-FFF2-40B4-BE49-F238E27FC236}">
              <a16:creationId xmlns:a16="http://schemas.microsoft.com/office/drawing/2014/main" id="{00000000-0008-0000-0400-00009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a:extLst>
            <a:ext uri="{FF2B5EF4-FFF2-40B4-BE49-F238E27FC236}">
              <a16:creationId xmlns:a16="http://schemas.microsoft.com/office/drawing/2014/main" id="{00000000-0008-0000-0400-00009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a:extLst>
            <a:ext uri="{FF2B5EF4-FFF2-40B4-BE49-F238E27FC236}">
              <a16:creationId xmlns:a16="http://schemas.microsoft.com/office/drawing/2014/main" id="{00000000-0008-0000-0400-00009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a:extLst>
            <a:ext uri="{FF2B5EF4-FFF2-40B4-BE49-F238E27FC236}">
              <a16:creationId xmlns:a16="http://schemas.microsoft.com/office/drawing/2014/main" id="{00000000-0008-0000-0400-00009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a:extLst>
            <a:ext uri="{FF2B5EF4-FFF2-40B4-BE49-F238E27FC236}">
              <a16:creationId xmlns:a16="http://schemas.microsoft.com/office/drawing/2014/main" id="{00000000-0008-0000-0400-00009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a:extLst>
            <a:ext uri="{FF2B5EF4-FFF2-40B4-BE49-F238E27FC236}">
              <a16:creationId xmlns:a16="http://schemas.microsoft.com/office/drawing/2014/main" id="{00000000-0008-0000-0400-00009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a:extLst>
            <a:ext uri="{FF2B5EF4-FFF2-40B4-BE49-F238E27FC236}">
              <a16:creationId xmlns:a16="http://schemas.microsoft.com/office/drawing/2014/main" id="{00000000-0008-0000-0400-00009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a:extLst>
            <a:ext uri="{FF2B5EF4-FFF2-40B4-BE49-F238E27FC236}">
              <a16:creationId xmlns:a16="http://schemas.microsoft.com/office/drawing/2014/main" id="{00000000-0008-0000-0400-00009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a:extLst>
            <a:ext uri="{FF2B5EF4-FFF2-40B4-BE49-F238E27FC236}">
              <a16:creationId xmlns:a16="http://schemas.microsoft.com/office/drawing/2014/main" id="{00000000-0008-0000-0400-00009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a:extLst>
            <a:ext uri="{FF2B5EF4-FFF2-40B4-BE49-F238E27FC236}">
              <a16:creationId xmlns:a16="http://schemas.microsoft.com/office/drawing/2014/main" id="{00000000-0008-0000-0400-00009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a:extLst>
            <a:ext uri="{FF2B5EF4-FFF2-40B4-BE49-F238E27FC236}">
              <a16:creationId xmlns:a16="http://schemas.microsoft.com/office/drawing/2014/main" id="{00000000-0008-0000-0400-00009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a:extLst>
            <a:ext uri="{FF2B5EF4-FFF2-40B4-BE49-F238E27FC236}">
              <a16:creationId xmlns:a16="http://schemas.microsoft.com/office/drawing/2014/main" id="{00000000-0008-0000-0400-00009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a:extLst>
            <a:ext uri="{FF2B5EF4-FFF2-40B4-BE49-F238E27FC236}">
              <a16:creationId xmlns:a16="http://schemas.microsoft.com/office/drawing/2014/main" id="{00000000-0008-0000-0400-00009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a:extLst>
            <a:ext uri="{FF2B5EF4-FFF2-40B4-BE49-F238E27FC236}">
              <a16:creationId xmlns:a16="http://schemas.microsoft.com/office/drawing/2014/main" id="{00000000-0008-0000-0400-00009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a:extLst>
            <a:ext uri="{FF2B5EF4-FFF2-40B4-BE49-F238E27FC236}">
              <a16:creationId xmlns:a16="http://schemas.microsoft.com/office/drawing/2014/main" id="{00000000-0008-0000-0400-0000A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a:extLst>
            <a:ext uri="{FF2B5EF4-FFF2-40B4-BE49-F238E27FC236}">
              <a16:creationId xmlns:a16="http://schemas.microsoft.com/office/drawing/2014/main" id="{00000000-0008-0000-0400-0000A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a:extLst>
            <a:ext uri="{FF2B5EF4-FFF2-40B4-BE49-F238E27FC236}">
              <a16:creationId xmlns:a16="http://schemas.microsoft.com/office/drawing/2014/main" id="{00000000-0008-0000-0400-0000A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a:extLst>
            <a:ext uri="{FF2B5EF4-FFF2-40B4-BE49-F238E27FC236}">
              <a16:creationId xmlns:a16="http://schemas.microsoft.com/office/drawing/2014/main" id="{00000000-0008-0000-0400-0000A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a:extLst>
            <a:ext uri="{FF2B5EF4-FFF2-40B4-BE49-F238E27FC236}">
              <a16:creationId xmlns:a16="http://schemas.microsoft.com/office/drawing/2014/main" id="{00000000-0008-0000-0400-0000A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a:extLst>
            <a:ext uri="{FF2B5EF4-FFF2-40B4-BE49-F238E27FC236}">
              <a16:creationId xmlns:a16="http://schemas.microsoft.com/office/drawing/2014/main" id="{00000000-0008-0000-0400-0000A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a:extLst>
            <a:ext uri="{FF2B5EF4-FFF2-40B4-BE49-F238E27FC236}">
              <a16:creationId xmlns:a16="http://schemas.microsoft.com/office/drawing/2014/main" id="{00000000-0008-0000-0400-0000A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a:extLst>
            <a:ext uri="{FF2B5EF4-FFF2-40B4-BE49-F238E27FC236}">
              <a16:creationId xmlns:a16="http://schemas.microsoft.com/office/drawing/2014/main" id="{00000000-0008-0000-0400-0000A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a:extLst>
            <a:ext uri="{FF2B5EF4-FFF2-40B4-BE49-F238E27FC236}">
              <a16:creationId xmlns:a16="http://schemas.microsoft.com/office/drawing/2014/main" id="{00000000-0008-0000-0400-0000A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a:extLst>
            <a:ext uri="{FF2B5EF4-FFF2-40B4-BE49-F238E27FC236}">
              <a16:creationId xmlns:a16="http://schemas.microsoft.com/office/drawing/2014/main" id="{00000000-0008-0000-0400-0000A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a:extLst>
            <a:ext uri="{FF2B5EF4-FFF2-40B4-BE49-F238E27FC236}">
              <a16:creationId xmlns:a16="http://schemas.microsoft.com/office/drawing/2014/main" id="{00000000-0008-0000-0400-0000A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a:extLst>
            <a:ext uri="{FF2B5EF4-FFF2-40B4-BE49-F238E27FC236}">
              <a16:creationId xmlns:a16="http://schemas.microsoft.com/office/drawing/2014/main" id="{00000000-0008-0000-0400-0000A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a:extLst>
            <a:ext uri="{FF2B5EF4-FFF2-40B4-BE49-F238E27FC236}">
              <a16:creationId xmlns:a16="http://schemas.microsoft.com/office/drawing/2014/main" id="{00000000-0008-0000-0400-0000A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a:extLst>
            <a:ext uri="{FF2B5EF4-FFF2-40B4-BE49-F238E27FC236}">
              <a16:creationId xmlns:a16="http://schemas.microsoft.com/office/drawing/2014/main" id="{00000000-0008-0000-0400-0000A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a:extLst>
            <a:ext uri="{FF2B5EF4-FFF2-40B4-BE49-F238E27FC236}">
              <a16:creationId xmlns:a16="http://schemas.microsoft.com/office/drawing/2014/main" id="{00000000-0008-0000-0400-0000A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a:extLst>
            <a:ext uri="{FF2B5EF4-FFF2-40B4-BE49-F238E27FC236}">
              <a16:creationId xmlns:a16="http://schemas.microsoft.com/office/drawing/2014/main" id="{00000000-0008-0000-0400-0000A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a:extLst>
            <a:ext uri="{FF2B5EF4-FFF2-40B4-BE49-F238E27FC236}">
              <a16:creationId xmlns:a16="http://schemas.microsoft.com/office/drawing/2014/main" id="{00000000-0008-0000-0400-0000B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a:extLst>
            <a:ext uri="{FF2B5EF4-FFF2-40B4-BE49-F238E27FC236}">
              <a16:creationId xmlns:a16="http://schemas.microsoft.com/office/drawing/2014/main" id="{00000000-0008-0000-0400-0000B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a:extLst>
            <a:ext uri="{FF2B5EF4-FFF2-40B4-BE49-F238E27FC236}">
              <a16:creationId xmlns:a16="http://schemas.microsoft.com/office/drawing/2014/main" id="{00000000-0008-0000-0400-0000B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a:extLst>
            <a:ext uri="{FF2B5EF4-FFF2-40B4-BE49-F238E27FC236}">
              <a16:creationId xmlns:a16="http://schemas.microsoft.com/office/drawing/2014/main" id="{00000000-0008-0000-0400-0000B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a:extLst>
            <a:ext uri="{FF2B5EF4-FFF2-40B4-BE49-F238E27FC236}">
              <a16:creationId xmlns:a16="http://schemas.microsoft.com/office/drawing/2014/main" id="{00000000-0008-0000-0400-0000B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a:extLst>
            <a:ext uri="{FF2B5EF4-FFF2-40B4-BE49-F238E27FC236}">
              <a16:creationId xmlns:a16="http://schemas.microsoft.com/office/drawing/2014/main" id="{00000000-0008-0000-0400-0000B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a:extLst>
            <a:ext uri="{FF2B5EF4-FFF2-40B4-BE49-F238E27FC236}">
              <a16:creationId xmlns:a16="http://schemas.microsoft.com/office/drawing/2014/main" id="{00000000-0008-0000-0400-0000B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a:extLst>
            <a:ext uri="{FF2B5EF4-FFF2-40B4-BE49-F238E27FC236}">
              <a16:creationId xmlns:a16="http://schemas.microsoft.com/office/drawing/2014/main" id="{00000000-0008-0000-0400-0000B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a:extLst>
            <a:ext uri="{FF2B5EF4-FFF2-40B4-BE49-F238E27FC236}">
              <a16:creationId xmlns:a16="http://schemas.microsoft.com/office/drawing/2014/main" id="{00000000-0008-0000-0400-0000B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a:extLst>
            <a:ext uri="{FF2B5EF4-FFF2-40B4-BE49-F238E27FC236}">
              <a16:creationId xmlns:a16="http://schemas.microsoft.com/office/drawing/2014/main" id="{00000000-0008-0000-0400-0000B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a:extLst>
            <a:ext uri="{FF2B5EF4-FFF2-40B4-BE49-F238E27FC236}">
              <a16:creationId xmlns:a16="http://schemas.microsoft.com/office/drawing/2014/main" id="{00000000-0008-0000-0400-0000B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a:extLst>
            <a:ext uri="{FF2B5EF4-FFF2-40B4-BE49-F238E27FC236}">
              <a16:creationId xmlns:a16="http://schemas.microsoft.com/office/drawing/2014/main" id="{00000000-0008-0000-0400-0000B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a:extLst>
            <a:ext uri="{FF2B5EF4-FFF2-40B4-BE49-F238E27FC236}">
              <a16:creationId xmlns:a16="http://schemas.microsoft.com/office/drawing/2014/main" id="{00000000-0008-0000-0400-0000B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a:extLst>
            <a:ext uri="{FF2B5EF4-FFF2-40B4-BE49-F238E27FC236}">
              <a16:creationId xmlns:a16="http://schemas.microsoft.com/office/drawing/2014/main" id="{00000000-0008-0000-0400-0000B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a:extLst>
            <a:ext uri="{FF2B5EF4-FFF2-40B4-BE49-F238E27FC236}">
              <a16:creationId xmlns:a16="http://schemas.microsoft.com/office/drawing/2014/main" id="{00000000-0008-0000-0400-0000B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a:extLst>
            <a:ext uri="{FF2B5EF4-FFF2-40B4-BE49-F238E27FC236}">
              <a16:creationId xmlns:a16="http://schemas.microsoft.com/office/drawing/2014/main" id="{00000000-0008-0000-0400-0000B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a:extLst>
            <a:ext uri="{FF2B5EF4-FFF2-40B4-BE49-F238E27FC236}">
              <a16:creationId xmlns:a16="http://schemas.microsoft.com/office/drawing/2014/main" id="{00000000-0008-0000-0400-0000C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a:extLst>
            <a:ext uri="{FF2B5EF4-FFF2-40B4-BE49-F238E27FC236}">
              <a16:creationId xmlns:a16="http://schemas.microsoft.com/office/drawing/2014/main" id="{00000000-0008-0000-0400-0000C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a:extLst>
            <a:ext uri="{FF2B5EF4-FFF2-40B4-BE49-F238E27FC236}">
              <a16:creationId xmlns:a16="http://schemas.microsoft.com/office/drawing/2014/main" id="{00000000-0008-0000-0400-0000C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a:extLst>
            <a:ext uri="{FF2B5EF4-FFF2-40B4-BE49-F238E27FC236}">
              <a16:creationId xmlns:a16="http://schemas.microsoft.com/office/drawing/2014/main" id="{00000000-0008-0000-0400-0000C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a:extLst>
            <a:ext uri="{FF2B5EF4-FFF2-40B4-BE49-F238E27FC236}">
              <a16:creationId xmlns:a16="http://schemas.microsoft.com/office/drawing/2014/main" id="{00000000-0008-0000-0400-0000C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a:extLst>
            <a:ext uri="{FF2B5EF4-FFF2-40B4-BE49-F238E27FC236}">
              <a16:creationId xmlns:a16="http://schemas.microsoft.com/office/drawing/2014/main" id="{00000000-0008-0000-0400-0000C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a:extLst>
            <a:ext uri="{FF2B5EF4-FFF2-40B4-BE49-F238E27FC236}">
              <a16:creationId xmlns:a16="http://schemas.microsoft.com/office/drawing/2014/main" id="{00000000-0008-0000-0400-0000C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a:extLst>
            <a:ext uri="{FF2B5EF4-FFF2-40B4-BE49-F238E27FC236}">
              <a16:creationId xmlns:a16="http://schemas.microsoft.com/office/drawing/2014/main" id="{00000000-0008-0000-0400-0000C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a:extLst>
            <a:ext uri="{FF2B5EF4-FFF2-40B4-BE49-F238E27FC236}">
              <a16:creationId xmlns:a16="http://schemas.microsoft.com/office/drawing/2014/main" id="{00000000-0008-0000-0400-0000C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a:extLst>
            <a:ext uri="{FF2B5EF4-FFF2-40B4-BE49-F238E27FC236}">
              <a16:creationId xmlns:a16="http://schemas.microsoft.com/office/drawing/2014/main" id="{00000000-0008-0000-0400-0000C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a:extLst>
            <a:ext uri="{FF2B5EF4-FFF2-40B4-BE49-F238E27FC236}">
              <a16:creationId xmlns:a16="http://schemas.microsoft.com/office/drawing/2014/main" id="{00000000-0008-0000-0400-0000C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a:extLst>
            <a:ext uri="{FF2B5EF4-FFF2-40B4-BE49-F238E27FC236}">
              <a16:creationId xmlns:a16="http://schemas.microsoft.com/office/drawing/2014/main" id="{00000000-0008-0000-0400-0000C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a:extLst>
            <a:ext uri="{FF2B5EF4-FFF2-40B4-BE49-F238E27FC236}">
              <a16:creationId xmlns:a16="http://schemas.microsoft.com/office/drawing/2014/main" id="{00000000-0008-0000-04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a:extLst>
            <a:ext uri="{FF2B5EF4-FFF2-40B4-BE49-F238E27FC236}">
              <a16:creationId xmlns:a16="http://schemas.microsoft.com/office/drawing/2014/main" id="{00000000-0008-0000-0400-0000C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a:extLst>
            <a:ext uri="{FF2B5EF4-FFF2-40B4-BE49-F238E27FC236}">
              <a16:creationId xmlns:a16="http://schemas.microsoft.com/office/drawing/2014/main" id="{00000000-0008-0000-0400-0000C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a:extLst>
            <a:ext uri="{FF2B5EF4-FFF2-40B4-BE49-F238E27FC236}">
              <a16:creationId xmlns:a16="http://schemas.microsoft.com/office/drawing/2014/main" id="{00000000-0008-0000-0400-0000C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a:extLst>
            <a:ext uri="{FF2B5EF4-FFF2-40B4-BE49-F238E27FC236}">
              <a16:creationId xmlns:a16="http://schemas.microsoft.com/office/drawing/2014/main" id="{00000000-0008-0000-0400-0000D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a:extLst>
            <a:ext uri="{FF2B5EF4-FFF2-40B4-BE49-F238E27FC236}">
              <a16:creationId xmlns:a16="http://schemas.microsoft.com/office/drawing/2014/main" id="{00000000-0008-0000-0400-0000D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a:extLst>
            <a:ext uri="{FF2B5EF4-FFF2-40B4-BE49-F238E27FC236}">
              <a16:creationId xmlns:a16="http://schemas.microsoft.com/office/drawing/2014/main" id="{00000000-0008-0000-0400-0000D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a:extLst>
            <a:ext uri="{FF2B5EF4-FFF2-40B4-BE49-F238E27FC236}">
              <a16:creationId xmlns:a16="http://schemas.microsoft.com/office/drawing/2014/main" id="{00000000-0008-0000-0400-0000D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a:extLst>
            <a:ext uri="{FF2B5EF4-FFF2-40B4-BE49-F238E27FC236}">
              <a16:creationId xmlns:a16="http://schemas.microsoft.com/office/drawing/2014/main" id="{00000000-0008-0000-0400-0000D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a:extLst>
            <a:ext uri="{FF2B5EF4-FFF2-40B4-BE49-F238E27FC236}">
              <a16:creationId xmlns:a16="http://schemas.microsoft.com/office/drawing/2014/main" id="{00000000-0008-0000-0400-0000D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a:extLst>
            <a:ext uri="{FF2B5EF4-FFF2-40B4-BE49-F238E27FC236}">
              <a16:creationId xmlns:a16="http://schemas.microsoft.com/office/drawing/2014/main" id="{00000000-0008-0000-0400-0000D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a:extLst>
            <a:ext uri="{FF2B5EF4-FFF2-40B4-BE49-F238E27FC236}">
              <a16:creationId xmlns:a16="http://schemas.microsoft.com/office/drawing/2014/main" id="{00000000-0008-0000-0400-0000D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a:extLst>
            <a:ext uri="{FF2B5EF4-FFF2-40B4-BE49-F238E27FC236}">
              <a16:creationId xmlns:a16="http://schemas.microsoft.com/office/drawing/2014/main" id="{00000000-0008-0000-0400-0000D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a:extLst>
            <a:ext uri="{FF2B5EF4-FFF2-40B4-BE49-F238E27FC236}">
              <a16:creationId xmlns:a16="http://schemas.microsoft.com/office/drawing/2014/main" id="{00000000-0008-0000-0400-0000D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a:extLst>
            <a:ext uri="{FF2B5EF4-FFF2-40B4-BE49-F238E27FC236}">
              <a16:creationId xmlns:a16="http://schemas.microsoft.com/office/drawing/2014/main" id="{00000000-0008-0000-0400-0000D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a:extLst>
            <a:ext uri="{FF2B5EF4-FFF2-40B4-BE49-F238E27FC236}">
              <a16:creationId xmlns:a16="http://schemas.microsoft.com/office/drawing/2014/main" id="{00000000-0008-0000-0400-0000D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a:extLst>
            <a:ext uri="{FF2B5EF4-FFF2-40B4-BE49-F238E27FC236}">
              <a16:creationId xmlns:a16="http://schemas.microsoft.com/office/drawing/2014/main" id="{00000000-0008-0000-0400-0000D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a:extLst>
            <a:ext uri="{FF2B5EF4-FFF2-40B4-BE49-F238E27FC236}">
              <a16:creationId xmlns:a16="http://schemas.microsoft.com/office/drawing/2014/main" id="{00000000-0008-0000-0400-0000D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a:extLst>
            <a:ext uri="{FF2B5EF4-FFF2-40B4-BE49-F238E27FC236}">
              <a16:creationId xmlns:a16="http://schemas.microsoft.com/office/drawing/2014/main" id="{00000000-0008-0000-0400-0000D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a:extLst>
            <a:ext uri="{FF2B5EF4-FFF2-40B4-BE49-F238E27FC236}">
              <a16:creationId xmlns:a16="http://schemas.microsoft.com/office/drawing/2014/main" id="{00000000-0008-0000-0400-0000D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a:extLst>
            <a:ext uri="{FF2B5EF4-FFF2-40B4-BE49-F238E27FC236}">
              <a16:creationId xmlns:a16="http://schemas.microsoft.com/office/drawing/2014/main" id="{00000000-0008-0000-0400-0000E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a:extLst>
            <a:ext uri="{FF2B5EF4-FFF2-40B4-BE49-F238E27FC236}">
              <a16:creationId xmlns:a16="http://schemas.microsoft.com/office/drawing/2014/main" id="{00000000-0008-0000-0400-0000E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a:extLst>
            <a:ext uri="{FF2B5EF4-FFF2-40B4-BE49-F238E27FC236}">
              <a16:creationId xmlns:a16="http://schemas.microsoft.com/office/drawing/2014/main" id="{00000000-0008-0000-0400-0000E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a:extLst>
            <a:ext uri="{FF2B5EF4-FFF2-40B4-BE49-F238E27FC236}">
              <a16:creationId xmlns:a16="http://schemas.microsoft.com/office/drawing/2014/main" id="{00000000-0008-0000-0400-0000E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a:extLst>
            <a:ext uri="{FF2B5EF4-FFF2-40B4-BE49-F238E27FC236}">
              <a16:creationId xmlns:a16="http://schemas.microsoft.com/office/drawing/2014/main" id="{00000000-0008-0000-0400-0000E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a:extLst>
            <a:ext uri="{FF2B5EF4-FFF2-40B4-BE49-F238E27FC236}">
              <a16:creationId xmlns:a16="http://schemas.microsoft.com/office/drawing/2014/main" id="{00000000-0008-0000-0400-0000E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a:extLst>
            <a:ext uri="{FF2B5EF4-FFF2-40B4-BE49-F238E27FC236}">
              <a16:creationId xmlns:a16="http://schemas.microsoft.com/office/drawing/2014/main" id="{00000000-0008-0000-0400-0000E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a:extLst>
            <a:ext uri="{FF2B5EF4-FFF2-40B4-BE49-F238E27FC236}">
              <a16:creationId xmlns:a16="http://schemas.microsoft.com/office/drawing/2014/main" id="{00000000-0008-0000-0400-0000E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a:extLst>
            <a:ext uri="{FF2B5EF4-FFF2-40B4-BE49-F238E27FC236}">
              <a16:creationId xmlns:a16="http://schemas.microsoft.com/office/drawing/2014/main" id="{00000000-0008-0000-0400-0000E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a:extLst>
            <a:ext uri="{FF2B5EF4-FFF2-40B4-BE49-F238E27FC236}">
              <a16:creationId xmlns:a16="http://schemas.microsoft.com/office/drawing/2014/main" id="{00000000-0008-0000-0400-0000E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a:extLst>
            <a:ext uri="{FF2B5EF4-FFF2-40B4-BE49-F238E27FC236}">
              <a16:creationId xmlns:a16="http://schemas.microsoft.com/office/drawing/2014/main" id="{00000000-0008-0000-0400-0000E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a:extLst>
            <a:ext uri="{FF2B5EF4-FFF2-40B4-BE49-F238E27FC236}">
              <a16:creationId xmlns:a16="http://schemas.microsoft.com/office/drawing/2014/main" id="{00000000-0008-0000-0400-0000E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a:extLst>
            <a:ext uri="{FF2B5EF4-FFF2-40B4-BE49-F238E27FC236}">
              <a16:creationId xmlns:a16="http://schemas.microsoft.com/office/drawing/2014/main" id="{00000000-0008-0000-0400-0000E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a:extLst>
            <a:ext uri="{FF2B5EF4-FFF2-40B4-BE49-F238E27FC236}">
              <a16:creationId xmlns:a16="http://schemas.microsoft.com/office/drawing/2014/main" id="{00000000-0008-0000-0400-0000E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a:extLst>
            <a:ext uri="{FF2B5EF4-FFF2-40B4-BE49-F238E27FC236}">
              <a16:creationId xmlns:a16="http://schemas.microsoft.com/office/drawing/2014/main" id="{00000000-0008-0000-0400-0000E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a:extLst>
            <a:ext uri="{FF2B5EF4-FFF2-40B4-BE49-F238E27FC236}">
              <a16:creationId xmlns:a16="http://schemas.microsoft.com/office/drawing/2014/main" id="{00000000-0008-0000-0400-0000E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a:extLst>
            <a:ext uri="{FF2B5EF4-FFF2-40B4-BE49-F238E27FC236}">
              <a16:creationId xmlns:a16="http://schemas.microsoft.com/office/drawing/2014/main" id="{00000000-0008-0000-0400-0000F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a:extLst>
            <a:ext uri="{FF2B5EF4-FFF2-40B4-BE49-F238E27FC236}">
              <a16:creationId xmlns:a16="http://schemas.microsoft.com/office/drawing/2014/main" id="{00000000-0008-0000-0400-0000F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a:extLst>
            <a:ext uri="{FF2B5EF4-FFF2-40B4-BE49-F238E27FC236}">
              <a16:creationId xmlns:a16="http://schemas.microsoft.com/office/drawing/2014/main" id="{00000000-0008-0000-0400-0000F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a:extLst>
            <a:ext uri="{FF2B5EF4-FFF2-40B4-BE49-F238E27FC236}">
              <a16:creationId xmlns:a16="http://schemas.microsoft.com/office/drawing/2014/main" id="{00000000-0008-0000-0400-0000F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a:extLst>
            <a:ext uri="{FF2B5EF4-FFF2-40B4-BE49-F238E27FC236}">
              <a16:creationId xmlns:a16="http://schemas.microsoft.com/office/drawing/2014/main" id="{00000000-0008-0000-0400-0000F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a:extLst>
            <a:ext uri="{FF2B5EF4-FFF2-40B4-BE49-F238E27FC236}">
              <a16:creationId xmlns:a16="http://schemas.microsoft.com/office/drawing/2014/main" id="{00000000-0008-0000-0400-0000F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a:extLst>
            <a:ext uri="{FF2B5EF4-FFF2-40B4-BE49-F238E27FC236}">
              <a16:creationId xmlns:a16="http://schemas.microsoft.com/office/drawing/2014/main" id="{00000000-0008-0000-0400-0000F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a:extLst>
            <a:ext uri="{FF2B5EF4-FFF2-40B4-BE49-F238E27FC236}">
              <a16:creationId xmlns:a16="http://schemas.microsoft.com/office/drawing/2014/main" id="{00000000-0008-0000-0400-0000F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a:extLst>
            <a:ext uri="{FF2B5EF4-FFF2-40B4-BE49-F238E27FC236}">
              <a16:creationId xmlns:a16="http://schemas.microsoft.com/office/drawing/2014/main" id="{00000000-0008-0000-0400-0000F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a:extLst>
            <a:ext uri="{FF2B5EF4-FFF2-40B4-BE49-F238E27FC236}">
              <a16:creationId xmlns:a16="http://schemas.microsoft.com/office/drawing/2014/main" id="{00000000-0008-0000-0400-0000F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a:extLst>
            <a:ext uri="{FF2B5EF4-FFF2-40B4-BE49-F238E27FC236}">
              <a16:creationId xmlns:a16="http://schemas.microsoft.com/office/drawing/2014/main" id="{00000000-0008-0000-0400-0000F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a:extLst>
            <a:ext uri="{FF2B5EF4-FFF2-40B4-BE49-F238E27FC236}">
              <a16:creationId xmlns:a16="http://schemas.microsoft.com/office/drawing/2014/main" id="{00000000-0008-0000-0400-0000F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a:extLst>
            <a:ext uri="{FF2B5EF4-FFF2-40B4-BE49-F238E27FC236}">
              <a16:creationId xmlns:a16="http://schemas.microsoft.com/office/drawing/2014/main" id="{00000000-0008-0000-0400-0000F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a:extLst>
            <a:ext uri="{FF2B5EF4-FFF2-40B4-BE49-F238E27FC236}">
              <a16:creationId xmlns:a16="http://schemas.microsoft.com/office/drawing/2014/main" id="{00000000-0008-0000-0400-0000F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a:extLst>
            <a:ext uri="{FF2B5EF4-FFF2-40B4-BE49-F238E27FC236}">
              <a16:creationId xmlns:a16="http://schemas.microsoft.com/office/drawing/2014/main" id="{00000000-0008-0000-0400-0000F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a:extLst>
            <a:ext uri="{FF2B5EF4-FFF2-40B4-BE49-F238E27FC236}">
              <a16:creationId xmlns:a16="http://schemas.microsoft.com/office/drawing/2014/main" id="{00000000-0008-0000-0400-0000F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a:extLst>
            <a:ext uri="{FF2B5EF4-FFF2-40B4-BE49-F238E27FC236}">
              <a16:creationId xmlns:a16="http://schemas.microsoft.com/office/drawing/2014/main" id="{00000000-0008-0000-0400-00000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a:extLst>
            <a:ext uri="{FF2B5EF4-FFF2-40B4-BE49-F238E27FC236}">
              <a16:creationId xmlns:a16="http://schemas.microsoft.com/office/drawing/2014/main" id="{00000000-0008-0000-0400-00000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a:extLst>
            <a:ext uri="{FF2B5EF4-FFF2-40B4-BE49-F238E27FC236}">
              <a16:creationId xmlns:a16="http://schemas.microsoft.com/office/drawing/2014/main" id="{00000000-0008-0000-0400-00000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a:extLst>
            <a:ext uri="{FF2B5EF4-FFF2-40B4-BE49-F238E27FC236}">
              <a16:creationId xmlns:a16="http://schemas.microsoft.com/office/drawing/2014/main" id="{00000000-0008-0000-0400-00000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a:extLst>
            <a:ext uri="{FF2B5EF4-FFF2-40B4-BE49-F238E27FC236}">
              <a16:creationId xmlns:a16="http://schemas.microsoft.com/office/drawing/2014/main" id="{00000000-0008-0000-0400-00000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a:extLst>
            <a:ext uri="{FF2B5EF4-FFF2-40B4-BE49-F238E27FC236}">
              <a16:creationId xmlns:a16="http://schemas.microsoft.com/office/drawing/2014/main" id="{00000000-0008-0000-0400-00000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a:extLst>
            <a:ext uri="{FF2B5EF4-FFF2-40B4-BE49-F238E27FC236}">
              <a16:creationId xmlns:a16="http://schemas.microsoft.com/office/drawing/2014/main" id="{00000000-0008-0000-0400-00000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a:extLst>
            <a:ext uri="{FF2B5EF4-FFF2-40B4-BE49-F238E27FC236}">
              <a16:creationId xmlns:a16="http://schemas.microsoft.com/office/drawing/2014/main" id="{00000000-0008-0000-0400-00000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a:extLst>
            <a:ext uri="{FF2B5EF4-FFF2-40B4-BE49-F238E27FC236}">
              <a16:creationId xmlns:a16="http://schemas.microsoft.com/office/drawing/2014/main" id="{00000000-0008-0000-0400-00000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a:extLst>
            <a:ext uri="{FF2B5EF4-FFF2-40B4-BE49-F238E27FC236}">
              <a16:creationId xmlns:a16="http://schemas.microsoft.com/office/drawing/2014/main" id="{00000000-0008-0000-0400-00000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a:extLst>
            <a:ext uri="{FF2B5EF4-FFF2-40B4-BE49-F238E27FC236}">
              <a16:creationId xmlns:a16="http://schemas.microsoft.com/office/drawing/2014/main" id="{00000000-0008-0000-0400-00000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a:extLst>
            <a:ext uri="{FF2B5EF4-FFF2-40B4-BE49-F238E27FC236}">
              <a16:creationId xmlns:a16="http://schemas.microsoft.com/office/drawing/2014/main" id="{00000000-0008-0000-0400-00000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a:extLst>
            <a:ext uri="{FF2B5EF4-FFF2-40B4-BE49-F238E27FC236}">
              <a16:creationId xmlns:a16="http://schemas.microsoft.com/office/drawing/2014/main" id="{00000000-0008-0000-0400-00000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a:extLst>
            <a:ext uri="{FF2B5EF4-FFF2-40B4-BE49-F238E27FC236}">
              <a16:creationId xmlns:a16="http://schemas.microsoft.com/office/drawing/2014/main" id="{00000000-0008-0000-0400-00000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a:extLst>
            <a:ext uri="{FF2B5EF4-FFF2-40B4-BE49-F238E27FC236}">
              <a16:creationId xmlns:a16="http://schemas.microsoft.com/office/drawing/2014/main" id="{00000000-0008-0000-0400-00000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a:extLst>
            <a:ext uri="{FF2B5EF4-FFF2-40B4-BE49-F238E27FC236}">
              <a16:creationId xmlns:a16="http://schemas.microsoft.com/office/drawing/2014/main" id="{00000000-0008-0000-0400-00000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a:extLst>
            <a:ext uri="{FF2B5EF4-FFF2-40B4-BE49-F238E27FC236}">
              <a16:creationId xmlns:a16="http://schemas.microsoft.com/office/drawing/2014/main" id="{00000000-0008-0000-0400-00001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a:extLst>
            <a:ext uri="{FF2B5EF4-FFF2-40B4-BE49-F238E27FC236}">
              <a16:creationId xmlns:a16="http://schemas.microsoft.com/office/drawing/2014/main" id="{00000000-0008-0000-0400-00001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a:extLst>
            <a:ext uri="{FF2B5EF4-FFF2-40B4-BE49-F238E27FC236}">
              <a16:creationId xmlns:a16="http://schemas.microsoft.com/office/drawing/2014/main" id="{00000000-0008-0000-0400-00001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a:extLst>
            <a:ext uri="{FF2B5EF4-FFF2-40B4-BE49-F238E27FC236}">
              <a16:creationId xmlns:a16="http://schemas.microsoft.com/office/drawing/2014/main" id="{00000000-0008-0000-0400-00001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a:extLst>
            <a:ext uri="{FF2B5EF4-FFF2-40B4-BE49-F238E27FC236}">
              <a16:creationId xmlns:a16="http://schemas.microsoft.com/office/drawing/2014/main" id="{00000000-0008-0000-0400-00001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a:extLst>
            <a:ext uri="{FF2B5EF4-FFF2-40B4-BE49-F238E27FC236}">
              <a16:creationId xmlns:a16="http://schemas.microsoft.com/office/drawing/2014/main" id="{00000000-0008-0000-0400-00001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a:extLst>
            <a:ext uri="{FF2B5EF4-FFF2-40B4-BE49-F238E27FC236}">
              <a16:creationId xmlns:a16="http://schemas.microsoft.com/office/drawing/2014/main" id="{00000000-0008-0000-0400-00001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a:extLst>
            <a:ext uri="{FF2B5EF4-FFF2-40B4-BE49-F238E27FC236}">
              <a16:creationId xmlns:a16="http://schemas.microsoft.com/office/drawing/2014/main" id="{00000000-0008-0000-0400-00001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a:extLst>
            <a:ext uri="{FF2B5EF4-FFF2-40B4-BE49-F238E27FC236}">
              <a16:creationId xmlns:a16="http://schemas.microsoft.com/office/drawing/2014/main" id="{00000000-0008-0000-0400-00001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a:extLst>
            <a:ext uri="{FF2B5EF4-FFF2-40B4-BE49-F238E27FC236}">
              <a16:creationId xmlns:a16="http://schemas.microsoft.com/office/drawing/2014/main" id="{00000000-0008-0000-0400-00001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a:extLst>
            <a:ext uri="{FF2B5EF4-FFF2-40B4-BE49-F238E27FC236}">
              <a16:creationId xmlns:a16="http://schemas.microsoft.com/office/drawing/2014/main" id="{00000000-0008-0000-0400-00001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a:extLst>
            <a:ext uri="{FF2B5EF4-FFF2-40B4-BE49-F238E27FC236}">
              <a16:creationId xmlns:a16="http://schemas.microsoft.com/office/drawing/2014/main" id="{00000000-0008-0000-0400-00001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a:extLst>
            <a:ext uri="{FF2B5EF4-FFF2-40B4-BE49-F238E27FC236}">
              <a16:creationId xmlns:a16="http://schemas.microsoft.com/office/drawing/2014/main" id="{00000000-0008-0000-0400-00001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a:extLst>
            <a:ext uri="{FF2B5EF4-FFF2-40B4-BE49-F238E27FC236}">
              <a16:creationId xmlns:a16="http://schemas.microsoft.com/office/drawing/2014/main" id="{00000000-0008-0000-0400-00001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a:extLst>
            <a:ext uri="{FF2B5EF4-FFF2-40B4-BE49-F238E27FC236}">
              <a16:creationId xmlns:a16="http://schemas.microsoft.com/office/drawing/2014/main" id="{00000000-0008-0000-0400-00001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a:extLst>
            <a:ext uri="{FF2B5EF4-FFF2-40B4-BE49-F238E27FC236}">
              <a16:creationId xmlns:a16="http://schemas.microsoft.com/office/drawing/2014/main" id="{00000000-0008-0000-0400-00001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a:extLst>
            <a:ext uri="{FF2B5EF4-FFF2-40B4-BE49-F238E27FC236}">
              <a16:creationId xmlns:a16="http://schemas.microsoft.com/office/drawing/2014/main" id="{00000000-0008-0000-0400-00002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a:extLst>
            <a:ext uri="{FF2B5EF4-FFF2-40B4-BE49-F238E27FC236}">
              <a16:creationId xmlns:a16="http://schemas.microsoft.com/office/drawing/2014/main" id="{00000000-0008-0000-0400-00002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a:extLst>
            <a:ext uri="{FF2B5EF4-FFF2-40B4-BE49-F238E27FC236}">
              <a16:creationId xmlns:a16="http://schemas.microsoft.com/office/drawing/2014/main" id="{00000000-0008-0000-0400-00002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a:extLst>
            <a:ext uri="{FF2B5EF4-FFF2-40B4-BE49-F238E27FC236}">
              <a16:creationId xmlns:a16="http://schemas.microsoft.com/office/drawing/2014/main" id="{00000000-0008-0000-0400-00002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a:extLst>
            <a:ext uri="{FF2B5EF4-FFF2-40B4-BE49-F238E27FC236}">
              <a16:creationId xmlns:a16="http://schemas.microsoft.com/office/drawing/2014/main" id="{00000000-0008-0000-0400-00002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a:extLst>
            <a:ext uri="{FF2B5EF4-FFF2-40B4-BE49-F238E27FC236}">
              <a16:creationId xmlns:a16="http://schemas.microsoft.com/office/drawing/2014/main" id="{00000000-0008-0000-0400-00002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a:extLst>
            <a:ext uri="{FF2B5EF4-FFF2-40B4-BE49-F238E27FC236}">
              <a16:creationId xmlns:a16="http://schemas.microsoft.com/office/drawing/2014/main" id="{00000000-0008-0000-0400-00002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a:extLst>
            <a:ext uri="{FF2B5EF4-FFF2-40B4-BE49-F238E27FC236}">
              <a16:creationId xmlns:a16="http://schemas.microsoft.com/office/drawing/2014/main" id="{00000000-0008-0000-0400-00002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a:extLst>
            <a:ext uri="{FF2B5EF4-FFF2-40B4-BE49-F238E27FC236}">
              <a16:creationId xmlns:a16="http://schemas.microsoft.com/office/drawing/2014/main" id="{00000000-0008-0000-0400-00002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a:extLst>
            <a:ext uri="{FF2B5EF4-FFF2-40B4-BE49-F238E27FC236}">
              <a16:creationId xmlns:a16="http://schemas.microsoft.com/office/drawing/2014/main" id="{00000000-0008-0000-0400-00002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a:extLst>
            <a:ext uri="{FF2B5EF4-FFF2-40B4-BE49-F238E27FC236}">
              <a16:creationId xmlns:a16="http://schemas.microsoft.com/office/drawing/2014/main" id="{00000000-0008-0000-0400-00002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a:extLst>
            <a:ext uri="{FF2B5EF4-FFF2-40B4-BE49-F238E27FC236}">
              <a16:creationId xmlns:a16="http://schemas.microsoft.com/office/drawing/2014/main" id="{00000000-0008-0000-0400-00002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a:extLst>
            <a:ext uri="{FF2B5EF4-FFF2-40B4-BE49-F238E27FC236}">
              <a16:creationId xmlns:a16="http://schemas.microsoft.com/office/drawing/2014/main" id="{00000000-0008-0000-0400-00002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a:extLst>
            <a:ext uri="{FF2B5EF4-FFF2-40B4-BE49-F238E27FC236}">
              <a16:creationId xmlns:a16="http://schemas.microsoft.com/office/drawing/2014/main" id="{00000000-0008-0000-0400-00002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a:extLst>
            <a:ext uri="{FF2B5EF4-FFF2-40B4-BE49-F238E27FC236}">
              <a16:creationId xmlns:a16="http://schemas.microsoft.com/office/drawing/2014/main" id="{00000000-0008-0000-0400-00002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a:extLst>
            <a:ext uri="{FF2B5EF4-FFF2-40B4-BE49-F238E27FC236}">
              <a16:creationId xmlns:a16="http://schemas.microsoft.com/office/drawing/2014/main" id="{00000000-0008-0000-0400-00002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a:extLst>
            <a:ext uri="{FF2B5EF4-FFF2-40B4-BE49-F238E27FC236}">
              <a16:creationId xmlns:a16="http://schemas.microsoft.com/office/drawing/2014/main" id="{00000000-0008-0000-0400-00003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a:extLst>
            <a:ext uri="{FF2B5EF4-FFF2-40B4-BE49-F238E27FC236}">
              <a16:creationId xmlns:a16="http://schemas.microsoft.com/office/drawing/2014/main" id="{00000000-0008-0000-0400-00003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a:extLst>
            <a:ext uri="{FF2B5EF4-FFF2-40B4-BE49-F238E27FC236}">
              <a16:creationId xmlns:a16="http://schemas.microsoft.com/office/drawing/2014/main" id="{00000000-0008-0000-0400-00003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a:extLst>
            <a:ext uri="{FF2B5EF4-FFF2-40B4-BE49-F238E27FC236}">
              <a16:creationId xmlns:a16="http://schemas.microsoft.com/office/drawing/2014/main" id="{00000000-0008-0000-0400-00003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a:extLst>
            <a:ext uri="{FF2B5EF4-FFF2-40B4-BE49-F238E27FC236}">
              <a16:creationId xmlns:a16="http://schemas.microsoft.com/office/drawing/2014/main" id="{00000000-0008-0000-0400-00003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a:extLst>
            <a:ext uri="{FF2B5EF4-FFF2-40B4-BE49-F238E27FC236}">
              <a16:creationId xmlns:a16="http://schemas.microsoft.com/office/drawing/2014/main" id="{00000000-0008-0000-0400-00003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a:extLst>
            <a:ext uri="{FF2B5EF4-FFF2-40B4-BE49-F238E27FC236}">
              <a16:creationId xmlns:a16="http://schemas.microsoft.com/office/drawing/2014/main" id="{00000000-0008-0000-0400-00003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a:extLst>
            <a:ext uri="{FF2B5EF4-FFF2-40B4-BE49-F238E27FC236}">
              <a16:creationId xmlns:a16="http://schemas.microsoft.com/office/drawing/2014/main" id="{00000000-0008-0000-0400-00003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a:extLst>
            <a:ext uri="{FF2B5EF4-FFF2-40B4-BE49-F238E27FC236}">
              <a16:creationId xmlns:a16="http://schemas.microsoft.com/office/drawing/2014/main" id="{00000000-0008-0000-0400-00003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a:extLst>
            <a:ext uri="{FF2B5EF4-FFF2-40B4-BE49-F238E27FC236}">
              <a16:creationId xmlns:a16="http://schemas.microsoft.com/office/drawing/2014/main" id="{00000000-0008-0000-0400-00003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a:extLst>
            <a:ext uri="{FF2B5EF4-FFF2-40B4-BE49-F238E27FC236}">
              <a16:creationId xmlns:a16="http://schemas.microsoft.com/office/drawing/2014/main" id="{00000000-0008-0000-0400-00003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a:extLst>
            <a:ext uri="{FF2B5EF4-FFF2-40B4-BE49-F238E27FC236}">
              <a16:creationId xmlns:a16="http://schemas.microsoft.com/office/drawing/2014/main" id="{00000000-0008-0000-0400-00003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a:extLst>
            <a:ext uri="{FF2B5EF4-FFF2-40B4-BE49-F238E27FC236}">
              <a16:creationId xmlns:a16="http://schemas.microsoft.com/office/drawing/2014/main" id="{00000000-0008-0000-0400-00003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a:extLst>
            <a:ext uri="{FF2B5EF4-FFF2-40B4-BE49-F238E27FC236}">
              <a16:creationId xmlns:a16="http://schemas.microsoft.com/office/drawing/2014/main" id="{00000000-0008-0000-0400-00003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a:extLst>
            <a:ext uri="{FF2B5EF4-FFF2-40B4-BE49-F238E27FC236}">
              <a16:creationId xmlns:a16="http://schemas.microsoft.com/office/drawing/2014/main" id="{00000000-0008-0000-0400-00003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a:extLst>
            <a:ext uri="{FF2B5EF4-FFF2-40B4-BE49-F238E27FC236}">
              <a16:creationId xmlns:a16="http://schemas.microsoft.com/office/drawing/2014/main" id="{00000000-0008-0000-0400-00003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a:extLst>
            <a:ext uri="{FF2B5EF4-FFF2-40B4-BE49-F238E27FC236}">
              <a16:creationId xmlns:a16="http://schemas.microsoft.com/office/drawing/2014/main" id="{00000000-0008-0000-0400-00004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a:extLst>
            <a:ext uri="{FF2B5EF4-FFF2-40B4-BE49-F238E27FC236}">
              <a16:creationId xmlns:a16="http://schemas.microsoft.com/office/drawing/2014/main" id="{00000000-0008-0000-0400-00004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a:extLst>
            <a:ext uri="{FF2B5EF4-FFF2-40B4-BE49-F238E27FC236}">
              <a16:creationId xmlns:a16="http://schemas.microsoft.com/office/drawing/2014/main" id="{00000000-0008-0000-0400-00004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a:extLst>
            <a:ext uri="{FF2B5EF4-FFF2-40B4-BE49-F238E27FC236}">
              <a16:creationId xmlns:a16="http://schemas.microsoft.com/office/drawing/2014/main" id="{00000000-0008-0000-0400-00004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a:extLst>
            <a:ext uri="{FF2B5EF4-FFF2-40B4-BE49-F238E27FC236}">
              <a16:creationId xmlns:a16="http://schemas.microsoft.com/office/drawing/2014/main" id="{00000000-0008-0000-0400-00004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a:extLst>
            <a:ext uri="{FF2B5EF4-FFF2-40B4-BE49-F238E27FC236}">
              <a16:creationId xmlns:a16="http://schemas.microsoft.com/office/drawing/2014/main" id="{00000000-0008-0000-0400-00004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a:extLst>
            <a:ext uri="{FF2B5EF4-FFF2-40B4-BE49-F238E27FC236}">
              <a16:creationId xmlns:a16="http://schemas.microsoft.com/office/drawing/2014/main" id="{00000000-0008-0000-0400-00004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a:extLst>
            <a:ext uri="{FF2B5EF4-FFF2-40B4-BE49-F238E27FC236}">
              <a16:creationId xmlns:a16="http://schemas.microsoft.com/office/drawing/2014/main" id="{00000000-0008-0000-0400-00004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a:extLst>
            <a:ext uri="{FF2B5EF4-FFF2-40B4-BE49-F238E27FC236}">
              <a16:creationId xmlns:a16="http://schemas.microsoft.com/office/drawing/2014/main" id="{00000000-0008-0000-0400-00004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a:extLst>
            <a:ext uri="{FF2B5EF4-FFF2-40B4-BE49-F238E27FC236}">
              <a16:creationId xmlns:a16="http://schemas.microsoft.com/office/drawing/2014/main" id="{00000000-0008-0000-0400-00004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a:extLst>
            <a:ext uri="{FF2B5EF4-FFF2-40B4-BE49-F238E27FC236}">
              <a16:creationId xmlns:a16="http://schemas.microsoft.com/office/drawing/2014/main" id="{00000000-0008-0000-0400-00004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a:extLst>
            <a:ext uri="{FF2B5EF4-FFF2-40B4-BE49-F238E27FC236}">
              <a16:creationId xmlns:a16="http://schemas.microsoft.com/office/drawing/2014/main" id="{00000000-0008-0000-0400-00004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a:extLst>
            <a:ext uri="{FF2B5EF4-FFF2-40B4-BE49-F238E27FC236}">
              <a16:creationId xmlns:a16="http://schemas.microsoft.com/office/drawing/2014/main" id="{00000000-0008-0000-0400-00004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a:extLst>
            <a:ext uri="{FF2B5EF4-FFF2-40B4-BE49-F238E27FC236}">
              <a16:creationId xmlns:a16="http://schemas.microsoft.com/office/drawing/2014/main" id="{00000000-0008-0000-0400-00004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a:extLst>
            <a:ext uri="{FF2B5EF4-FFF2-40B4-BE49-F238E27FC236}">
              <a16:creationId xmlns:a16="http://schemas.microsoft.com/office/drawing/2014/main" id="{00000000-0008-0000-0400-00004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a:extLst>
            <a:ext uri="{FF2B5EF4-FFF2-40B4-BE49-F238E27FC236}">
              <a16:creationId xmlns:a16="http://schemas.microsoft.com/office/drawing/2014/main" id="{00000000-0008-0000-0400-00004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a:extLst>
            <a:ext uri="{FF2B5EF4-FFF2-40B4-BE49-F238E27FC236}">
              <a16:creationId xmlns:a16="http://schemas.microsoft.com/office/drawing/2014/main" id="{00000000-0008-0000-0400-00005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a:extLst>
            <a:ext uri="{FF2B5EF4-FFF2-40B4-BE49-F238E27FC236}">
              <a16:creationId xmlns:a16="http://schemas.microsoft.com/office/drawing/2014/main" id="{00000000-0008-0000-0400-00005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a:extLst>
            <a:ext uri="{FF2B5EF4-FFF2-40B4-BE49-F238E27FC236}">
              <a16:creationId xmlns:a16="http://schemas.microsoft.com/office/drawing/2014/main" id="{00000000-0008-0000-0400-00005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a:extLst>
            <a:ext uri="{FF2B5EF4-FFF2-40B4-BE49-F238E27FC236}">
              <a16:creationId xmlns:a16="http://schemas.microsoft.com/office/drawing/2014/main" id="{00000000-0008-0000-0400-00005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a:extLst>
            <a:ext uri="{FF2B5EF4-FFF2-40B4-BE49-F238E27FC236}">
              <a16:creationId xmlns:a16="http://schemas.microsoft.com/office/drawing/2014/main" id="{00000000-0008-0000-0400-00005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a:extLst>
            <a:ext uri="{FF2B5EF4-FFF2-40B4-BE49-F238E27FC236}">
              <a16:creationId xmlns:a16="http://schemas.microsoft.com/office/drawing/2014/main" id="{00000000-0008-0000-0400-00005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a:extLst>
            <a:ext uri="{FF2B5EF4-FFF2-40B4-BE49-F238E27FC236}">
              <a16:creationId xmlns:a16="http://schemas.microsoft.com/office/drawing/2014/main" id="{00000000-0008-0000-0400-00005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a:extLst>
            <a:ext uri="{FF2B5EF4-FFF2-40B4-BE49-F238E27FC236}">
              <a16:creationId xmlns:a16="http://schemas.microsoft.com/office/drawing/2014/main" id="{00000000-0008-0000-0400-00005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a:extLst>
            <a:ext uri="{FF2B5EF4-FFF2-40B4-BE49-F238E27FC236}">
              <a16:creationId xmlns:a16="http://schemas.microsoft.com/office/drawing/2014/main" id="{00000000-0008-0000-0400-00005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a:extLst>
            <a:ext uri="{FF2B5EF4-FFF2-40B4-BE49-F238E27FC236}">
              <a16:creationId xmlns:a16="http://schemas.microsoft.com/office/drawing/2014/main" id="{00000000-0008-0000-0400-00005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a:extLst>
            <a:ext uri="{FF2B5EF4-FFF2-40B4-BE49-F238E27FC236}">
              <a16:creationId xmlns:a16="http://schemas.microsoft.com/office/drawing/2014/main" id="{00000000-0008-0000-0400-00005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a:extLst>
            <a:ext uri="{FF2B5EF4-FFF2-40B4-BE49-F238E27FC236}">
              <a16:creationId xmlns:a16="http://schemas.microsoft.com/office/drawing/2014/main" id="{00000000-0008-0000-0400-00005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a:extLst>
            <a:ext uri="{FF2B5EF4-FFF2-40B4-BE49-F238E27FC236}">
              <a16:creationId xmlns:a16="http://schemas.microsoft.com/office/drawing/2014/main" id="{00000000-0008-0000-0400-00005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a:extLst>
            <a:ext uri="{FF2B5EF4-FFF2-40B4-BE49-F238E27FC236}">
              <a16:creationId xmlns:a16="http://schemas.microsoft.com/office/drawing/2014/main" id="{00000000-0008-0000-0400-00005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a:extLst>
            <a:ext uri="{FF2B5EF4-FFF2-40B4-BE49-F238E27FC236}">
              <a16:creationId xmlns:a16="http://schemas.microsoft.com/office/drawing/2014/main" id="{00000000-0008-0000-0400-00005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a:extLst>
            <a:ext uri="{FF2B5EF4-FFF2-40B4-BE49-F238E27FC236}">
              <a16:creationId xmlns:a16="http://schemas.microsoft.com/office/drawing/2014/main" id="{00000000-0008-0000-0400-00005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a:extLst>
            <a:ext uri="{FF2B5EF4-FFF2-40B4-BE49-F238E27FC236}">
              <a16:creationId xmlns:a16="http://schemas.microsoft.com/office/drawing/2014/main" id="{00000000-0008-0000-0400-00006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a:extLst>
            <a:ext uri="{FF2B5EF4-FFF2-40B4-BE49-F238E27FC236}">
              <a16:creationId xmlns:a16="http://schemas.microsoft.com/office/drawing/2014/main" id="{00000000-0008-0000-0400-00006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a:extLst>
            <a:ext uri="{FF2B5EF4-FFF2-40B4-BE49-F238E27FC236}">
              <a16:creationId xmlns:a16="http://schemas.microsoft.com/office/drawing/2014/main" id="{00000000-0008-0000-0400-00006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a:extLst>
            <a:ext uri="{FF2B5EF4-FFF2-40B4-BE49-F238E27FC236}">
              <a16:creationId xmlns:a16="http://schemas.microsoft.com/office/drawing/2014/main" id="{00000000-0008-0000-0400-00006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a:extLst>
            <a:ext uri="{FF2B5EF4-FFF2-40B4-BE49-F238E27FC236}">
              <a16:creationId xmlns:a16="http://schemas.microsoft.com/office/drawing/2014/main" id="{00000000-0008-0000-0400-00006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a:extLst>
            <a:ext uri="{FF2B5EF4-FFF2-40B4-BE49-F238E27FC236}">
              <a16:creationId xmlns:a16="http://schemas.microsoft.com/office/drawing/2014/main" id="{00000000-0008-0000-0400-00006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a:extLst>
            <a:ext uri="{FF2B5EF4-FFF2-40B4-BE49-F238E27FC236}">
              <a16:creationId xmlns:a16="http://schemas.microsoft.com/office/drawing/2014/main" id="{00000000-0008-0000-0400-00006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a:extLst>
            <a:ext uri="{FF2B5EF4-FFF2-40B4-BE49-F238E27FC236}">
              <a16:creationId xmlns:a16="http://schemas.microsoft.com/office/drawing/2014/main" id="{00000000-0008-0000-0400-00006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a:extLst>
            <a:ext uri="{FF2B5EF4-FFF2-40B4-BE49-F238E27FC236}">
              <a16:creationId xmlns:a16="http://schemas.microsoft.com/office/drawing/2014/main" id="{00000000-0008-0000-0400-00006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a:extLst>
            <a:ext uri="{FF2B5EF4-FFF2-40B4-BE49-F238E27FC236}">
              <a16:creationId xmlns:a16="http://schemas.microsoft.com/office/drawing/2014/main" id="{00000000-0008-0000-0400-00006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a:extLst>
            <a:ext uri="{FF2B5EF4-FFF2-40B4-BE49-F238E27FC236}">
              <a16:creationId xmlns:a16="http://schemas.microsoft.com/office/drawing/2014/main" id="{00000000-0008-0000-0400-00006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a:extLst>
            <a:ext uri="{FF2B5EF4-FFF2-40B4-BE49-F238E27FC236}">
              <a16:creationId xmlns:a16="http://schemas.microsoft.com/office/drawing/2014/main" id="{00000000-0008-0000-0400-00006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a:extLst>
            <a:ext uri="{FF2B5EF4-FFF2-40B4-BE49-F238E27FC236}">
              <a16:creationId xmlns:a16="http://schemas.microsoft.com/office/drawing/2014/main" id="{00000000-0008-0000-0400-00006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a:extLst>
            <a:ext uri="{FF2B5EF4-FFF2-40B4-BE49-F238E27FC236}">
              <a16:creationId xmlns:a16="http://schemas.microsoft.com/office/drawing/2014/main" id="{00000000-0008-0000-0400-00006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a:extLst>
            <a:ext uri="{FF2B5EF4-FFF2-40B4-BE49-F238E27FC236}">
              <a16:creationId xmlns:a16="http://schemas.microsoft.com/office/drawing/2014/main" id="{00000000-0008-0000-0400-00006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a:extLst>
            <a:ext uri="{FF2B5EF4-FFF2-40B4-BE49-F238E27FC236}">
              <a16:creationId xmlns:a16="http://schemas.microsoft.com/office/drawing/2014/main" id="{00000000-0008-0000-0400-00006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a:extLst>
            <a:ext uri="{FF2B5EF4-FFF2-40B4-BE49-F238E27FC236}">
              <a16:creationId xmlns:a16="http://schemas.microsoft.com/office/drawing/2014/main" id="{00000000-0008-0000-0400-00007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a:extLst>
            <a:ext uri="{FF2B5EF4-FFF2-40B4-BE49-F238E27FC236}">
              <a16:creationId xmlns:a16="http://schemas.microsoft.com/office/drawing/2014/main" id="{00000000-0008-0000-0400-00007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a:extLst>
            <a:ext uri="{FF2B5EF4-FFF2-40B4-BE49-F238E27FC236}">
              <a16:creationId xmlns:a16="http://schemas.microsoft.com/office/drawing/2014/main" id="{00000000-0008-0000-0400-00007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a:extLst>
            <a:ext uri="{FF2B5EF4-FFF2-40B4-BE49-F238E27FC236}">
              <a16:creationId xmlns:a16="http://schemas.microsoft.com/office/drawing/2014/main" id="{00000000-0008-0000-0400-00007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a:extLst>
            <a:ext uri="{FF2B5EF4-FFF2-40B4-BE49-F238E27FC236}">
              <a16:creationId xmlns:a16="http://schemas.microsoft.com/office/drawing/2014/main" id="{00000000-0008-0000-0400-00007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a:extLst>
            <a:ext uri="{FF2B5EF4-FFF2-40B4-BE49-F238E27FC236}">
              <a16:creationId xmlns:a16="http://schemas.microsoft.com/office/drawing/2014/main" id="{00000000-0008-0000-0400-00007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a:extLst>
            <a:ext uri="{FF2B5EF4-FFF2-40B4-BE49-F238E27FC236}">
              <a16:creationId xmlns:a16="http://schemas.microsoft.com/office/drawing/2014/main" id="{00000000-0008-0000-0400-00007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a:extLst>
            <a:ext uri="{FF2B5EF4-FFF2-40B4-BE49-F238E27FC236}">
              <a16:creationId xmlns:a16="http://schemas.microsoft.com/office/drawing/2014/main" id="{00000000-0008-0000-0400-00007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a:extLst>
            <a:ext uri="{FF2B5EF4-FFF2-40B4-BE49-F238E27FC236}">
              <a16:creationId xmlns:a16="http://schemas.microsoft.com/office/drawing/2014/main" id="{00000000-0008-0000-0400-00007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a:extLst>
            <a:ext uri="{FF2B5EF4-FFF2-40B4-BE49-F238E27FC236}">
              <a16:creationId xmlns:a16="http://schemas.microsoft.com/office/drawing/2014/main" id="{00000000-0008-0000-0400-00007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a:extLst>
            <a:ext uri="{FF2B5EF4-FFF2-40B4-BE49-F238E27FC236}">
              <a16:creationId xmlns:a16="http://schemas.microsoft.com/office/drawing/2014/main" id="{00000000-0008-0000-0400-00007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a:extLst>
            <a:ext uri="{FF2B5EF4-FFF2-40B4-BE49-F238E27FC236}">
              <a16:creationId xmlns:a16="http://schemas.microsoft.com/office/drawing/2014/main" id="{00000000-0008-0000-0400-00007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a:extLst>
            <a:ext uri="{FF2B5EF4-FFF2-40B4-BE49-F238E27FC236}">
              <a16:creationId xmlns:a16="http://schemas.microsoft.com/office/drawing/2014/main" id="{00000000-0008-0000-0400-00007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a:extLst>
            <a:ext uri="{FF2B5EF4-FFF2-40B4-BE49-F238E27FC236}">
              <a16:creationId xmlns:a16="http://schemas.microsoft.com/office/drawing/2014/main" id="{00000000-0008-0000-0400-00007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a:extLst>
            <a:ext uri="{FF2B5EF4-FFF2-40B4-BE49-F238E27FC236}">
              <a16:creationId xmlns:a16="http://schemas.microsoft.com/office/drawing/2014/main" id="{00000000-0008-0000-0400-00007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a:extLst>
            <a:ext uri="{FF2B5EF4-FFF2-40B4-BE49-F238E27FC236}">
              <a16:creationId xmlns:a16="http://schemas.microsoft.com/office/drawing/2014/main" id="{00000000-0008-0000-0400-00007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a:extLst>
            <a:ext uri="{FF2B5EF4-FFF2-40B4-BE49-F238E27FC236}">
              <a16:creationId xmlns:a16="http://schemas.microsoft.com/office/drawing/2014/main" id="{00000000-0008-0000-0400-00008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a:extLst>
            <a:ext uri="{FF2B5EF4-FFF2-40B4-BE49-F238E27FC236}">
              <a16:creationId xmlns:a16="http://schemas.microsoft.com/office/drawing/2014/main" id="{00000000-0008-0000-0400-00008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a:extLst>
            <a:ext uri="{FF2B5EF4-FFF2-40B4-BE49-F238E27FC236}">
              <a16:creationId xmlns:a16="http://schemas.microsoft.com/office/drawing/2014/main" id="{00000000-0008-0000-0400-00008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a:extLst>
            <a:ext uri="{FF2B5EF4-FFF2-40B4-BE49-F238E27FC236}">
              <a16:creationId xmlns:a16="http://schemas.microsoft.com/office/drawing/2014/main" id="{00000000-0008-0000-0400-00008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a:extLst>
            <a:ext uri="{FF2B5EF4-FFF2-40B4-BE49-F238E27FC236}">
              <a16:creationId xmlns:a16="http://schemas.microsoft.com/office/drawing/2014/main" id="{00000000-0008-0000-0400-00008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a:extLst>
            <a:ext uri="{FF2B5EF4-FFF2-40B4-BE49-F238E27FC236}">
              <a16:creationId xmlns:a16="http://schemas.microsoft.com/office/drawing/2014/main" id="{00000000-0008-0000-0400-00008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a:extLst>
            <a:ext uri="{FF2B5EF4-FFF2-40B4-BE49-F238E27FC236}">
              <a16:creationId xmlns:a16="http://schemas.microsoft.com/office/drawing/2014/main" id="{00000000-0008-0000-0400-00008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a:extLst>
            <a:ext uri="{FF2B5EF4-FFF2-40B4-BE49-F238E27FC236}">
              <a16:creationId xmlns:a16="http://schemas.microsoft.com/office/drawing/2014/main" id="{00000000-0008-0000-0400-00008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a:extLst>
            <a:ext uri="{FF2B5EF4-FFF2-40B4-BE49-F238E27FC236}">
              <a16:creationId xmlns:a16="http://schemas.microsoft.com/office/drawing/2014/main" id="{00000000-0008-0000-0400-00008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a:extLst>
            <a:ext uri="{FF2B5EF4-FFF2-40B4-BE49-F238E27FC236}">
              <a16:creationId xmlns:a16="http://schemas.microsoft.com/office/drawing/2014/main" id="{00000000-0008-0000-0400-00008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a:extLst>
            <a:ext uri="{FF2B5EF4-FFF2-40B4-BE49-F238E27FC236}">
              <a16:creationId xmlns:a16="http://schemas.microsoft.com/office/drawing/2014/main" id="{00000000-0008-0000-0400-00008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a:extLst>
            <a:ext uri="{FF2B5EF4-FFF2-40B4-BE49-F238E27FC236}">
              <a16:creationId xmlns:a16="http://schemas.microsoft.com/office/drawing/2014/main" id="{00000000-0008-0000-0400-00008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a:extLst>
            <a:ext uri="{FF2B5EF4-FFF2-40B4-BE49-F238E27FC236}">
              <a16:creationId xmlns:a16="http://schemas.microsoft.com/office/drawing/2014/main" id="{00000000-0008-0000-0400-00008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a:extLst>
            <a:ext uri="{FF2B5EF4-FFF2-40B4-BE49-F238E27FC236}">
              <a16:creationId xmlns:a16="http://schemas.microsoft.com/office/drawing/2014/main" id="{00000000-0008-0000-0400-00008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a:extLst>
            <a:ext uri="{FF2B5EF4-FFF2-40B4-BE49-F238E27FC236}">
              <a16:creationId xmlns:a16="http://schemas.microsoft.com/office/drawing/2014/main" id="{00000000-0008-0000-0400-00008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a:extLst>
            <a:ext uri="{FF2B5EF4-FFF2-40B4-BE49-F238E27FC236}">
              <a16:creationId xmlns:a16="http://schemas.microsoft.com/office/drawing/2014/main" id="{00000000-0008-0000-0400-00008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a:extLst>
            <a:ext uri="{FF2B5EF4-FFF2-40B4-BE49-F238E27FC236}">
              <a16:creationId xmlns:a16="http://schemas.microsoft.com/office/drawing/2014/main" id="{00000000-0008-0000-0400-00009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a:extLst>
            <a:ext uri="{FF2B5EF4-FFF2-40B4-BE49-F238E27FC236}">
              <a16:creationId xmlns:a16="http://schemas.microsoft.com/office/drawing/2014/main" id="{00000000-0008-0000-0400-00009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a:extLst>
            <a:ext uri="{FF2B5EF4-FFF2-40B4-BE49-F238E27FC236}">
              <a16:creationId xmlns:a16="http://schemas.microsoft.com/office/drawing/2014/main" id="{00000000-0008-0000-0400-00009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a:extLst>
            <a:ext uri="{FF2B5EF4-FFF2-40B4-BE49-F238E27FC236}">
              <a16:creationId xmlns:a16="http://schemas.microsoft.com/office/drawing/2014/main" id="{00000000-0008-0000-0400-00009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a:extLst>
            <a:ext uri="{FF2B5EF4-FFF2-40B4-BE49-F238E27FC236}">
              <a16:creationId xmlns:a16="http://schemas.microsoft.com/office/drawing/2014/main" id="{00000000-0008-0000-0400-00009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a:extLst>
            <a:ext uri="{FF2B5EF4-FFF2-40B4-BE49-F238E27FC236}">
              <a16:creationId xmlns:a16="http://schemas.microsoft.com/office/drawing/2014/main" id="{00000000-0008-0000-0400-00009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a:extLst>
            <a:ext uri="{FF2B5EF4-FFF2-40B4-BE49-F238E27FC236}">
              <a16:creationId xmlns:a16="http://schemas.microsoft.com/office/drawing/2014/main" id="{00000000-0008-0000-0400-00009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a:extLst>
            <a:ext uri="{FF2B5EF4-FFF2-40B4-BE49-F238E27FC236}">
              <a16:creationId xmlns:a16="http://schemas.microsoft.com/office/drawing/2014/main" id="{00000000-0008-0000-0400-00009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a:extLst>
            <a:ext uri="{FF2B5EF4-FFF2-40B4-BE49-F238E27FC236}">
              <a16:creationId xmlns:a16="http://schemas.microsoft.com/office/drawing/2014/main" id="{00000000-0008-0000-0400-00009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a:extLst>
            <a:ext uri="{FF2B5EF4-FFF2-40B4-BE49-F238E27FC236}">
              <a16:creationId xmlns:a16="http://schemas.microsoft.com/office/drawing/2014/main" id="{00000000-0008-0000-0400-00009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a:extLst>
            <a:ext uri="{FF2B5EF4-FFF2-40B4-BE49-F238E27FC236}">
              <a16:creationId xmlns:a16="http://schemas.microsoft.com/office/drawing/2014/main" id="{00000000-0008-0000-0400-00009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a:extLst>
            <a:ext uri="{FF2B5EF4-FFF2-40B4-BE49-F238E27FC236}">
              <a16:creationId xmlns:a16="http://schemas.microsoft.com/office/drawing/2014/main" id="{00000000-0008-0000-0400-00009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a:extLst>
            <a:ext uri="{FF2B5EF4-FFF2-40B4-BE49-F238E27FC236}">
              <a16:creationId xmlns:a16="http://schemas.microsoft.com/office/drawing/2014/main" id="{00000000-0008-0000-0400-00009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a:extLst>
            <a:ext uri="{FF2B5EF4-FFF2-40B4-BE49-F238E27FC236}">
              <a16:creationId xmlns:a16="http://schemas.microsoft.com/office/drawing/2014/main" id="{00000000-0008-0000-0400-00009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a:extLst>
            <a:ext uri="{FF2B5EF4-FFF2-40B4-BE49-F238E27FC236}">
              <a16:creationId xmlns:a16="http://schemas.microsoft.com/office/drawing/2014/main" id="{00000000-0008-0000-0400-00009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a:extLst>
            <a:ext uri="{FF2B5EF4-FFF2-40B4-BE49-F238E27FC236}">
              <a16:creationId xmlns:a16="http://schemas.microsoft.com/office/drawing/2014/main" id="{00000000-0008-0000-0400-00009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a:extLst>
            <a:ext uri="{FF2B5EF4-FFF2-40B4-BE49-F238E27FC236}">
              <a16:creationId xmlns:a16="http://schemas.microsoft.com/office/drawing/2014/main" id="{00000000-0008-0000-0400-0000A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a:extLst>
            <a:ext uri="{FF2B5EF4-FFF2-40B4-BE49-F238E27FC236}">
              <a16:creationId xmlns:a16="http://schemas.microsoft.com/office/drawing/2014/main" id="{00000000-0008-0000-0400-0000A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a:extLst>
            <a:ext uri="{FF2B5EF4-FFF2-40B4-BE49-F238E27FC236}">
              <a16:creationId xmlns:a16="http://schemas.microsoft.com/office/drawing/2014/main" id="{00000000-0008-0000-0400-0000A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a:extLst>
            <a:ext uri="{FF2B5EF4-FFF2-40B4-BE49-F238E27FC236}">
              <a16:creationId xmlns:a16="http://schemas.microsoft.com/office/drawing/2014/main" id="{00000000-0008-0000-0400-0000A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a:extLst>
            <a:ext uri="{FF2B5EF4-FFF2-40B4-BE49-F238E27FC236}">
              <a16:creationId xmlns:a16="http://schemas.microsoft.com/office/drawing/2014/main" id="{00000000-0008-0000-0400-0000A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a:extLst>
            <a:ext uri="{FF2B5EF4-FFF2-40B4-BE49-F238E27FC236}">
              <a16:creationId xmlns:a16="http://schemas.microsoft.com/office/drawing/2014/main" id="{00000000-0008-0000-0400-0000A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a:extLst>
            <a:ext uri="{FF2B5EF4-FFF2-40B4-BE49-F238E27FC236}">
              <a16:creationId xmlns:a16="http://schemas.microsoft.com/office/drawing/2014/main" id="{00000000-0008-0000-0400-0000A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a:extLst>
            <a:ext uri="{FF2B5EF4-FFF2-40B4-BE49-F238E27FC236}">
              <a16:creationId xmlns:a16="http://schemas.microsoft.com/office/drawing/2014/main" id="{00000000-0008-0000-0400-0000A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a:extLst>
            <a:ext uri="{FF2B5EF4-FFF2-40B4-BE49-F238E27FC236}">
              <a16:creationId xmlns:a16="http://schemas.microsoft.com/office/drawing/2014/main" id="{00000000-0008-0000-0400-0000A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a:extLst>
            <a:ext uri="{FF2B5EF4-FFF2-40B4-BE49-F238E27FC236}">
              <a16:creationId xmlns:a16="http://schemas.microsoft.com/office/drawing/2014/main" id="{00000000-0008-0000-0400-0000A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a:extLst>
            <a:ext uri="{FF2B5EF4-FFF2-40B4-BE49-F238E27FC236}">
              <a16:creationId xmlns:a16="http://schemas.microsoft.com/office/drawing/2014/main" id="{00000000-0008-0000-0400-0000A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a:extLst>
            <a:ext uri="{FF2B5EF4-FFF2-40B4-BE49-F238E27FC236}">
              <a16:creationId xmlns:a16="http://schemas.microsoft.com/office/drawing/2014/main" id="{00000000-0008-0000-0400-0000A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a:extLst>
            <a:ext uri="{FF2B5EF4-FFF2-40B4-BE49-F238E27FC236}">
              <a16:creationId xmlns:a16="http://schemas.microsoft.com/office/drawing/2014/main" id="{00000000-0008-0000-0400-0000A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a:extLst>
            <a:ext uri="{FF2B5EF4-FFF2-40B4-BE49-F238E27FC236}">
              <a16:creationId xmlns:a16="http://schemas.microsoft.com/office/drawing/2014/main" id="{00000000-0008-0000-0400-0000A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a:extLst>
            <a:ext uri="{FF2B5EF4-FFF2-40B4-BE49-F238E27FC236}">
              <a16:creationId xmlns:a16="http://schemas.microsoft.com/office/drawing/2014/main" id="{00000000-0008-0000-0400-0000A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a:extLst>
            <a:ext uri="{FF2B5EF4-FFF2-40B4-BE49-F238E27FC236}">
              <a16:creationId xmlns:a16="http://schemas.microsoft.com/office/drawing/2014/main" id="{00000000-0008-0000-0400-0000A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a:extLst>
            <a:ext uri="{FF2B5EF4-FFF2-40B4-BE49-F238E27FC236}">
              <a16:creationId xmlns:a16="http://schemas.microsoft.com/office/drawing/2014/main" id="{00000000-0008-0000-0400-0000B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a:extLst>
            <a:ext uri="{FF2B5EF4-FFF2-40B4-BE49-F238E27FC236}">
              <a16:creationId xmlns:a16="http://schemas.microsoft.com/office/drawing/2014/main" id="{00000000-0008-0000-0400-0000B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a:extLst>
            <a:ext uri="{FF2B5EF4-FFF2-40B4-BE49-F238E27FC236}">
              <a16:creationId xmlns:a16="http://schemas.microsoft.com/office/drawing/2014/main" id="{00000000-0008-0000-0400-0000B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a:extLst>
            <a:ext uri="{FF2B5EF4-FFF2-40B4-BE49-F238E27FC236}">
              <a16:creationId xmlns:a16="http://schemas.microsoft.com/office/drawing/2014/main" id="{00000000-0008-0000-0400-0000B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a:extLst>
            <a:ext uri="{FF2B5EF4-FFF2-40B4-BE49-F238E27FC236}">
              <a16:creationId xmlns:a16="http://schemas.microsoft.com/office/drawing/2014/main" id="{00000000-0008-0000-0400-0000B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a:extLst>
            <a:ext uri="{FF2B5EF4-FFF2-40B4-BE49-F238E27FC236}">
              <a16:creationId xmlns:a16="http://schemas.microsoft.com/office/drawing/2014/main" id="{00000000-0008-0000-0400-0000B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a:extLst>
            <a:ext uri="{FF2B5EF4-FFF2-40B4-BE49-F238E27FC236}">
              <a16:creationId xmlns:a16="http://schemas.microsoft.com/office/drawing/2014/main" id="{00000000-0008-0000-0400-0000B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a:extLst>
            <a:ext uri="{FF2B5EF4-FFF2-40B4-BE49-F238E27FC236}">
              <a16:creationId xmlns:a16="http://schemas.microsoft.com/office/drawing/2014/main" id="{00000000-0008-0000-0400-0000B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a:extLst>
            <a:ext uri="{FF2B5EF4-FFF2-40B4-BE49-F238E27FC236}">
              <a16:creationId xmlns:a16="http://schemas.microsoft.com/office/drawing/2014/main" id="{00000000-0008-0000-0400-0000B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a:extLst>
            <a:ext uri="{FF2B5EF4-FFF2-40B4-BE49-F238E27FC236}">
              <a16:creationId xmlns:a16="http://schemas.microsoft.com/office/drawing/2014/main" id="{00000000-0008-0000-0400-0000B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a:extLst>
            <a:ext uri="{FF2B5EF4-FFF2-40B4-BE49-F238E27FC236}">
              <a16:creationId xmlns:a16="http://schemas.microsoft.com/office/drawing/2014/main" id="{00000000-0008-0000-0400-0000B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a:extLst>
            <a:ext uri="{FF2B5EF4-FFF2-40B4-BE49-F238E27FC236}">
              <a16:creationId xmlns:a16="http://schemas.microsoft.com/office/drawing/2014/main" id="{00000000-0008-0000-0400-0000B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a:extLst>
            <a:ext uri="{FF2B5EF4-FFF2-40B4-BE49-F238E27FC236}">
              <a16:creationId xmlns:a16="http://schemas.microsoft.com/office/drawing/2014/main" id="{00000000-0008-0000-0400-0000B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a:extLst>
            <a:ext uri="{FF2B5EF4-FFF2-40B4-BE49-F238E27FC236}">
              <a16:creationId xmlns:a16="http://schemas.microsoft.com/office/drawing/2014/main" id="{00000000-0008-0000-0400-0000B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a:extLst>
            <a:ext uri="{FF2B5EF4-FFF2-40B4-BE49-F238E27FC236}">
              <a16:creationId xmlns:a16="http://schemas.microsoft.com/office/drawing/2014/main" id="{00000000-0008-0000-0400-0000B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a:extLst>
            <a:ext uri="{FF2B5EF4-FFF2-40B4-BE49-F238E27FC236}">
              <a16:creationId xmlns:a16="http://schemas.microsoft.com/office/drawing/2014/main" id="{00000000-0008-0000-0400-0000B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a:extLst>
            <a:ext uri="{FF2B5EF4-FFF2-40B4-BE49-F238E27FC236}">
              <a16:creationId xmlns:a16="http://schemas.microsoft.com/office/drawing/2014/main" id="{00000000-0008-0000-0400-0000C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a:extLst>
            <a:ext uri="{FF2B5EF4-FFF2-40B4-BE49-F238E27FC236}">
              <a16:creationId xmlns:a16="http://schemas.microsoft.com/office/drawing/2014/main" id="{00000000-0008-0000-0400-0000C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a:extLst>
            <a:ext uri="{FF2B5EF4-FFF2-40B4-BE49-F238E27FC236}">
              <a16:creationId xmlns:a16="http://schemas.microsoft.com/office/drawing/2014/main" id="{00000000-0008-0000-0400-0000C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a:extLst>
            <a:ext uri="{FF2B5EF4-FFF2-40B4-BE49-F238E27FC236}">
              <a16:creationId xmlns:a16="http://schemas.microsoft.com/office/drawing/2014/main" id="{00000000-0008-0000-0400-0000C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a:extLst>
            <a:ext uri="{FF2B5EF4-FFF2-40B4-BE49-F238E27FC236}">
              <a16:creationId xmlns:a16="http://schemas.microsoft.com/office/drawing/2014/main" id="{00000000-0008-0000-0400-0000C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a:extLst>
            <a:ext uri="{FF2B5EF4-FFF2-40B4-BE49-F238E27FC236}">
              <a16:creationId xmlns:a16="http://schemas.microsoft.com/office/drawing/2014/main" id="{00000000-0008-0000-0400-0000C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a:extLst>
            <a:ext uri="{FF2B5EF4-FFF2-40B4-BE49-F238E27FC236}">
              <a16:creationId xmlns:a16="http://schemas.microsoft.com/office/drawing/2014/main" id="{00000000-0008-0000-0400-0000C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a:extLst>
            <a:ext uri="{FF2B5EF4-FFF2-40B4-BE49-F238E27FC236}">
              <a16:creationId xmlns:a16="http://schemas.microsoft.com/office/drawing/2014/main" id="{00000000-0008-0000-0400-0000C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a:extLst>
            <a:ext uri="{FF2B5EF4-FFF2-40B4-BE49-F238E27FC236}">
              <a16:creationId xmlns:a16="http://schemas.microsoft.com/office/drawing/2014/main" id="{00000000-0008-0000-0400-0000C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a:extLst>
            <a:ext uri="{FF2B5EF4-FFF2-40B4-BE49-F238E27FC236}">
              <a16:creationId xmlns:a16="http://schemas.microsoft.com/office/drawing/2014/main" id="{00000000-0008-0000-0400-0000C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a:extLst>
            <a:ext uri="{FF2B5EF4-FFF2-40B4-BE49-F238E27FC236}">
              <a16:creationId xmlns:a16="http://schemas.microsoft.com/office/drawing/2014/main" id="{00000000-0008-0000-0400-0000C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a:extLst>
            <a:ext uri="{FF2B5EF4-FFF2-40B4-BE49-F238E27FC236}">
              <a16:creationId xmlns:a16="http://schemas.microsoft.com/office/drawing/2014/main" id="{00000000-0008-0000-0400-0000C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a:extLst>
            <a:ext uri="{FF2B5EF4-FFF2-40B4-BE49-F238E27FC236}">
              <a16:creationId xmlns:a16="http://schemas.microsoft.com/office/drawing/2014/main" id="{00000000-0008-0000-0400-0000C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a:extLst>
            <a:ext uri="{FF2B5EF4-FFF2-40B4-BE49-F238E27FC236}">
              <a16:creationId xmlns:a16="http://schemas.microsoft.com/office/drawing/2014/main" id="{00000000-0008-0000-0400-0000C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a:extLst>
            <a:ext uri="{FF2B5EF4-FFF2-40B4-BE49-F238E27FC236}">
              <a16:creationId xmlns:a16="http://schemas.microsoft.com/office/drawing/2014/main" id="{00000000-0008-0000-0400-0000C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a:extLst>
            <a:ext uri="{FF2B5EF4-FFF2-40B4-BE49-F238E27FC236}">
              <a16:creationId xmlns:a16="http://schemas.microsoft.com/office/drawing/2014/main" id="{00000000-0008-0000-0400-0000C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a:extLst>
            <a:ext uri="{FF2B5EF4-FFF2-40B4-BE49-F238E27FC236}">
              <a16:creationId xmlns:a16="http://schemas.microsoft.com/office/drawing/2014/main" id="{00000000-0008-0000-0400-0000D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a:extLst>
            <a:ext uri="{FF2B5EF4-FFF2-40B4-BE49-F238E27FC236}">
              <a16:creationId xmlns:a16="http://schemas.microsoft.com/office/drawing/2014/main" id="{00000000-0008-0000-0400-0000D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a:extLst>
            <a:ext uri="{FF2B5EF4-FFF2-40B4-BE49-F238E27FC236}">
              <a16:creationId xmlns:a16="http://schemas.microsoft.com/office/drawing/2014/main" id="{00000000-0008-0000-0400-0000D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a:extLst>
            <a:ext uri="{FF2B5EF4-FFF2-40B4-BE49-F238E27FC236}">
              <a16:creationId xmlns:a16="http://schemas.microsoft.com/office/drawing/2014/main" id="{00000000-0008-0000-0400-0000D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a:extLst>
            <a:ext uri="{FF2B5EF4-FFF2-40B4-BE49-F238E27FC236}">
              <a16:creationId xmlns:a16="http://schemas.microsoft.com/office/drawing/2014/main" id="{00000000-0008-0000-0400-0000D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a:extLst>
            <a:ext uri="{FF2B5EF4-FFF2-40B4-BE49-F238E27FC236}">
              <a16:creationId xmlns:a16="http://schemas.microsoft.com/office/drawing/2014/main" id="{00000000-0008-0000-0400-0000D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a:extLst>
            <a:ext uri="{FF2B5EF4-FFF2-40B4-BE49-F238E27FC236}">
              <a16:creationId xmlns:a16="http://schemas.microsoft.com/office/drawing/2014/main" id="{00000000-0008-0000-0400-0000D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a:extLst>
            <a:ext uri="{FF2B5EF4-FFF2-40B4-BE49-F238E27FC236}">
              <a16:creationId xmlns:a16="http://schemas.microsoft.com/office/drawing/2014/main" id="{00000000-0008-0000-0400-0000D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a:extLst>
            <a:ext uri="{FF2B5EF4-FFF2-40B4-BE49-F238E27FC236}">
              <a16:creationId xmlns:a16="http://schemas.microsoft.com/office/drawing/2014/main" id="{00000000-0008-0000-0400-0000D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a:extLst>
            <a:ext uri="{FF2B5EF4-FFF2-40B4-BE49-F238E27FC236}">
              <a16:creationId xmlns:a16="http://schemas.microsoft.com/office/drawing/2014/main" id="{00000000-0008-0000-0400-0000D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a:extLst>
            <a:ext uri="{FF2B5EF4-FFF2-40B4-BE49-F238E27FC236}">
              <a16:creationId xmlns:a16="http://schemas.microsoft.com/office/drawing/2014/main" id="{00000000-0008-0000-0400-0000D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a:extLst>
            <a:ext uri="{FF2B5EF4-FFF2-40B4-BE49-F238E27FC236}">
              <a16:creationId xmlns:a16="http://schemas.microsoft.com/office/drawing/2014/main" id="{00000000-0008-0000-0400-0000D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a:extLst>
            <a:ext uri="{FF2B5EF4-FFF2-40B4-BE49-F238E27FC236}">
              <a16:creationId xmlns:a16="http://schemas.microsoft.com/office/drawing/2014/main" id="{00000000-0008-0000-0400-0000D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a:extLst>
            <a:ext uri="{FF2B5EF4-FFF2-40B4-BE49-F238E27FC236}">
              <a16:creationId xmlns:a16="http://schemas.microsoft.com/office/drawing/2014/main" id="{00000000-0008-0000-0400-0000D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a:extLst>
            <a:ext uri="{FF2B5EF4-FFF2-40B4-BE49-F238E27FC236}">
              <a16:creationId xmlns:a16="http://schemas.microsoft.com/office/drawing/2014/main" id="{00000000-0008-0000-0400-0000D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a:extLst>
            <a:ext uri="{FF2B5EF4-FFF2-40B4-BE49-F238E27FC236}">
              <a16:creationId xmlns:a16="http://schemas.microsoft.com/office/drawing/2014/main" id="{00000000-0008-0000-0400-0000D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a:extLst>
            <a:ext uri="{FF2B5EF4-FFF2-40B4-BE49-F238E27FC236}">
              <a16:creationId xmlns:a16="http://schemas.microsoft.com/office/drawing/2014/main" id="{00000000-0008-0000-0400-0000E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a:extLst>
            <a:ext uri="{FF2B5EF4-FFF2-40B4-BE49-F238E27FC236}">
              <a16:creationId xmlns:a16="http://schemas.microsoft.com/office/drawing/2014/main" id="{00000000-0008-0000-0400-0000E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a:extLst>
            <a:ext uri="{FF2B5EF4-FFF2-40B4-BE49-F238E27FC236}">
              <a16:creationId xmlns:a16="http://schemas.microsoft.com/office/drawing/2014/main" id="{00000000-0008-0000-0400-0000E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a:extLst>
            <a:ext uri="{FF2B5EF4-FFF2-40B4-BE49-F238E27FC236}">
              <a16:creationId xmlns:a16="http://schemas.microsoft.com/office/drawing/2014/main" id="{00000000-0008-0000-0400-0000E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a:extLst>
            <a:ext uri="{FF2B5EF4-FFF2-40B4-BE49-F238E27FC236}">
              <a16:creationId xmlns:a16="http://schemas.microsoft.com/office/drawing/2014/main" id="{00000000-0008-0000-0400-0000E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a:extLst>
            <a:ext uri="{FF2B5EF4-FFF2-40B4-BE49-F238E27FC236}">
              <a16:creationId xmlns:a16="http://schemas.microsoft.com/office/drawing/2014/main" id="{00000000-0008-0000-0400-0000E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a:extLst>
            <a:ext uri="{FF2B5EF4-FFF2-40B4-BE49-F238E27FC236}">
              <a16:creationId xmlns:a16="http://schemas.microsoft.com/office/drawing/2014/main" id="{00000000-0008-0000-0400-0000E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a:extLst>
            <a:ext uri="{FF2B5EF4-FFF2-40B4-BE49-F238E27FC236}">
              <a16:creationId xmlns:a16="http://schemas.microsoft.com/office/drawing/2014/main" id="{00000000-0008-0000-0400-0000E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a:extLst>
            <a:ext uri="{FF2B5EF4-FFF2-40B4-BE49-F238E27FC236}">
              <a16:creationId xmlns:a16="http://schemas.microsoft.com/office/drawing/2014/main" id="{00000000-0008-0000-0400-0000E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a:extLst>
            <a:ext uri="{FF2B5EF4-FFF2-40B4-BE49-F238E27FC236}">
              <a16:creationId xmlns:a16="http://schemas.microsoft.com/office/drawing/2014/main" id="{00000000-0008-0000-0400-0000E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a:extLst>
            <a:ext uri="{FF2B5EF4-FFF2-40B4-BE49-F238E27FC236}">
              <a16:creationId xmlns:a16="http://schemas.microsoft.com/office/drawing/2014/main" id="{00000000-0008-0000-0400-0000E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a:extLst>
            <a:ext uri="{FF2B5EF4-FFF2-40B4-BE49-F238E27FC236}">
              <a16:creationId xmlns:a16="http://schemas.microsoft.com/office/drawing/2014/main" id="{00000000-0008-0000-0400-0000E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a:extLst>
            <a:ext uri="{FF2B5EF4-FFF2-40B4-BE49-F238E27FC236}">
              <a16:creationId xmlns:a16="http://schemas.microsoft.com/office/drawing/2014/main" id="{00000000-0008-0000-0400-0000E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a:extLst>
            <a:ext uri="{FF2B5EF4-FFF2-40B4-BE49-F238E27FC236}">
              <a16:creationId xmlns:a16="http://schemas.microsoft.com/office/drawing/2014/main" id="{00000000-0008-0000-0400-0000E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a:extLst>
            <a:ext uri="{FF2B5EF4-FFF2-40B4-BE49-F238E27FC236}">
              <a16:creationId xmlns:a16="http://schemas.microsoft.com/office/drawing/2014/main" id="{00000000-0008-0000-0400-0000E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a:extLst>
            <a:ext uri="{FF2B5EF4-FFF2-40B4-BE49-F238E27FC236}">
              <a16:creationId xmlns:a16="http://schemas.microsoft.com/office/drawing/2014/main" id="{00000000-0008-0000-0400-0000E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a:extLst>
            <a:ext uri="{FF2B5EF4-FFF2-40B4-BE49-F238E27FC236}">
              <a16:creationId xmlns:a16="http://schemas.microsoft.com/office/drawing/2014/main" id="{00000000-0008-0000-0400-0000F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a:extLst>
            <a:ext uri="{FF2B5EF4-FFF2-40B4-BE49-F238E27FC236}">
              <a16:creationId xmlns:a16="http://schemas.microsoft.com/office/drawing/2014/main" id="{00000000-0008-0000-0400-0000F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a:extLst>
            <a:ext uri="{FF2B5EF4-FFF2-40B4-BE49-F238E27FC236}">
              <a16:creationId xmlns:a16="http://schemas.microsoft.com/office/drawing/2014/main" id="{00000000-0008-0000-0400-0000F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a:extLst>
            <a:ext uri="{FF2B5EF4-FFF2-40B4-BE49-F238E27FC236}">
              <a16:creationId xmlns:a16="http://schemas.microsoft.com/office/drawing/2014/main" id="{00000000-0008-0000-0400-0000F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a:extLst>
            <a:ext uri="{FF2B5EF4-FFF2-40B4-BE49-F238E27FC236}">
              <a16:creationId xmlns:a16="http://schemas.microsoft.com/office/drawing/2014/main" id="{00000000-0008-0000-0400-0000F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a:extLst>
            <a:ext uri="{FF2B5EF4-FFF2-40B4-BE49-F238E27FC236}">
              <a16:creationId xmlns:a16="http://schemas.microsoft.com/office/drawing/2014/main" id="{00000000-0008-0000-0400-0000F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a:extLst>
            <a:ext uri="{FF2B5EF4-FFF2-40B4-BE49-F238E27FC236}">
              <a16:creationId xmlns:a16="http://schemas.microsoft.com/office/drawing/2014/main" id="{00000000-0008-0000-0400-0000F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a:extLst>
            <a:ext uri="{FF2B5EF4-FFF2-40B4-BE49-F238E27FC236}">
              <a16:creationId xmlns:a16="http://schemas.microsoft.com/office/drawing/2014/main" id="{00000000-0008-0000-0400-0000F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a:extLst>
            <a:ext uri="{FF2B5EF4-FFF2-40B4-BE49-F238E27FC236}">
              <a16:creationId xmlns:a16="http://schemas.microsoft.com/office/drawing/2014/main" id="{00000000-0008-0000-0400-0000F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a:extLst>
            <a:ext uri="{FF2B5EF4-FFF2-40B4-BE49-F238E27FC236}">
              <a16:creationId xmlns:a16="http://schemas.microsoft.com/office/drawing/2014/main" id="{00000000-0008-0000-0400-0000F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a:extLst>
            <a:ext uri="{FF2B5EF4-FFF2-40B4-BE49-F238E27FC236}">
              <a16:creationId xmlns:a16="http://schemas.microsoft.com/office/drawing/2014/main" id="{00000000-0008-0000-0400-0000F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a:extLst>
            <a:ext uri="{FF2B5EF4-FFF2-40B4-BE49-F238E27FC236}">
              <a16:creationId xmlns:a16="http://schemas.microsoft.com/office/drawing/2014/main" id="{00000000-0008-0000-0400-0000F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a:extLst>
            <a:ext uri="{FF2B5EF4-FFF2-40B4-BE49-F238E27FC236}">
              <a16:creationId xmlns:a16="http://schemas.microsoft.com/office/drawing/2014/main" id="{00000000-0008-0000-0400-0000F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a:extLst>
            <a:ext uri="{FF2B5EF4-FFF2-40B4-BE49-F238E27FC236}">
              <a16:creationId xmlns:a16="http://schemas.microsoft.com/office/drawing/2014/main" id="{00000000-0008-0000-0400-0000F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a:extLst>
            <a:ext uri="{FF2B5EF4-FFF2-40B4-BE49-F238E27FC236}">
              <a16:creationId xmlns:a16="http://schemas.microsoft.com/office/drawing/2014/main" id="{00000000-0008-0000-0400-0000F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a:extLst>
            <a:ext uri="{FF2B5EF4-FFF2-40B4-BE49-F238E27FC236}">
              <a16:creationId xmlns:a16="http://schemas.microsoft.com/office/drawing/2014/main" id="{00000000-0008-0000-0400-0000F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a:extLst>
            <a:ext uri="{FF2B5EF4-FFF2-40B4-BE49-F238E27FC236}">
              <a16:creationId xmlns:a16="http://schemas.microsoft.com/office/drawing/2014/main" id="{00000000-0008-0000-0400-00000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a:extLst>
            <a:ext uri="{FF2B5EF4-FFF2-40B4-BE49-F238E27FC236}">
              <a16:creationId xmlns:a16="http://schemas.microsoft.com/office/drawing/2014/main" id="{00000000-0008-0000-0400-00000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a:extLst>
            <a:ext uri="{FF2B5EF4-FFF2-40B4-BE49-F238E27FC236}">
              <a16:creationId xmlns:a16="http://schemas.microsoft.com/office/drawing/2014/main" id="{00000000-0008-0000-0400-00000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a:extLst>
            <a:ext uri="{FF2B5EF4-FFF2-40B4-BE49-F238E27FC236}">
              <a16:creationId xmlns:a16="http://schemas.microsoft.com/office/drawing/2014/main" id="{00000000-0008-0000-0400-00000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a:extLst>
            <a:ext uri="{FF2B5EF4-FFF2-40B4-BE49-F238E27FC236}">
              <a16:creationId xmlns:a16="http://schemas.microsoft.com/office/drawing/2014/main" id="{00000000-0008-0000-0400-00000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a:extLst>
            <a:ext uri="{FF2B5EF4-FFF2-40B4-BE49-F238E27FC236}">
              <a16:creationId xmlns:a16="http://schemas.microsoft.com/office/drawing/2014/main" id="{00000000-0008-0000-0400-00000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a:extLst>
            <a:ext uri="{FF2B5EF4-FFF2-40B4-BE49-F238E27FC236}">
              <a16:creationId xmlns:a16="http://schemas.microsoft.com/office/drawing/2014/main" id="{00000000-0008-0000-0400-00000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a:extLst>
            <a:ext uri="{FF2B5EF4-FFF2-40B4-BE49-F238E27FC236}">
              <a16:creationId xmlns:a16="http://schemas.microsoft.com/office/drawing/2014/main" id="{00000000-0008-0000-0400-00000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a:extLst>
            <a:ext uri="{FF2B5EF4-FFF2-40B4-BE49-F238E27FC236}">
              <a16:creationId xmlns:a16="http://schemas.microsoft.com/office/drawing/2014/main" id="{00000000-0008-0000-0400-00000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a:extLst>
            <a:ext uri="{FF2B5EF4-FFF2-40B4-BE49-F238E27FC236}">
              <a16:creationId xmlns:a16="http://schemas.microsoft.com/office/drawing/2014/main" id="{00000000-0008-0000-0400-00000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a:extLst>
            <a:ext uri="{FF2B5EF4-FFF2-40B4-BE49-F238E27FC236}">
              <a16:creationId xmlns:a16="http://schemas.microsoft.com/office/drawing/2014/main" id="{00000000-0008-0000-0400-00000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a:extLst>
            <a:ext uri="{FF2B5EF4-FFF2-40B4-BE49-F238E27FC236}">
              <a16:creationId xmlns:a16="http://schemas.microsoft.com/office/drawing/2014/main" id="{00000000-0008-0000-0400-00000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a:extLst>
            <a:ext uri="{FF2B5EF4-FFF2-40B4-BE49-F238E27FC236}">
              <a16:creationId xmlns:a16="http://schemas.microsoft.com/office/drawing/2014/main" id="{00000000-0008-0000-0400-00000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a:extLst>
            <a:ext uri="{FF2B5EF4-FFF2-40B4-BE49-F238E27FC236}">
              <a16:creationId xmlns:a16="http://schemas.microsoft.com/office/drawing/2014/main" id="{00000000-0008-0000-0400-00000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a:extLst>
            <a:ext uri="{FF2B5EF4-FFF2-40B4-BE49-F238E27FC236}">
              <a16:creationId xmlns:a16="http://schemas.microsoft.com/office/drawing/2014/main" id="{00000000-0008-0000-0400-00000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a:extLst>
            <a:ext uri="{FF2B5EF4-FFF2-40B4-BE49-F238E27FC236}">
              <a16:creationId xmlns:a16="http://schemas.microsoft.com/office/drawing/2014/main" id="{00000000-0008-0000-0400-00000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a:extLst>
            <a:ext uri="{FF2B5EF4-FFF2-40B4-BE49-F238E27FC236}">
              <a16:creationId xmlns:a16="http://schemas.microsoft.com/office/drawing/2014/main" id="{00000000-0008-0000-0400-00001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a:extLst>
            <a:ext uri="{FF2B5EF4-FFF2-40B4-BE49-F238E27FC236}">
              <a16:creationId xmlns:a16="http://schemas.microsoft.com/office/drawing/2014/main" id="{00000000-0008-0000-0400-00001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a:extLst>
            <a:ext uri="{FF2B5EF4-FFF2-40B4-BE49-F238E27FC236}">
              <a16:creationId xmlns:a16="http://schemas.microsoft.com/office/drawing/2014/main" id="{00000000-0008-0000-0400-00001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a:extLst>
            <a:ext uri="{FF2B5EF4-FFF2-40B4-BE49-F238E27FC236}">
              <a16:creationId xmlns:a16="http://schemas.microsoft.com/office/drawing/2014/main" id="{00000000-0008-0000-0400-00001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a:extLst>
            <a:ext uri="{FF2B5EF4-FFF2-40B4-BE49-F238E27FC236}">
              <a16:creationId xmlns:a16="http://schemas.microsoft.com/office/drawing/2014/main" id="{00000000-0008-0000-0400-00001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a:extLst>
            <a:ext uri="{FF2B5EF4-FFF2-40B4-BE49-F238E27FC236}">
              <a16:creationId xmlns:a16="http://schemas.microsoft.com/office/drawing/2014/main" id="{00000000-0008-0000-0400-00001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a:extLst>
            <a:ext uri="{FF2B5EF4-FFF2-40B4-BE49-F238E27FC236}">
              <a16:creationId xmlns:a16="http://schemas.microsoft.com/office/drawing/2014/main" id="{00000000-0008-0000-0400-00001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a:extLst>
            <a:ext uri="{FF2B5EF4-FFF2-40B4-BE49-F238E27FC236}">
              <a16:creationId xmlns:a16="http://schemas.microsoft.com/office/drawing/2014/main" id="{00000000-0008-0000-0400-00001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a:extLst>
            <a:ext uri="{FF2B5EF4-FFF2-40B4-BE49-F238E27FC236}">
              <a16:creationId xmlns:a16="http://schemas.microsoft.com/office/drawing/2014/main" id="{00000000-0008-0000-0400-00001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a:extLst>
            <a:ext uri="{FF2B5EF4-FFF2-40B4-BE49-F238E27FC236}">
              <a16:creationId xmlns:a16="http://schemas.microsoft.com/office/drawing/2014/main" id="{00000000-0008-0000-0400-00001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a:extLst>
            <a:ext uri="{FF2B5EF4-FFF2-40B4-BE49-F238E27FC236}">
              <a16:creationId xmlns:a16="http://schemas.microsoft.com/office/drawing/2014/main" id="{00000000-0008-0000-0400-00001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a:extLst>
            <a:ext uri="{FF2B5EF4-FFF2-40B4-BE49-F238E27FC236}">
              <a16:creationId xmlns:a16="http://schemas.microsoft.com/office/drawing/2014/main" id="{00000000-0008-0000-0400-00001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a:extLst>
            <a:ext uri="{FF2B5EF4-FFF2-40B4-BE49-F238E27FC236}">
              <a16:creationId xmlns:a16="http://schemas.microsoft.com/office/drawing/2014/main" id="{00000000-0008-0000-0400-00001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a:extLst>
            <a:ext uri="{FF2B5EF4-FFF2-40B4-BE49-F238E27FC236}">
              <a16:creationId xmlns:a16="http://schemas.microsoft.com/office/drawing/2014/main" id="{00000000-0008-0000-0400-00001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a:extLst>
            <a:ext uri="{FF2B5EF4-FFF2-40B4-BE49-F238E27FC236}">
              <a16:creationId xmlns:a16="http://schemas.microsoft.com/office/drawing/2014/main" id="{00000000-0008-0000-0400-00001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a:extLst>
            <a:ext uri="{FF2B5EF4-FFF2-40B4-BE49-F238E27FC236}">
              <a16:creationId xmlns:a16="http://schemas.microsoft.com/office/drawing/2014/main" id="{00000000-0008-0000-0400-00001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a:extLst>
            <a:ext uri="{FF2B5EF4-FFF2-40B4-BE49-F238E27FC236}">
              <a16:creationId xmlns:a16="http://schemas.microsoft.com/office/drawing/2014/main" id="{00000000-0008-0000-0400-00002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a:extLst>
            <a:ext uri="{FF2B5EF4-FFF2-40B4-BE49-F238E27FC236}">
              <a16:creationId xmlns:a16="http://schemas.microsoft.com/office/drawing/2014/main" id="{00000000-0008-0000-0400-00002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a:extLst>
            <a:ext uri="{FF2B5EF4-FFF2-40B4-BE49-F238E27FC236}">
              <a16:creationId xmlns:a16="http://schemas.microsoft.com/office/drawing/2014/main" id="{00000000-0008-0000-0400-00002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a:extLst>
            <a:ext uri="{FF2B5EF4-FFF2-40B4-BE49-F238E27FC236}">
              <a16:creationId xmlns:a16="http://schemas.microsoft.com/office/drawing/2014/main" id="{00000000-0008-0000-0400-00002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a:extLst>
            <a:ext uri="{FF2B5EF4-FFF2-40B4-BE49-F238E27FC236}">
              <a16:creationId xmlns:a16="http://schemas.microsoft.com/office/drawing/2014/main" id="{00000000-0008-0000-0400-00002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a:extLst>
            <a:ext uri="{FF2B5EF4-FFF2-40B4-BE49-F238E27FC236}">
              <a16:creationId xmlns:a16="http://schemas.microsoft.com/office/drawing/2014/main" id="{00000000-0008-0000-0400-00002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a:extLst>
            <a:ext uri="{FF2B5EF4-FFF2-40B4-BE49-F238E27FC236}">
              <a16:creationId xmlns:a16="http://schemas.microsoft.com/office/drawing/2014/main" id="{00000000-0008-0000-0400-00002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a:extLst>
            <a:ext uri="{FF2B5EF4-FFF2-40B4-BE49-F238E27FC236}">
              <a16:creationId xmlns:a16="http://schemas.microsoft.com/office/drawing/2014/main" id="{00000000-0008-0000-0400-00002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a:extLst>
            <a:ext uri="{FF2B5EF4-FFF2-40B4-BE49-F238E27FC236}">
              <a16:creationId xmlns:a16="http://schemas.microsoft.com/office/drawing/2014/main" id="{00000000-0008-0000-0400-00002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a:extLst>
            <a:ext uri="{FF2B5EF4-FFF2-40B4-BE49-F238E27FC236}">
              <a16:creationId xmlns:a16="http://schemas.microsoft.com/office/drawing/2014/main" id="{00000000-0008-0000-0400-00002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a:extLst>
            <a:ext uri="{FF2B5EF4-FFF2-40B4-BE49-F238E27FC236}">
              <a16:creationId xmlns:a16="http://schemas.microsoft.com/office/drawing/2014/main" id="{00000000-0008-0000-0400-00002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a:extLst>
            <a:ext uri="{FF2B5EF4-FFF2-40B4-BE49-F238E27FC236}">
              <a16:creationId xmlns:a16="http://schemas.microsoft.com/office/drawing/2014/main" id="{00000000-0008-0000-0400-00002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a:extLst>
            <a:ext uri="{FF2B5EF4-FFF2-40B4-BE49-F238E27FC236}">
              <a16:creationId xmlns:a16="http://schemas.microsoft.com/office/drawing/2014/main" id="{00000000-0008-0000-0400-00002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a:extLst>
            <a:ext uri="{FF2B5EF4-FFF2-40B4-BE49-F238E27FC236}">
              <a16:creationId xmlns:a16="http://schemas.microsoft.com/office/drawing/2014/main" id="{00000000-0008-0000-0400-00002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a:extLst>
            <a:ext uri="{FF2B5EF4-FFF2-40B4-BE49-F238E27FC236}">
              <a16:creationId xmlns:a16="http://schemas.microsoft.com/office/drawing/2014/main" id="{00000000-0008-0000-0400-00002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a:extLst>
            <a:ext uri="{FF2B5EF4-FFF2-40B4-BE49-F238E27FC236}">
              <a16:creationId xmlns:a16="http://schemas.microsoft.com/office/drawing/2014/main" id="{00000000-0008-0000-0400-00002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a:extLst>
            <a:ext uri="{FF2B5EF4-FFF2-40B4-BE49-F238E27FC236}">
              <a16:creationId xmlns:a16="http://schemas.microsoft.com/office/drawing/2014/main" id="{00000000-0008-0000-0400-00003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a:extLst>
            <a:ext uri="{FF2B5EF4-FFF2-40B4-BE49-F238E27FC236}">
              <a16:creationId xmlns:a16="http://schemas.microsoft.com/office/drawing/2014/main" id="{00000000-0008-0000-0400-00003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a:extLst>
            <a:ext uri="{FF2B5EF4-FFF2-40B4-BE49-F238E27FC236}">
              <a16:creationId xmlns:a16="http://schemas.microsoft.com/office/drawing/2014/main" id="{00000000-0008-0000-0400-00003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a:extLst>
            <a:ext uri="{FF2B5EF4-FFF2-40B4-BE49-F238E27FC236}">
              <a16:creationId xmlns:a16="http://schemas.microsoft.com/office/drawing/2014/main" id="{00000000-0008-0000-0400-00003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a:extLst>
            <a:ext uri="{FF2B5EF4-FFF2-40B4-BE49-F238E27FC236}">
              <a16:creationId xmlns:a16="http://schemas.microsoft.com/office/drawing/2014/main" id="{00000000-0008-0000-0400-00003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a:extLst>
            <a:ext uri="{FF2B5EF4-FFF2-40B4-BE49-F238E27FC236}">
              <a16:creationId xmlns:a16="http://schemas.microsoft.com/office/drawing/2014/main" id="{00000000-0008-0000-0400-00003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a:extLst>
            <a:ext uri="{FF2B5EF4-FFF2-40B4-BE49-F238E27FC236}">
              <a16:creationId xmlns:a16="http://schemas.microsoft.com/office/drawing/2014/main" id="{00000000-0008-0000-0400-00003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a:extLst>
            <a:ext uri="{FF2B5EF4-FFF2-40B4-BE49-F238E27FC236}">
              <a16:creationId xmlns:a16="http://schemas.microsoft.com/office/drawing/2014/main" id="{00000000-0008-0000-0400-00003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a:extLst>
            <a:ext uri="{FF2B5EF4-FFF2-40B4-BE49-F238E27FC236}">
              <a16:creationId xmlns:a16="http://schemas.microsoft.com/office/drawing/2014/main" id="{00000000-0008-0000-0400-00003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a:extLst>
            <a:ext uri="{FF2B5EF4-FFF2-40B4-BE49-F238E27FC236}">
              <a16:creationId xmlns:a16="http://schemas.microsoft.com/office/drawing/2014/main" id="{00000000-0008-0000-0400-00003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a:extLst>
            <a:ext uri="{FF2B5EF4-FFF2-40B4-BE49-F238E27FC236}">
              <a16:creationId xmlns:a16="http://schemas.microsoft.com/office/drawing/2014/main" id="{00000000-0008-0000-0400-00003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a:extLst>
            <a:ext uri="{FF2B5EF4-FFF2-40B4-BE49-F238E27FC236}">
              <a16:creationId xmlns:a16="http://schemas.microsoft.com/office/drawing/2014/main" id="{00000000-0008-0000-0400-00003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a:extLst>
            <a:ext uri="{FF2B5EF4-FFF2-40B4-BE49-F238E27FC236}">
              <a16:creationId xmlns:a16="http://schemas.microsoft.com/office/drawing/2014/main" id="{00000000-0008-0000-0400-00003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a:extLst>
            <a:ext uri="{FF2B5EF4-FFF2-40B4-BE49-F238E27FC236}">
              <a16:creationId xmlns:a16="http://schemas.microsoft.com/office/drawing/2014/main" id="{00000000-0008-0000-0400-00003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a:extLst>
            <a:ext uri="{FF2B5EF4-FFF2-40B4-BE49-F238E27FC236}">
              <a16:creationId xmlns:a16="http://schemas.microsoft.com/office/drawing/2014/main" id="{00000000-0008-0000-0400-00003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a:extLst>
            <a:ext uri="{FF2B5EF4-FFF2-40B4-BE49-F238E27FC236}">
              <a16:creationId xmlns:a16="http://schemas.microsoft.com/office/drawing/2014/main" id="{00000000-0008-0000-0400-00003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a:extLst>
            <a:ext uri="{FF2B5EF4-FFF2-40B4-BE49-F238E27FC236}">
              <a16:creationId xmlns:a16="http://schemas.microsoft.com/office/drawing/2014/main" id="{00000000-0008-0000-0400-00004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a:extLst>
            <a:ext uri="{FF2B5EF4-FFF2-40B4-BE49-F238E27FC236}">
              <a16:creationId xmlns:a16="http://schemas.microsoft.com/office/drawing/2014/main" id="{00000000-0008-0000-0400-00004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a:extLst>
            <a:ext uri="{FF2B5EF4-FFF2-40B4-BE49-F238E27FC236}">
              <a16:creationId xmlns:a16="http://schemas.microsoft.com/office/drawing/2014/main" id="{00000000-0008-0000-0400-00004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a:extLst>
            <a:ext uri="{FF2B5EF4-FFF2-40B4-BE49-F238E27FC236}">
              <a16:creationId xmlns:a16="http://schemas.microsoft.com/office/drawing/2014/main" id="{00000000-0008-0000-0400-00004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a:extLst>
            <a:ext uri="{FF2B5EF4-FFF2-40B4-BE49-F238E27FC236}">
              <a16:creationId xmlns:a16="http://schemas.microsoft.com/office/drawing/2014/main" id="{00000000-0008-0000-0400-00004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a:extLst>
            <a:ext uri="{FF2B5EF4-FFF2-40B4-BE49-F238E27FC236}">
              <a16:creationId xmlns:a16="http://schemas.microsoft.com/office/drawing/2014/main" id="{00000000-0008-0000-0400-00004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a:extLst>
            <a:ext uri="{FF2B5EF4-FFF2-40B4-BE49-F238E27FC236}">
              <a16:creationId xmlns:a16="http://schemas.microsoft.com/office/drawing/2014/main" id="{00000000-0008-0000-0400-00004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a:extLst>
            <a:ext uri="{FF2B5EF4-FFF2-40B4-BE49-F238E27FC236}">
              <a16:creationId xmlns:a16="http://schemas.microsoft.com/office/drawing/2014/main" id="{00000000-0008-0000-0400-00004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a:extLst>
            <a:ext uri="{FF2B5EF4-FFF2-40B4-BE49-F238E27FC236}">
              <a16:creationId xmlns:a16="http://schemas.microsoft.com/office/drawing/2014/main" id="{00000000-0008-0000-0400-00004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a:extLst>
            <a:ext uri="{FF2B5EF4-FFF2-40B4-BE49-F238E27FC236}">
              <a16:creationId xmlns:a16="http://schemas.microsoft.com/office/drawing/2014/main" id="{00000000-0008-0000-0400-00004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a:extLst>
            <a:ext uri="{FF2B5EF4-FFF2-40B4-BE49-F238E27FC236}">
              <a16:creationId xmlns:a16="http://schemas.microsoft.com/office/drawing/2014/main" id="{00000000-0008-0000-0400-00004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a:extLst>
            <a:ext uri="{FF2B5EF4-FFF2-40B4-BE49-F238E27FC236}">
              <a16:creationId xmlns:a16="http://schemas.microsoft.com/office/drawing/2014/main" id="{00000000-0008-0000-0400-00004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a:extLst>
            <a:ext uri="{FF2B5EF4-FFF2-40B4-BE49-F238E27FC236}">
              <a16:creationId xmlns:a16="http://schemas.microsoft.com/office/drawing/2014/main" id="{00000000-0008-0000-0400-00004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a:extLst>
            <a:ext uri="{FF2B5EF4-FFF2-40B4-BE49-F238E27FC236}">
              <a16:creationId xmlns:a16="http://schemas.microsoft.com/office/drawing/2014/main" id="{00000000-0008-0000-0400-00004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a:extLst>
            <a:ext uri="{FF2B5EF4-FFF2-40B4-BE49-F238E27FC236}">
              <a16:creationId xmlns:a16="http://schemas.microsoft.com/office/drawing/2014/main" id="{00000000-0008-0000-0400-00004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a:extLst>
            <a:ext uri="{FF2B5EF4-FFF2-40B4-BE49-F238E27FC236}">
              <a16:creationId xmlns:a16="http://schemas.microsoft.com/office/drawing/2014/main" id="{00000000-0008-0000-0400-00004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a:extLst>
            <a:ext uri="{FF2B5EF4-FFF2-40B4-BE49-F238E27FC236}">
              <a16:creationId xmlns:a16="http://schemas.microsoft.com/office/drawing/2014/main" id="{00000000-0008-0000-0400-00005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a:extLst>
            <a:ext uri="{FF2B5EF4-FFF2-40B4-BE49-F238E27FC236}">
              <a16:creationId xmlns:a16="http://schemas.microsoft.com/office/drawing/2014/main" id="{00000000-0008-0000-0400-00005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a:extLst>
            <a:ext uri="{FF2B5EF4-FFF2-40B4-BE49-F238E27FC236}">
              <a16:creationId xmlns:a16="http://schemas.microsoft.com/office/drawing/2014/main" id="{00000000-0008-0000-0400-00005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a:extLst>
            <a:ext uri="{FF2B5EF4-FFF2-40B4-BE49-F238E27FC236}">
              <a16:creationId xmlns:a16="http://schemas.microsoft.com/office/drawing/2014/main" id="{00000000-0008-0000-0400-00005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a:extLst>
            <a:ext uri="{FF2B5EF4-FFF2-40B4-BE49-F238E27FC236}">
              <a16:creationId xmlns:a16="http://schemas.microsoft.com/office/drawing/2014/main" id="{00000000-0008-0000-0400-00005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a:extLst>
            <a:ext uri="{FF2B5EF4-FFF2-40B4-BE49-F238E27FC236}">
              <a16:creationId xmlns:a16="http://schemas.microsoft.com/office/drawing/2014/main" id="{00000000-0008-0000-0400-00005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a:extLst>
            <a:ext uri="{FF2B5EF4-FFF2-40B4-BE49-F238E27FC236}">
              <a16:creationId xmlns:a16="http://schemas.microsoft.com/office/drawing/2014/main" id="{00000000-0008-0000-0400-00005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a:extLst>
            <a:ext uri="{FF2B5EF4-FFF2-40B4-BE49-F238E27FC236}">
              <a16:creationId xmlns:a16="http://schemas.microsoft.com/office/drawing/2014/main" id="{00000000-0008-0000-0400-00005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a:extLst>
            <a:ext uri="{FF2B5EF4-FFF2-40B4-BE49-F238E27FC236}">
              <a16:creationId xmlns:a16="http://schemas.microsoft.com/office/drawing/2014/main" id="{00000000-0008-0000-0400-00005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a:extLst>
            <a:ext uri="{FF2B5EF4-FFF2-40B4-BE49-F238E27FC236}">
              <a16:creationId xmlns:a16="http://schemas.microsoft.com/office/drawing/2014/main" id="{00000000-0008-0000-0400-00005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a:extLst>
            <a:ext uri="{FF2B5EF4-FFF2-40B4-BE49-F238E27FC236}">
              <a16:creationId xmlns:a16="http://schemas.microsoft.com/office/drawing/2014/main" id="{00000000-0008-0000-0400-00005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a:extLst>
            <a:ext uri="{FF2B5EF4-FFF2-40B4-BE49-F238E27FC236}">
              <a16:creationId xmlns:a16="http://schemas.microsoft.com/office/drawing/2014/main" id="{00000000-0008-0000-0400-00005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a:extLst>
            <a:ext uri="{FF2B5EF4-FFF2-40B4-BE49-F238E27FC236}">
              <a16:creationId xmlns:a16="http://schemas.microsoft.com/office/drawing/2014/main" id="{00000000-0008-0000-0400-00005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a:extLst>
            <a:ext uri="{FF2B5EF4-FFF2-40B4-BE49-F238E27FC236}">
              <a16:creationId xmlns:a16="http://schemas.microsoft.com/office/drawing/2014/main" id="{00000000-0008-0000-0400-00005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a:extLst>
            <a:ext uri="{FF2B5EF4-FFF2-40B4-BE49-F238E27FC236}">
              <a16:creationId xmlns:a16="http://schemas.microsoft.com/office/drawing/2014/main" id="{00000000-0008-0000-0400-00005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a:extLst>
            <a:ext uri="{FF2B5EF4-FFF2-40B4-BE49-F238E27FC236}">
              <a16:creationId xmlns:a16="http://schemas.microsoft.com/office/drawing/2014/main" id="{00000000-0008-0000-0400-00005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a:extLst>
            <a:ext uri="{FF2B5EF4-FFF2-40B4-BE49-F238E27FC236}">
              <a16:creationId xmlns:a16="http://schemas.microsoft.com/office/drawing/2014/main" id="{00000000-0008-0000-0400-00006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a:extLst>
            <a:ext uri="{FF2B5EF4-FFF2-40B4-BE49-F238E27FC236}">
              <a16:creationId xmlns:a16="http://schemas.microsoft.com/office/drawing/2014/main" id="{00000000-0008-0000-0400-00006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a:extLst>
            <a:ext uri="{FF2B5EF4-FFF2-40B4-BE49-F238E27FC236}">
              <a16:creationId xmlns:a16="http://schemas.microsoft.com/office/drawing/2014/main" id="{00000000-0008-0000-0400-00006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a:extLst>
            <a:ext uri="{FF2B5EF4-FFF2-40B4-BE49-F238E27FC236}">
              <a16:creationId xmlns:a16="http://schemas.microsoft.com/office/drawing/2014/main" id="{00000000-0008-0000-0400-00006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a:extLst>
            <a:ext uri="{FF2B5EF4-FFF2-40B4-BE49-F238E27FC236}">
              <a16:creationId xmlns:a16="http://schemas.microsoft.com/office/drawing/2014/main" id="{00000000-0008-0000-0400-00006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a:extLst>
            <a:ext uri="{FF2B5EF4-FFF2-40B4-BE49-F238E27FC236}">
              <a16:creationId xmlns:a16="http://schemas.microsoft.com/office/drawing/2014/main" id="{00000000-0008-0000-0400-00006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a:extLst>
            <a:ext uri="{FF2B5EF4-FFF2-40B4-BE49-F238E27FC236}">
              <a16:creationId xmlns:a16="http://schemas.microsoft.com/office/drawing/2014/main" id="{00000000-0008-0000-0400-00006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a:extLst>
            <a:ext uri="{FF2B5EF4-FFF2-40B4-BE49-F238E27FC236}">
              <a16:creationId xmlns:a16="http://schemas.microsoft.com/office/drawing/2014/main" id="{00000000-0008-0000-0400-00006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a:extLst>
            <a:ext uri="{FF2B5EF4-FFF2-40B4-BE49-F238E27FC236}">
              <a16:creationId xmlns:a16="http://schemas.microsoft.com/office/drawing/2014/main" id="{00000000-0008-0000-0400-00006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a:extLst>
            <a:ext uri="{FF2B5EF4-FFF2-40B4-BE49-F238E27FC236}">
              <a16:creationId xmlns:a16="http://schemas.microsoft.com/office/drawing/2014/main" id="{00000000-0008-0000-0400-00006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a:extLst>
            <a:ext uri="{FF2B5EF4-FFF2-40B4-BE49-F238E27FC236}">
              <a16:creationId xmlns:a16="http://schemas.microsoft.com/office/drawing/2014/main" id="{00000000-0008-0000-0400-00006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a:extLst>
            <a:ext uri="{FF2B5EF4-FFF2-40B4-BE49-F238E27FC236}">
              <a16:creationId xmlns:a16="http://schemas.microsoft.com/office/drawing/2014/main" id="{00000000-0008-0000-0400-00006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a:extLst>
            <a:ext uri="{FF2B5EF4-FFF2-40B4-BE49-F238E27FC236}">
              <a16:creationId xmlns:a16="http://schemas.microsoft.com/office/drawing/2014/main" id="{00000000-0008-0000-0400-00006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a:extLst>
            <a:ext uri="{FF2B5EF4-FFF2-40B4-BE49-F238E27FC236}">
              <a16:creationId xmlns:a16="http://schemas.microsoft.com/office/drawing/2014/main" id="{00000000-0008-0000-0400-00006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a:extLst>
            <a:ext uri="{FF2B5EF4-FFF2-40B4-BE49-F238E27FC236}">
              <a16:creationId xmlns:a16="http://schemas.microsoft.com/office/drawing/2014/main" id="{00000000-0008-0000-0400-00006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a:extLst>
            <a:ext uri="{FF2B5EF4-FFF2-40B4-BE49-F238E27FC236}">
              <a16:creationId xmlns:a16="http://schemas.microsoft.com/office/drawing/2014/main" id="{00000000-0008-0000-0400-00006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a:extLst>
            <a:ext uri="{FF2B5EF4-FFF2-40B4-BE49-F238E27FC236}">
              <a16:creationId xmlns:a16="http://schemas.microsoft.com/office/drawing/2014/main" id="{00000000-0008-0000-0400-00007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a:extLst>
            <a:ext uri="{FF2B5EF4-FFF2-40B4-BE49-F238E27FC236}">
              <a16:creationId xmlns:a16="http://schemas.microsoft.com/office/drawing/2014/main" id="{00000000-0008-0000-0400-00007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a:extLst>
            <a:ext uri="{FF2B5EF4-FFF2-40B4-BE49-F238E27FC236}">
              <a16:creationId xmlns:a16="http://schemas.microsoft.com/office/drawing/2014/main" id="{00000000-0008-0000-0400-00007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a:extLst>
            <a:ext uri="{FF2B5EF4-FFF2-40B4-BE49-F238E27FC236}">
              <a16:creationId xmlns:a16="http://schemas.microsoft.com/office/drawing/2014/main" id="{00000000-0008-0000-0400-00007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a:extLst>
            <a:ext uri="{FF2B5EF4-FFF2-40B4-BE49-F238E27FC236}">
              <a16:creationId xmlns:a16="http://schemas.microsoft.com/office/drawing/2014/main" id="{00000000-0008-0000-0400-00007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a:extLst>
            <a:ext uri="{FF2B5EF4-FFF2-40B4-BE49-F238E27FC236}">
              <a16:creationId xmlns:a16="http://schemas.microsoft.com/office/drawing/2014/main" id="{00000000-0008-0000-0400-00007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a:extLst>
            <a:ext uri="{FF2B5EF4-FFF2-40B4-BE49-F238E27FC236}">
              <a16:creationId xmlns:a16="http://schemas.microsoft.com/office/drawing/2014/main" id="{00000000-0008-0000-0400-00007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a:extLst>
            <a:ext uri="{FF2B5EF4-FFF2-40B4-BE49-F238E27FC236}">
              <a16:creationId xmlns:a16="http://schemas.microsoft.com/office/drawing/2014/main" id="{00000000-0008-0000-0400-00007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a:extLst>
            <a:ext uri="{FF2B5EF4-FFF2-40B4-BE49-F238E27FC236}">
              <a16:creationId xmlns:a16="http://schemas.microsoft.com/office/drawing/2014/main" id="{00000000-0008-0000-0400-00007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a:extLst>
            <a:ext uri="{FF2B5EF4-FFF2-40B4-BE49-F238E27FC236}">
              <a16:creationId xmlns:a16="http://schemas.microsoft.com/office/drawing/2014/main" id="{00000000-0008-0000-0400-00007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a:extLst>
            <a:ext uri="{FF2B5EF4-FFF2-40B4-BE49-F238E27FC236}">
              <a16:creationId xmlns:a16="http://schemas.microsoft.com/office/drawing/2014/main" id="{00000000-0008-0000-0400-00007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a:extLst>
            <a:ext uri="{FF2B5EF4-FFF2-40B4-BE49-F238E27FC236}">
              <a16:creationId xmlns:a16="http://schemas.microsoft.com/office/drawing/2014/main" id="{00000000-0008-0000-0400-00007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a:extLst>
            <a:ext uri="{FF2B5EF4-FFF2-40B4-BE49-F238E27FC236}">
              <a16:creationId xmlns:a16="http://schemas.microsoft.com/office/drawing/2014/main" id="{00000000-0008-0000-0400-00007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a:extLst>
            <a:ext uri="{FF2B5EF4-FFF2-40B4-BE49-F238E27FC236}">
              <a16:creationId xmlns:a16="http://schemas.microsoft.com/office/drawing/2014/main" id="{00000000-0008-0000-0400-00007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a:extLst>
            <a:ext uri="{FF2B5EF4-FFF2-40B4-BE49-F238E27FC236}">
              <a16:creationId xmlns:a16="http://schemas.microsoft.com/office/drawing/2014/main" id="{00000000-0008-0000-0400-00007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a:extLst>
            <a:ext uri="{FF2B5EF4-FFF2-40B4-BE49-F238E27FC236}">
              <a16:creationId xmlns:a16="http://schemas.microsoft.com/office/drawing/2014/main" id="{00000000-0008-0000-0400-00007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a:extLst>
            <a:ext uri="{FF2B5EF4-FFF2-40B4-BE49-F238E27FC236}">
              <a16:creationId xmlns:a16="http://schemas.microsoft.com/office/drawing/2014/main" id="{00000000-0008-0000-0400-00008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a:extLst>
            <a:ext uri="{FF2B5EF4-FFF2-40B4-BE49-F238E27FC236}">
              <a16:creationId xmlns:a16="http://schemas.microsoft.com/office/drawing/2014/main" id="{00000000-0008-0000-0400-00008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a:extLst>
            <a:ext uri="{FF2B5EF4-FFF2-40B4-BE49-F238E27FC236}">
              <a16:creationId xmlns:a16="http://schemas.microsoft.com/office/drawing/2014/main" id="{00000000-0008-0000-0400-00008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a:extLst>
            <a:ext uri="{FF2B5EF4-FFF2-40B4-BE49-F238E27FC236}">
              <a16:creationId xmlns:a16="http://schemas.microsoft.com/office/drawing/2014/main" id="{00000000-0008-0000-0400-00008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a:extLst>
            <a:ext uri="{FF2B5EF4-FFF2-40B4-BE49-F238E27FC236}">
              <a16:creationId xmlns:a16="http://schemas.microsoft.com/office/drawing/2014/main" id="{00000000-0008-0000-0400-00008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a:extLst>
            <a:ext uri="{FF2B5EF4-FFF2-40B4-BE49-F238E27FC236}">
              <a16:creationId xmlns:a16="http://schemas.microsoft.com/office/drawing/2014/main" id="{00000000-0008-0000-0400-00008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a:extLst>
            <a:ext uri="{FF2B5EF4-FFF2-40B4-BE49-F238E27FC236}">
              <a16:creationId xmlns:a16="http://schemas.microsoft.com/office/drawing/2014/main" id="{00000000-0008-0000-0400-00008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a:extLst>
            <a:ext uri="{FF2B5EF4-FFF2-40B4-BE49-F238E27FC236}">
              <a16:creationId xmlns:a16="http://schemas.microsoft.com/office/drawing/2014/main" id="{00000000-0008-0000-0400-00008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a:extLst>
            <a:ext uri="{FF2B5EF4-FFF2-40B4-BE49-F238E27FC236}">
              <a16:creationId xmlns:a16="http://schemas.microsoft.com/office/drawing/2014/main" id="{00000000-0008-0000-0400-00008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a:extLst>
            <a:ext uri="{FF2B5EF4-FFF2-40B4-BE49-F238E27FC236}">
              <a16:creationId xmlns:a16="http://schemas.microsoft.com/office/drawing/2014/main" id="{00000000-0008-0000-0400-00008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a:extLst>
            <a:ext uri="{FF2B5EF4-FFF2-40B4-BE49-F238E27FC236}">
              <a16:creationId xmlns:a16="http://schemas.microsoft.com/office/drawing/2014/main" id="{00000000-0008-0000-0400-00008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a:extLst>
            <a:ext uri="{FF2B5EF4-FFF2-40B4-BE49-F238E27FC236}">
              <a16:creationId xmlns:a16="http://schemas.microsoft.com/office/drawing/2014/main" id="{00000000-0008-0000-0400-00008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a:extLst>
            <a:ext uri="{FF2B5EF4-FFF2-40B4-BE49-F238E27FC236}">
              <a16:creationId xmlns:a16="http://schemas.microsoft.com/office/drawing/2014/main" id="{00000000-0008-0000-0400-00008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a:extLst>
            <a:ext uri="{FF2B5EF4-FFF2-40B4-BE49-F238E27FC236}">
              <a16:creationId xmlns:a16="http://schemas.microsoft.com/office/drawing/2014/main" id="{00000000-0008-0000-0400-00008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a:extLst>
            <a:ext uri="{FF2B5EF4-FFF2-40B4-BE49-F238E27FC236}">
              <a16:creationId xmlns:a16="http://schemas.microsoft.com/office/drawing/2014/main" id="{00000000-0008-0000-0400-00008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a:extLst>
            <a:ext uri="{FF2B5EF4-FFF2-40B4-BE49-F238E27FC236}">
              <a16:creationId xmlns:a16="http://schemas.microsoft.com/office/drawing/2014/main" id="{00000000-0008-0000-0400-00008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a:extLst>
            <a:ext uri="{FF2B5EF4-FFF2-40B4-BE49-F238E27FC236}">
              <a16:creationId xmlns:a16="http://schemas.microsoft.com/office/drawing/2014/main" id="{00000000-0008-0000-0400-00009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a:extLst>
            <a:ext uri="{FF2B5EF4-FFF2-40B4-BE49-F238E27FC236}">
              <a16:creationId xmlns:a16="http://schemas.microsoft.com/office/drawing/2014/main" id="{00000000-0008-0000-0400-00009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a:extLst>
            <a:ext uri="{FF2B5EF4-FFF2-40B4-BE49-F238E27FC236}">
              <a16:creationId xmlns:a16="http://schemas.microsoft.com/office/drawing/2014/main" id="{00000000-0008-0000-0400-00009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a:extLst>
            <a:ext uri="{FF2B5EF4-FFF2-40B4-BE49-F238E27FC236}">
              <a16:creationId xmlns:a16="http://schemas.microsoft.com/office/drawing/2014/main" id="{00000000-0008-0000-0400-00009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a:extLst>
            <a:ext uri="{FF2B5EF4-FFF2-40B4-BE49-F238E27FC236}">
              <a16:creationId xmlns:a16="http://schemas.microsoft.com/office/drawing/2014/main" id="{00000000-0008-0000-0400-00009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a:extLst>
            <a:ext uri="{FF2B5EF4-FFF2-40B4-BE49-F238E27FC236}">
              <a16:creationId xmlns:a16="http://schemas.microsoft.com/office/drawing/2014/main" id="{00000000-0008-0000-0400-00009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a:extLst>
            <a:ext uri="{FF2B5EF4-FFF2-40B4-BE49-F238E27FC236}">
              <a16:creationId xmlns:a16="http://schemas.microsoft.com/office/drawing/2014/main" id="{00000000-0008-0000-0400-00009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a:extLst>
            <a:ext uri="{FF2B5EF4-FFF2-40B4-BE49-F238E27FC236}">
              <a16:creationId xmlns:a16="http://schemas.microsoft.com/office/drawing/2014/main" id="{00000000-0008-0000-0400-00009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a:extLst>
            <a:ext uri="{FF2B5EF4-FFF2-40B4-BE49-F238E27FC236}">
              <a16:creationId xmlns:a16="http://schemas.microsoft.com/office/drawing/2014/main" id="{00000000-0008-0000-0400-00009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a:extLst>
            <a:ext uri="{FF2B5EF4-FFF2-40B4-BE49-F238E27FC236}">
              <a16:creationId xmlns:a16="http://schemas.microsoft.com/office/drawing/2014/main" id="{00000000-0008-0000-0400-00009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a:extLst>
            <a:ext uri="{FF2B5EF4-FFF2-40B4-BE49-F238E27FC236}">
              <a16:creationId xmlns:a16="http://schemas.microsoft.com/office/drawing/2014/main" id="{00000000-0008-0000-0400-00009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a:extLst>
            <a:ext uri="{FF2B5EF4-FFF2-40B4-BE49-F238E27FC236}">
              <a16:creationId xmlns:a16="http://schemas.microsoft.com/office/drawing/2014/main" id="{00000000-0008-0000-0400-00009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a:extLst>
            <a:ext uri="{FF2B5EF4-FFF2-40B4-BE49-F238E27FC236}">
              <a16:creationId xmlns:a16="http://schemas.microsoft.com/office/drawing/2014/main" id="{00000000-0008-0000-0400-00009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a:extLst>
            <a:ext uri="{FF2B5EF4-FFF2-40B4-BE49-F238E27FC236}">
              <a16:creationId xmlns:a16="http://schemas.microsoft.com/office/drawing/2014/main" id="{00000000-0008-0000-0400-00009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a:extLst>
            <a:ext uri="{FF2B5EF4-FFF2-40B4-BE49-F238E27FC236}">
              <a16:creationId xmlns:a16="http://schemas.microsoft.com/office/drawing/2014/main" id="{00000000-0008-0000-0400-00009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a:extLst>
            <a:ext uri="{FF2B5EF4-FFF2-40B4-BE49-F238E27FC236}">
              <a16:creationId xmlns:a16="http://schemas.microsoft.com/office/drawing/2014/main" id="{00000000-0008-0000-0400-00009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a:extLst>
            <a:ext uri="{FF2B5EF4-FFF2-40B4-BE49-F238E27FC236}">
              <a16:creationId xmlns:a16="http://schemas.microsoft.com/office/drawing/2014/main" id="{00000000-0008-0000-0400-0000A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a:extLst>
            <a:ext uri="{FF2B5EF4-FFF2-40B4-BE49-F238E27FC236}">
              <a16:creationId xmlns:a16="http://schemas.microsoft.com/office/drawing/2014/main" id="{00000000-0008-0000-0400-0000A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a:extLst>
            <a:ext uri="{FF2B5EF4-FFF2-40B4-BE49-F238E27FC236}">
              <a16:creationId xmlns:a16="http://schemas.microsoft.com/office/drawing/2014/main" id="{00000000-0008-0000-0400-0000A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a:extLst>
            <a:ext uri="{FF2B5EF4-FFF2-40B4-BE49-F238E27FC236}">
              <a16:creationId xmlns:a16="http://schemas.microsoft.com/office/drawing/2014/main" id="{00000000-0008-0000-0400-0000A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a:extLst>
            <a:ext uri="{FF2B5EF4-FFF2-40B4-BE49-F238E27FC236}">
              <a16:creationId xmlns:a16="http://schemas.microsoft.com/office/drawing/2014/main" id="{00000000-0008-0000-0400-0000A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a:extLst>
            <a:ext uri="{FF2B5EF4-FFF2-40B4-BE49-F238E27FC236}">
              <a16:creationId xmlns:a16="http://schemas.microsoft.com/office/drawing/2014/main" id="{00000000-0008-0000-0400-0000A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a:extLst>
            <a:ext uri="{FF2B5EF4-FFF2-40B4-BE49-F238E27FC236}">
              <a16:creationId xmlns:a16="http://schemas.microsoft.com/office/drawing/2014/main" id="{00000000-0008-0000-0400-0000A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a:extLst>
            <a:ext uri="{FF2B5EF4-FFF2-40B4-BE49-F238E27FC236}">
              <a16:creationId xmlns:a16="http://schemas.microsoft.com/office/drawing/2014/main" id="{00000000-0008-0000-0400-0000A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a:extLst>
            <a:ext uri="{FF2B5EF4-FFF2-40B4-BE49-F238E27FC236}">
              <a16:creationId xmlns:a16="http://schemas.microsoft.com/office/drawing/2014/main" id="{00000000-0008-0000-0400-0000A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a:extLst>
            <a:ext uri="{FF2B5EF4-FFF2-40B4-BE49-F238E27FC236}">
              <a16:creationId xmlns:a16="http://schemas.microsoft.com/office/drawing/2014/main" id="{00000000-0008-0000-0400-0000A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a:extLst>
            <a:ext uri="{FF2B5EF4-FFF2-40B4-BE49-F238E27FC236}">
              <a16:creationId xmlns:a16="http://schemas.microsoft.com/office/drawing/2014/main" id="{00000000-0008-0000-0400-0000A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a:extLst>
            <a:ext uri="{FF2B5EF4-FFF2-40B4-BE49-F238E27FC236}">
              <a16:creationId xmlns:a16="http://schemas.microsoft.com/office/drawing/2014/main" id="{00000000-0008-0000-0400-0000A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a:extLst>
            <a:ext uri="{FF2B5EF4-FFF2-40B4-BE49-F238E27FC236}">
              <a16:creationId xmlns:a16="http://schemas.microsoft.com/office/drawing/2014/main" id="{00000000-0008-0000-0400-0000A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a:extLst>
            <a:ext uri="{FF2B5EF4-FFF2-40B4-BE49-F238E27FC236}">
              <a16:creationId xmlns:a16="http://schemas.microsoft.com/office/drawing/2014/main" id="{00000000-0008-0000-0400-0000A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a:extLst>
            <a:ext uri="{FF2B5EF4-FFF2-40B4-BE49-F238E27FC236}">
              <a16:creationId xmlns:a16="http://schemas.microsoft.com/office/drawing/2014/main" id="{00000000-0008-0000-0400-0000A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a:extLst>
            <a:ext uri="{FF2B5EF4-FFF2-40B4-BE49-F238E27FC236}">
              <a16:creationId xmlns:a16="http://schemas.microsoft.com/office/drawing/2014/main" id="{00000000-0008-0000-0400-0000A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a:extLst>
            <a:ext uri="{FF2B5EF4-FFF2-40B4-BE49-F238E27FC236}">
              <a16:creationId xmlns:a16="http://schemas.microsoft.com/office/drawing/2014/main" id="{00000000-0008-0000-0400-0000B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a:extLst>
            <a:ext uri="{FF2B5EF4-FFF2-40B4-BE49-F238E27FC236}">
              <a16:creationId xmlns:a16="http://schemas.microsoft.com/office/drawing/2014/main" id="{00000000-0008-0000-0400-0000B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a:extLst>
            <a:ext uri="{FF2B5EF4-FFF2-40B4-BE49-F238E27FC236}">
              <a16:creationId xmlns:a16="http://schemas.microsoft.com/office/drawing/2014/main" id="{00000000-0008-0000-0400-0000B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a:extLst>
            <a:ext uri="{FF2B5EF4-FFF2-40B4-BE49-F238E27FC236}">
              <a16:creationId xmlns:a16="http://schemas.microsoft.com/office/drawing/2014/main" id="{00000000-0008-0000-0400-0000B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a:extLst>
            <a:ext uri="{FF2B5EF4-FFF2-40B4-BE49-F238E27FC236}">
              <a16:creationId xmlns:a16="http://schemas.microsoft.com/office/drawing/2014/main" id="{00000000-0008-0000-0400-0000B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a:extLst>
            <a:ext uri="{FF2B5EF4-FFF2-40B4-BE49-F238E27FC236}">
              <a16:creationId xmlns:a16="http://schemas.microsoft.com/office/drawing/2014/main" id="{00000000-0008-0000-0400-0000B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a:extLst>
            <a:ext uri="{FF2B5EF4-FFF2-40B4-BE49-F238E27FC236}">
              <a16:creationId xmlns:a16="http://schemas.microsoft.com/office/drawing/2014/main" id="{00000000-0008-0000-0400-0000B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a:extLst>
            <a:ext uri="{FF2B5EF4-FFF2-40B4-BE49-F238E27FC236}">
              <a16:creationId xmlns:a16="http://schemas.microsoft.com/office/drawing/2014/main" id="{00000000-0008-0000-0400-0000B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a:extLst>
            <a:ext uri="{FF2B5EF4-FFF2-40B4-BE49-F238E27FC236}">
              <a16:creationId xmlns:a16="http://schemas.microsoft.com/office/drawing/2014/main" id="{00000000-0008-0000-0400-0000B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a:extLst>
            <a:ext uri="{FF2B5EF4-FFF2-40B4-BE49-F238E27FC236}">
              <a16:creationId xmlns:a16="http://schemas.microsoft.com/office/drawing/2014/main" id="{00000000-0008-0000-0400-0000B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a:extLst>
            <a:ext uri="{FF2B5EF4-FFF2-40B4-BE49-F238E27FC236}">
              <a16:creationId xmlns:a16="http://schemas.microsoft.com/office/drawing/2014/main" id="{00000000-0008-0000-0400-0000B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a:extLst>
            <a:ext uri="{FF2B5EF4-FFF2-40B4-BE49-F238E27FC236}">
              <a16:creationId xmlns:a16="http://schemas.microsoft.com/office/drawing/2014/main" id="{00000000-0008-0000-0400-0000B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a:extLst>
            <a:ext uri="{FF2B5EF4-FFF2-40B4-BE49-F238E27FC236}">
              <a16:creationId xmlns:a16="http://schemas.microsoft.com/office/drawing/2014/main" id="{00000000-0008-0000-0400-0000B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a:extLst>
            <a:ext uri="{FF2B5EF4-FFF2-40B4-BE49-F238E27FC236}">
              <a16:creationId xmlns:a16="http://schemas.microsoft.com/office/drawing/2014/main" id="{00000000-0008-0000-0400-0000B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a:extLst>
            <a:ext uri="{FF2B5EF4-FFF2-40B4-BE49-F238E27FC236}">
              <a16:creationId xmlns:a16="http://schemas.microsoft.com/office/drawing/2014/main" id="{00000000-0008-0000-0400-0000B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a:extLst>
            <a:ext uri="{FF2B5EF4-FFF2-40B4-BE49-F238E27FC236}">
              <a16:creationId xmlns:a16="http://schemas.microsoft.com/office/drawing/2014/main" id="{00000000-0008-0000-0400-0000B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a:extLst>
            <a:ext uri="{FF2B5EF4-FFF2-40B4-BE49-F238E27FC236}">
              <a16:creationId xmlns:a16="http://schemas.microsoft.com/office/drawing/2014/main" id="{00000000-0008-0000-0400-0000C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a:extLst>
            <a:ext uri="{FF2B5EF4-FFF2-40B4-BE49-F238E27FC236}">
              <a16:creationId xmlns:a16="http://schemas.microsoft.com/office/drawing/2014/main" id="{00000000-0008-0000-0400-0000C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a:extLst>
            <a:ext uri="{FF2B5EF4-FFF2-40B4-BE49-F238E27FC236}">
              <a16:creationId xmlns:a16="http://schemas.microsoft.com/office/drawing/2014/main" id="{00000000-0008-0000-0400-0000C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a:extLst>
            <a:ext uri="{FF2B5EF4-FFF2-40B4-BE49-F238E27FC236}">
              <a16:creationId xmlns:a16="http://schemas.microsoft.com/office/drawing/2014/main" id="{00000000-0008-0000-0400-0000C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a:extLst>
            <a:ext uri="{FF2B5EF4-FFF2-40B4-BE49-F238E27FC236}">
              <a16:creationId xmlns:a16="http://schemas.microsoft.com/office/drawing/2014/main" id="{00000000-0008-0000-0400-0000C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a:extLst>
            <a:ext uri="{FF2B5EF4-FFF2-40B4-BE49-F238E27FC236}">
              <a16:creationId xmlns:a16="http://schemas.microsoft.com/office/drawing/2014/main" id="{00000000-0008-0000-0400-0000C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a:extLst>
            <a:ext uri="{FF2B5EF4-FFF2-40B4-BE49-F238E27FC236}">
              <a16:creationId xmlns:a16="http://schemas.microsoft.com/office/drawing/2014/main" id="{00000000-0008-0000-0400-0000C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a:extLst>
            <a:ext uri="{FF2B5EF4-FFF2-40B4-BE49-F238E27FC236}">
              <a16:creationId xmlns:a16="http://schemas.microsoft.com/office/drawing/2014/main" id="{00000000-0008-0000-0400-0000C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a:extLst>
            <a:ext uri="{FF2B5EF4-FFF2-40B4-BE49-F238E27FC236}">
              <a16:creationId xmlns:a16="http://schemas.microsoft.com/office/drawing/2014/main" id="{00000000-0008-0000-0400-0000C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a:extLst>
            <a:ext uri="{FF2B5EF4-FFF2-40B4-BE49-F238E27FC236}">
              <a16:creationId xmlns:a16="http://schemas.microsoft.com/office/drawing/2014/main" id="{00000000-0008-0000-0400-0000C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a:extLst>
            <a:ext uri="{FF2B5EF4-FFF2-40B4-BE49-F238E27FC236}">
              <a16:creationId xmlns:a16="http://schemas.microsoft.com/office/drawing/2014/main" id="{00000000-0008-0000-0400-0000C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a:extLst>
            <a:ext uri="{FF2B5EF4-FFF2-40B4-BE49-F238E27FC236}">
              <a16:creationId xmlns:a16="http://schemas.microsoft.com/office/drawing/2014/main" id="{00000000-0008-0000-0400-0000C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a:extLst>
            <a:ext uri="{FF2B5EF4-FFF2-40B4-BE49-F238E27FC236}">
              <a16:creationId xmlns:a16="http://schemas.microsoft.com/office/drawing/2014/main" id="{00000000-0008-0000-0400-0000C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a:extLst>
            <a:ext uri="{FF2B5EF4-FFF2-40B4-BE49-F238E27FC236}">
              <a16:creationId xmlns:a16="http://schemas.microsoft.com/office/drawing/2014/main" id="{00000000-0008-0000-0400-0000C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a:extLst>
            <a:ext uri="{FF2B5EF4-FFF2-40B4-BE49-F238E27FC236}">
              <a16:creationId xmlns:a16="http://schemas.microsoft.com/office/drawing/2014/main" id="{00000000-0008-0000-0400-0000C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a:extLst>
            <a:ext uri="{FF2B5EF4-FFF2-40B4-BE49-F238E27FC236}">
              <a16:creationId xmlns:a16="http://schemas.microsoft.com/office/drawing/2014/main" id="{00000000-0008-0000-0400-0000C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a:extLst>
            <a:ext uri="{FF2B5EF4-FFF2-40B4-BE49-F238E27FC236}">
              <a16:creationId xmlns:a16="http://schemas.microsoft.com/office/drawing/2014/main" id="{00000000-0008-0000-0400-0000D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a:extLst>
            <a:ext uri="{FF2B5EF4-FFF2-40B4-BE49-F238E27FC236}">
              <a16:creationId xmlns:a16="http://schemas.microsoft.com/office/drawing/2014/main" id="{00000000-0008-0000-0400-0000D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a:extLst>
            <a:ext uri="{FF2B5EF4-FFF2-40B4-BE49-F238E27FC236}">
              <a16:creationId xmlns:a16="http://schemas.microsoft.com/office/drawing/2014/main" id="{00000000-0008-0000-0400-0000D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a:extLst>
            <a:ext uri="{FF2B5EF4-FFF2-40B4-BE49-F238E27FC236}">
              <a16:creationId xmlns:a16="http://schemas.microsoft.com/office/drawing/2014/main" id="{00000000-0008-0000-0400-0000D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a:extLst>
            <a:ext uri="{FF2B5EF4-FFF2-40B4-BE49-F238E27FC236}">
              <a16:creationId xmlns:a16="http://schemas.microsoft.com/office/drawing/2014/main" id="{00000000-0008-0000-0400-0000D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a:extLst>
            <a:ext uri="{FF2B5EF4-FFF2-40B4-BE49-F238E27FC236}">
              <a16:creationId xmlns:a16="http://schemas.microsoft.com/office/drawing/2014/main" id="{00000000-0008-0000-0400-0000D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a:extLst>
            <a:ext uri="{FF2B5EF4-FFF2-40B4-BE49-F238E27FC236}">
              <a16:creationId xmlns:a16="http://schemas.microsoft.com/office/drawing/2014/main" id="{00000000-0008-0000-0400-0000D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a:extLst>
            <a:ext uri="{FF2B5EF4-FFF2-40B4-BE49-F238E27FC236}">
              <a16:creationId xmlns:a16="http://schemas.microsoft.com/office/drawing/2014/main" id="{00000000-0008-0000-0400-0000D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a:extLst>
            <a:ext uri="{FF2B5EF4-FFF2-40B4-BE49-F238E27FC236}">
              <a16:creationId xmlns:a16="http://schemas.microsoft.com/office/drawing/2014/main" id="{00000000-0008-0000-0400-0000D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a:extLst>
            <a:ext uri="{FF2B5EF4-FFF2-40B4-BE49-F238E27FC236}">
              <a16:creationId xmlns:a16="http://schemas.microsoft.com/office/drawing/2014/main" id="{00000000-0008-0000-0400-0000D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a:extLst>
            <a:ext uri="{FF2B5EF4-FFF2-40B4-BE49-F238E27FC236}">
              <a16:creationId xmlns:a16="http://schemas.microsoft.com/office/drawing/2014/main" id="{00000000-0008-0000-0400-0000D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a:extLst>
            <a:ext uri="{FF2B5EF4-FFF2-40B4-BE49-F238E27FC236}">
              <a16:creationId xmlns:a16="http://schemas.microsoft.com/office/drawing/2014/main" id="{00000000-0008-0000-0400-0000D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a:extLst>
            <a:ext uri="{FF2B5EF4-FFF2-40B4-BE49-F238E27FC236}">
              <a16:creationId xmlns:a16="http://schemas.microsoft.com/office/drawing/2014/main" id="{00000000-0008-0000-0400-0000D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a:extLst>
            <a:ext uri="{FF2B5EF4-FFF2-40B4-BE49-F238E27FC236}">
              <a16:creationId xmlns:a16="http://schemas.microsoft.com/office/drawing/2014/main" id="{00000000-0008-0000-0400-0000D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a:extLst>
            <a:ext uri="{FF2B5EF4-FFF2-40B4-BE49-F238E27FC236}">
              <a16:creationId xmlns:a16="http://schemas.microsoft.com/office/drawing/2014/main" id="{00000000-0008-0000-0400-0000D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a:extLst>
            <a:ext uri="{FF2B5EF4-FFF2-40B4-BE49-F238E27FC236}">
              <a16:creationId xmlns:a16="http://schemas.microsoft.com/office/drawing/2014/main" id="{00000000-0008-0000-0400-0000D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a:extLst>
            <a:ext uri="{FF2B5EF4-FFF2-40B4-BE49-F238E27FC236}">
              <a16:creationId xmlns:a16="http://schemas.microsoft.com/office/drawing/2014/main" id="{00000000-0008-0000-0400-0000E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a:extLst>
            <a:ext uri="{FF2B5EF4-FFF2-40B4-BE49-F238E27FC236}">
              <a16:creationId xmlns:a16="http://schemas.microsoft.com/office/drawing/2014/main" id="{00000000-0008-0000-0400-0000E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a:extLst>
            <a:ext uri="{FF2B5EF4-FFF2-40B4-BE49-F238E27FC236}">
              <a16:creationId xmlns:a16="http://schemas.microsoft.com/office/drawing/2014/main" id="{00000000-0008-0000-0400-0000E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a:extLst>
            <a:ext uri="{FF2B5EF4-FFF2-40B4-BE49-F238E27FC236}">
              <a16:creationId xmlns:a16="http://schemas.microsoft.com/office/drawing/2014/main" id="{00000000-0008-0000-0400-0000E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a:extLst>
            <a:ext uri="{FF2B5EF4-FFF2-40B4-BE49-F238E27FC236}">
              <a16:creationId xmlns:a16="http://schemas.microsoft.com/office/drawing/2014/main" id="{00000000-0008-0000-0400-0000E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a:extLst>
            <a:ext uri="{FF2B5EF4-FFF2-40B4-BE49-F238E27FC236}">
              <a16:creationId xmlns:a16="http://schemas.microsoft.com/office/drawing/2014/main" id="{00000000-0008-0000-0400-0000E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a:extLst>
            <a:ext uri="{FF2B5EF4-FFF2-40B4-BE49-F238E27FC236}">
              <a16:creationId xmlns:a16="http://schemas.microsoft.com/office/drawing/2014/main" id="{00000000-0008-0000-0400-0000E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a:extLst>
            <a:ext uri="{FF2B5EF4-FFF2-40B4-BE49-F238E27FC236}">
              <a16:creationId xmlns:a16="http://schemas.microsoft.com/office/drawing/2014/main" id="{00000000-0008-0000-0400-0000E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a:extLst>
            <a:ext uri="{FF2B5EF4-FFF2-40B4-BE49-F238E27FC236}">
              <a16:creationId xmlns:a16="http://schemas.microsoft.com/office/drawing/2014/main" id="{00000000-0008-0000-0400-0000E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a:extLst>
            <a:ext uri="{FF2B5EF4-FFF2-40B4-BE49-F238E27FC236}">
              <a16:creationId xmlns:a16="http://schemas.microsoft.com/office/drawing/2014/main" id="{00000000-0008-0000-0400-0000E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a:extLst>
            <a:ext uri="{FF2B5EF4-FFF2-40B4-BE49-F238E27FC236}">
              <a16:creationId xmlns:a16="http://schemas.microsoft.com/office/drawing/2014/main" id="{00000000-0008-0000-0400-0000E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a:extLst>
            <a:ext uri="{FF2B5EF4-FFF2-40B4-BE49-F238E27FC236}">
              <a16:creationId xmlns:a16="http://schemas.microsoft.com/office/drawing/2014/main" id="{00000000-0008-0000-0400-0000E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a:extLst>
            <a:ext uri="{FF2B5EF4-FFF2-40B4-BE49-F238E27FC236}">
              <a16:creationId xmlns:a16="http://schemas.microsoft.com/office/drawing/2014/main" id="{00000000-0008-0000-0400-0000E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a:extLst>
            <a:ext uri="{FF2B5EF4-FFF2-40B4-BE49-F238E27FC236}">
              <a16:creationId xmlns:a16="http://schemas.microsoft.com/office/drawing/2014/main" id="{00000000-0008-0000-0400-0000E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a:extLst>
            <a:ext uri="{FF2B5EF4-FFF2-40B4-BE49-F238E27FC236}">
              <a16:creationId xmlns:a16="http://schemas.microsoft.com/office/drawing/2014/main" id="{00000000-0008-0000-0400-0000E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a:extLst>
            <a:ext uri="{FF2B5EF4-FFF2-40B4-BE49-F238E27FC236}">
              <a16:creationId xmlns:a16="http://schemas.microsoft.com/office/drawing/2014/main" id="{00000000-0008-0000-0400-0000E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a:extLst>
            <a:ext uri="{FF2B5EF4-FFF2-40B4-BE49-F238E27FC236}">
              <a16:creationId xmlns:a16="http://schemas.microsoft.com/office/drawing/2014/main" id="{00000000-0008-0000-0400-0000F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a:extLst>
            <a:ext uri="{FF2B5EF4-FFF2-40B4-BE49-F238E27FC236}">
              <a16:creationId xmlns:a16="http://schemas.microsoft.com/office/drawing/2014/main" id="{00000000-0008-0000-0400-0000F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a:extLst>
            <a:ext uri="{FF2B5EF4-FFF2-40B4-BE49-F238E27FC236}">
              <a16:creationId xmlns:a16="http://schemas.microsoft.com/office/drawing/2014/main" id="{00000000-0008-0000-0400-0000F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a:extLst>
            <a:ext uri="{FF2B5EF4-FFF2-40B4-BE49-F238E27FC236}">
              <a16:creationId xmlns:a16="http://schemas.microsoft.com/office/drawing/2014/main" id="{00000000-0008-0000-0400-0000F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a:extLst>
            <a:ext uri="{FF2B5EF4-FFF2-40B4-BE49-F238E27FC236}">
              <a16:creationId xmlns:a16="http://schemas.microsoft.com/office/drawing/2014/main" id="{00000000-0008-0000-0400-0000F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a:extLst>
            <a:ext uri="{FF2B5EF4-FFF2-40B4-BE49-F238E27FC236}">
              <a16:creationId xmlns:a16="http://schemas.microsoft.com/office/drawing/2014/main" id="{00000000-0008-0000-0400-0000F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a:extLst>
            <a:ext uri="{FF2B5EF4-FFF2-40B4-BE49-F238E27FC236}">
              <a16:creationId xmlns:a16="http://schemas.microsoft.com/office/drawing/2014/main" id="{00000000-0008-0000-0400-0000F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a:extLst>
            <a:ext uri="{FF2B5EF4-FFF2-40B4-BE49-F238E27FC236}">
              <a16:creationId xmlns:a16="http://schemas.microsoft.com/office/drawing/2014/main" id="{00000000-0008-0000-0400-0000F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a:extLst>
            <a:ext uri="{FF2B5EF4-FFF2-40B4-BE49-F238E27FC236}">
              <a16:creationId xmlns:a16="http://schemas.microsoft.com/office/drawing/2014/main" id="{00000000-0008-0000-0400-0000F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a:extLst>
            <a:ext uri="{FF2B5EF4-FFF2-40B4-BE49-F238E27FC236}">
              <a16:creationId xmlns:a16="http://schemas.microsoft.com/office/drawing/2014/main" id="{00000000-0008-0000-0400-0000F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a:extLst>
            <a:ext uri="{FF2B5EF4-FFF2-40B4-BE49-F238E27FC236}">
              <a16:creationId xmlns:a16="http://schemas.microsoft.com/office/drawing/2014/main" id="{00000000-0008-0000-0400-0000F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a:extLst>
            <a:ext uri="{FF2B5EF4-FFF2-40B4-BE49-F238E27FC236}">
              <a16:creationId xmlns:a16="http://schemas.microsoft.com/office/drawing/2014/main" id="{00000000-0008-0000-0400-0000F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a:extLst>
            <a:ext uri="{FF2B5EF4-FFF2-40B4-BE49-F238E27FC236}">
              <a16:creationId xmlns:a16="http://schemas.microsoft.com/office/drawing/2014/main" id="{00000000-0008-0000-0400-0000F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a:extLst>
            <a:ext uri="{FF2B5EF4-FFF2-40B4-BE49-F238E27FC236}">
              <a16:creationId xmlns:a16="http://schemas.microsoft.com/office/drawing/2014/main" id="{00000000-0008-0000-0400-0000F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a:extLst>
            <a:ext uri="{FF2B5EF4-FFF2-40B4-BE49-F238E27FC236}">
              <a16:creationId xmlns:a16="http://schemas.microsoft.com/office/drawing/2014/main" id="{00000000-0008-0000-0400-0000F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a:extLst>
            <a:ext uri="{FF2B5EF4-FFF2-40B4-BE49-F238E27FC236}">
              <a16:creationId xmlns:a16="http://schemas.microsoft.com/office/drawing/2014/main" id="{00000000-0008-0000-0400-0000F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a:extLst>
            <a:ext uri="{FF2B5EF4-FFF2-40B4-BE49-F238E27FC236}">
              <a16:creationId xmlns:a16="http://schemas.microsoft.com/office/drawing/2014/main" id="{00000000-0008-0000-0400-00000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a:extLst>
            <a:ext uri="{FF2B5EF4-FFF2-40B4-BE49-F238E27FC236}">
              <a16:creationId xmlns:a16="http://schemas.microsoft.com/office/drawing/2014/main" id="{00000000-0008-0000-0400-00000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a:extLst>
            <a:ext uri="{FF2B5EF4-FFF2-40B4-BE49-F238E27FC236}">
              <a16:creationId xmlns:a16="http://schemas.microsoft.com/office/drawing/2014/main" id="{00000000-0008-0000-0400-00000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a:extLst>
            <a:ext uri="{FF2B5EF4-FFF2-40B4-BE49-F238E27FC236}">
              <a16:creationId xmlns:a16="http://schemas.microsoft.com/office/drawing/2014/main" id="{00000000-0008-0000-0400-00000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a:extLst>
            <a:ext uri="{FF2B5EF4-FFF2-40B4-BE49-F238E27FC236}">
              <a16:creationId xmlns:a16="http://schemas.microsoft.com/office/drawing/2014/main" id="{00000000-0008-0000-0400-00000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a:extLst>
            <a:ext uri="{FF2B5EF4-FFF2-40B4-BE49-F238E27FC236}">
              <a16:creationId xmlns:a16="http://schemas.microsoft.com/office/drawing/2014/main" id="{00000000-0008-0000-0400-00000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a:extLst>
            <a:ext uri="{FF2B5EF4-FFF2-40B4-BE49-F238E27FC236}">
              <a16:creationId xmlns:a16="http://schemas.microsoft.com/office/drawing/2014/main" id="{00000000-0008-0000-0400-00000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a:extLst>
            <a:ext uri="{FF2B5EF4-FFF2-40B4-BE49-F238E27FC236}">
              <a16:creationId xmlns:a16="http://schemas.microsoft.com/office/drawing/2014/main" id="{00000000-0008-0000-0400-00000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a:extLst>
            <a:ext uri="{FF2B5EF4-FFF2-40B4-BE49-F238E27FC236}">
              <a16:creationId xmlns:a16="http://schemas.microsoft.com/office/drawing/2014/main" id="{00000000-0008-0000-0400-00000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a:extLst>
            <a:ext uri="{FF2B5EF4-FFF2-40B4-BE49-F238E27FC236}">
              <a16:creationId xmlns:a16="http://schemas.microsoft.com/office/drawing/2014/main" id="{00000000-0008-0000-0400-00000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a:extLst>
            <a:ext uri="{FF2B5EF4-FFF2-40B4-BE49-F238E27FC236}">
              <a16:creationId xmlns:a16="http://schemas.microsoft.com/office/drawing/2014/main" id="{00000000-0008-0000-0400-00000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a:extLst>
            <a:ext uri="{FF2B5EF4-FFF2-40B4-BE49-F238E27FC236}">
              <a16:creationId xmlns:a16="http://schemas.microsoft.com/office/drawing/2014/main" id="{00000000-0008-0000-0400-00000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a:extLst>
            <a:ext uri="{FF2B5EF4-FFF2-40B4-BE49-F238E27FC236}">
              <a16:creationId xmlns:a16="http://schemas.microsoft.com/office/drawing/2014/main" id="{00000000-0008-0000-0400-00000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a:extLst>
            <a:ext uri="{FF2B5EF4-FFF2-40B4-BE49-F238E27FC236}">
              <a16:creationId xmlns:a16="http://schemas.microsoft.com/office/drawing/2014/main" id="{00000000-0008-0000-0400-00000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a:extLst>
            <a:ext uri="{FF2B5EF4-FFF2-40B4-BE49-F238E27FC236}">
              <a16:creationId xmlns:a16="http://schemas.microsoft.com/office/drawing/2014/main" id="{00000000-0008-0000-0400-00000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a:extLst>
            <a:ext uri="{FF2B5EF4-FFF2-40B4-BE49-F238E27FC236}">
              <a16:creationId xmlns:a16="http://schemas.microsoft.com/office/drawing/2014/main" id="{00000000-0008-0000-0400-00000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a:extLst>
            <a:ext uri="{FF2B5EF4-FFF2-40B4-BE49-F238E27FC236}">
              <a16:creationId xmlns:a16="http://schemas.microsoft.com/office/drawing/2014/main" id="{00000000-0008-0000-0400-00001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a:extLst>
            <a:ext uri="{FF2B5EF4-FFF2-40B4-BE49-F238E27FC236}">
              <a16:creationId xmlns:a16="http://schemas.microsoft.com/office/drawing/2014/main" id="{00000000-0008-0000-0400-00001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a:extLst>
            <a:ext uri="{FF2B5EF4-FFF2-40B4-BE49-F238E27FC236}">
              <a16:creationId xmlns:a16="http://schemas.microsoft.com/office/drawing/2014/main" id="{00000000-0008-0000-0400-00001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a:extLst>
            <a:ext uri="{FF2B5EF4-FFF2-40B4-BE49-F238E27FC236}">
              <a16:creationId xmlns:a16="http://schemas.microsoft.com/office/drawing/2014/main" id="{00000000-0008-0000-0400-00001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a:extLst>
            <a:ext uri="{FF2B5EF4-FFF2-40B4-BE49-F238E27FC236}">
              <a16:creationId xmlns:a16="http://schemas.microsoft.com/office/drawing/2014/main" id="{00000000-0008-0000-0400-00001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a:extLst>
            <a:ext uri="{FF2B5EF4-FFF2-40B4-BE49-F238E27FC236}">
              <a16:creationId xmlns:a16="http://schemas.microsoft.com/office/drawing/2014/main" id="{00000000-0008-0000-0400-00001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a:extLst>
            <a:ext uri="{FF2B5EF4-FFF2-40B4-BE49-F238E27FC236}">
              <a16:creationId xmlns:a16="http://schemas.microsoft.com/office/drawing/2014/main" id="{00000000-0008-0000-0400-00001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a:extLst>
            <a:ext uri="{FF2B5EF4-FFF2-40B4-BE49-F238E27FC236}">
              <a16:creationId xmlns:a16="http://schemas.microsoft.com/office/drawing/2014/main" id="{00000000-0008-0000-0400-00001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a:extLst>
            <a:ext uri="{FF2B5EF4-FFF2-40B4-BE49-F238E27FC236}">
              <a16:creationId xmlns:a16="http://schemas.microsoft.com/office/drawing/2014/main" id="{00000000-0008-0000-0400-00001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a:extLst>
            <a:ext uri="{FF2B5EF4-FFF2-40B4-BE49-F238E27FC236}">
              <a16:creationId xmlns:a16="http://schemas.microsoft.com/office/drawing/2014/main" id="{00000000-0008-0000-0400-00001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a:extLst>
            <a:ext uri="{FF2B5EF4-FFF2-40B4-BE49-F238E27FC236}">
              <a16:creationId xmlns:a16="http://schemas.microsoft.com/office/drawing/2014/main" id="{00000000-0008-0000-0400-00001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a:extLst>
            <a:ext uri="{FF2B5EF4-FFF2-40B4-BE49-F238E27FC236}">
              <a16:creationId xmlns:a16="http://schemas.microsoft.com/office/drawing/2014/main" id="{00000000-0008-0000-0400-00001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a:extLst>
            <a:ext uri="{FF2B5EF4-FFF2-40B4-BE49-F238E27FC236}">
              <a16:creationId xmlns:a16="http://schemas.microsoft.com/office/drawing/2014/main" id="{00000000-0008-0000-0400-00001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a:extLst>
            <a:ext uri="{FF2B5EF4-FFF2-40B4-BE49-F238E27FC236}">
              <a16:creationId xmlns:a16="http://schemas.microsoft.com/office/drawing/2014/main" id="{00000000-0008-0000-0400-00001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a:extLst>
            <a:ext uri="{FF2B5EF4-FFF2-40B4-BE49-F238E27FC236}">
              <a16:creationId xmlns:a16="http://schemas.microsoft.com/office/drawing/2014/main" id="{00000000-0008-0000-0400-00001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a:extLst>
            <a:ext uri="{FF2B5EF4-FFF2-40B4-BE49-F238E27FC236}">
              <a16:creationId xmlns:a16="http://schemas.microsoft.com/office/drawing/2014/main" id="{00000000-0008-0000-0400-00001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a:extLst>
            <a:ext uri="{FF2B5EF4-FFF2-40B4-BE49-F238E27FC236}">
              <a16:creationId xmlns:a16="http://schemas.microsoft.com/office/drawing/2014/main" id="{00000000-0008-0000-0400-00002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a:extLst>
            <a:ext uri="{FF2B5EF4-FFF2-40B4-BE49-F238E27FC236}">
              <a16:creationId xmlns:a16="http://schemas.microsoft.com/office/drawing/2014/main" id="{00000000-0008-0000-0400-00002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a:extLst>
            <a:ext uri="{FF2B5EF4-FFF2-40B4-BE49-F238E27FC236}">
              <a16:creationId xmlns:a16="http://schemas.microsoft.com/office/drawing/2014/main" id="{00000000-0008-0000-0400-00002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a:extLst>
            <a:ext uri="{FF2B5EF4-FFF2-40B4-BE49-F238E27FC236}">
              <a16:creationId xmlns:a16="http://schemas.microsoft.com/office/drawing/2014/main" id="{00000000-0008-0000-0400-00002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a:extLst>
            <a:ext uri="{FF2B5EF4-FFF2-40B4-BE49-F238E27FC236}">
              <a16:creationId xmlns:a16="http://schemas.microsoft.com/office/drawing/2014/main" id="{00000000-0008-0000-0400-00002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a:extLst>
            <a:ext uri="{FF2B5EF4-FFF2-40B4-BE49-F238E27FC236}">
              <a16:creationId xmlns:a16="http://schemas.microsoft.com/office/drawing/2014/main" id="{00000000-0008-0000-0400-00002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a:extLst>
            <a:ext uri="{FF2B5EF4-FFF2-40B4-BE49-F238E27FC236}">
              <a16:creationId xmlns:a16="http://schemas.microsoft.com/office/drawing/2014/main" id="{00000000-0008-0000-0400-00002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a:extLst>
            <a:ext uri="{FF2B5EF4-FFF2-40B4-BE49-F238E27FC236}">
              <a16:creationId xmlns:a16="http://schemas.microsoft.com/office/drawing/2014/main" id="{00000000-0008-0000-0400-00002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a:extLst>
            <a:ext uri="{FF2B5EF4-FFF2-40B4-BE49-F238E27FC236}">
              <a16:creationId xmlns:a16="http://schemas.microsoft.com/office/drawing/2014/main" id="{00000000-0008-0000-0400-00002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a:extLst>
            <a:ext uri="{FF2B5EF4-FFF2-40B4-BE49-F238E27FC236}">
              <a16:creationId xmlns:a16="http://schemas.microsoft.com/office/drawing/2014/main" id="{00000000-0008-0000-0400-00002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a:extLst>
            <a:ext uri="{FF2B5EF4-FFF2-40B4-BE49-F238E27FC236}">
              <a16:creationId xmlns:a16="http://schemas.microsoft.com/office/drawing/2014/main" id="{00000000-0008-0000-0400-00002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a:extLst>
            <a:ext uri="{FF2B5EF4-FFF2-40B4-BE49-F238E27FC236}">
              <a16:creationId xmlns:a16="http://schemas.microsoft.com/office/drawing/2014/main" id="{00000000-0008-0000-0400-00002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a:extLst>
            <a:ext uri="{FF2B5EF4-FFF2-40B4-BE49-F238E27FC236}">
              <a16:creationId xmlns:a16="http://schemas.microsoft.com/office/drawing/2014/main" id="{00000000-0008-0000-0400-00002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a:extLst>
            <a:ext uri="{FF2B5EF4-FFF2-40B4-BE49-F238E27FC236}">
              <a16:creationId xmlns:a16="http://schemas.microsoft.com/office/drawing/2014/main" id="{00000000-0008-0000-0400-00002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a:extLst>
            <a:ext uri="{FF2B5EF4-FFF2-40B4-BE49-F238E27FC236}">
              <a16:creationId xmlns:a16="http://schemas.microsoft.com/office/drawing/2014/main" id="{00000000-0008-0000-0400-00002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a:extLst>
            <a:ext uri="{FF2B5EF4-FFF2-40B4-BE49-F238E27FC236}">
              <a16:creationId xmlns:a16="http://schemas.microsoft.com/office/drawing/2014/main" id="{00000000-0008-0000-0400-00002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a:extLst>
            <a:ext uri="{FF2B5EF4-FFF2-40B4-BE49-F238E27FC236}">
              <a16:creationId xmlns:a16="http://schemas.microsoft.com/office/drawing/2014/main" id="{00000000-0008-0000-0400-00003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a:extLst>
            <a:ext uri="{FF2B5EF4-FFF2-40B4-BE49-F238E27FC236}">
              <a16:creationId xmlns:a16="http://schemas.microsoft.com/office/drawing/2014/main" id="{00000000-0008-0000-0400-00003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a:extLst>
            <a:ext uri="{FF2B5EF4-FFF2-40B4-BE49-F238E27FC236}">
              <a16:creationId xmlns:a16="http://schemas.microsoft.com/office/drawing/2014/main" id="{00000000-0008-0000-0400-00003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a:extLst>
            <a:ext uri="{FF2B5EF4-FFF2-40B4-BE49-F238E27FC236}">
              <a16:creationId xmlns:a16="http://schemas.microsoft.com/office/drawing/2014/main" id="{00000000-0008-0000-0400-00003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a:extLst>
            <a:ext uri="{FF2B5EF4-FFF2-40B4-BE49-F238E27FC236}">
              <a16:creationId xmlns:a16="http://schemas.microsoft.com/office/drawing/2014/main" id="{00000000-0008-0000-0400-00003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a:extLst>
            <a:ext uri="{FF2B5EF4-FFF2-40B4-BE49-F238E27FC236}">
              <a16:creationId xmlns:a16="http://schemas.microsoft.com/office/drawing/2014/main" id="{00000000-0008-0000-0400-00003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a:extLst>
            <a:ext uri="{FF2B5EF4-FFF2-40B4-BE49-F238E27FC236}">
              <a16:creationId xmlns:a16="http://schemas.microsoft.com/office/drawing/2014/main" id="{00000000-0008-0000-0400-00003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a:extLst>
            <a:ext uri="{FF2B5EF4-FFF2-40B4-BE49-F238E27FC236}">
              <a16:creationId xmlns:a16="http://schemas.microsoft.com/office/drawing/2014/main" id="{00000000-0008-0000-0400-00003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a:extLst>
            <a:ext uri="{FF2B5EF4-FFF2-40B4-BE49-F238E27FC236}">
              <a16:creationId xmlns:a16="http://schemas.microsoft.com/office/drawing/2014/main" id="{00000000-0008-0000-0400-00003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a:extLst>
            <a:ext uri="{FF2B5EF4-FFF2-40B4-BE49-F238E27FC236}">
              <a16:creationId xmlns:a16="http://schemas.microsoft.com/office/drawing/2014/main" id="{00000000-0008-0000-0400-00003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a:extLst>
            <a:ext uri="{FF2B5EF4-FFF2-40B4-BE49-F238E27FC236}">
              <a16:creationId xmlns:a16="http://schemas.microsoft.com/office/drawing/2014/main" id="{00000000-0008-0000-0400-00003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a:extLst>
            <a:ext uri="{FF2B5EF4-FFF2-40B4-BE49-F238E27FC236}">
              <a16:creationId xmlns:a16="http://schemas.microsoft.com/office/drawing/2014/main" id="{00000000-0008-0000-0400-00003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a:extLst>
            <a:ext uri="{FF2B5EF4-FFF2-40B4-BE49-F238E27FC236}">
              <a16:creationId xmlns:a16="http://schemas.microsoft.com/office/drawing/2014/main" id="{00000000-0008-0000-0400-00003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a:extLst>
            <a:ext uri="{FF2B5EF4-FFF2-40B4-BE49-F238E27FC236}">
              <a16:creationId xmlns:a16="http://schemas.microsoft.com/office/drawing/2014/main" id="{00000000-0008-0000-0400-00003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a:extLst>
            <a:ext uri="{FF2B5EF4-FFF2-40B4-BE49-F238E27FC236}">
              <a16:creationId xmlns:a16="http://schemas.microsoft.com/office/drawing/2014/main" id="{00000000-0008-0000-0400-00003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a:extLst>
            <a:ext uri="{FF2B5EF4-FFF2-40B4-BE49-F238E27FC236}">
              <a16:creationId xmlns:a16="http://schemas.microsoft.com/office/drawing/2014/main" id="{00000000-0008-0000-0400-00003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a:extLst>
            <a:ext uri="{FF2B5EF4-FFF2-40B4-BE49-F238E27FC236}">
              <a16:creationId xmlns:a16="http://schemas.microsoft.com/office/drawing/2014/main" id="{00000000-0008-0000-0400-00004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a:extLst>
            <a:ext uri="{FF2B5EF4-FFF2-40B4-BE49-F238E27FC236}">
              <a16:creationId xmlns:a16="http://schemas.microsoft.com/office/drawing/2014/main" id="{00000000-0008-0000-0400-00004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a:extLst>
            <a:ext uri="{FF2B5EF4-FFF2-40B4-BE49-F238E27FC236}">
              <a16:creationId xmlns:a16="http://schemas.microsoft.com/office/drawing/2014/main" id="{00000000-0008-0000-0400-00004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a:extLst>
            <a:ext uri="{FF2B5EF4-FFF2-40B4-BE49-F238E27FC236}">
              <a16:creationId xmlns:a16="http://schemas.microsoft.com/office/drawing/2014/main" id="{00000000-0008-0000-0400-00004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a:extLst>
            <a:ext uri="{FF2B5EF4-FFF2-40B4-BE49-F238E27FC236}">
              <a16:creationId xmlns:a16="http://schemas.microsoft.com/office/drawing/2014/main" id="{00000000-0008-0000-0400-00004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a:extLst>
            <a:ext uri="{FF2B5EF4-FFF2-40B4-BE49-F238E27FC236}">
              <a16:creationId xmlns:a16="http://schemas.microsoft.com/office/drawing/2014/main" id="{00000000-0008-0000-0400-00004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a:extLst>
            <a:ext uri="{FF2B5EF4-FFF2-40B4-BE49-F238E27FC236}">
              <a16:creationId xmlns:a16="http://schemas.microsoft.com/office/drawing/2014/main" id="{00000000-0008-0000-0400-00004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a:extLst>
            <a:ext uri="{FF2B5EF4-FFF2-40B4-BE49-F238E27FC236}">
              <a16:creationId xmlns:a16="http://schemas.microsoft.com/office/drawing/2014/main" id="{00000000-0008-0000-0400-00004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a:extLst>
            <a:ext uri="{FF2B5EF4-FFF2-40B4-BE49-F238E27FC236}">
              <a16:creationId xmlns:a16="http://schemas.microsoft.com/office/drawing/2014/main" id="{00000000-0008-0000-0400-00004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a:extLst>
            <a:ext uri="{FF2B5EF4-FFF2-40B4-BE49-F238E27FC236}">
              <a16:creationId xmlns:a16="http://schemas.microsoft.com/office/drawing/2014/main" id="{00000000-0008-0000-0400-00004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a:extLst>
            <a:ext uri="{FF2B5EF4-FFF2-40B4-BE49-F238E27FC236}">
              <a16:creationId xmlns:a16="http://schemas.microsoft.com/office/drawing/2014/main" id="{00000000-0008-0000-0400-00004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a:extLst>
            <a:ext uri="{FF2B5EF4-FFF2-40B4-BE49-F238E27FC236}">
              <a16:creationId xmlns:a16="http://schemas.microsoft.com/office/drawing/2014/main" id="{00000000-0008-0000-0400-00004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a:extLst>
            <a:ext uri="{FF2B5EF4-FFF2-40B4-BE49-F238E27FC236}">
              <a16:creationId xmlns:a16="http://schemas.microsoft.com/office/drawing/2014/main" id="{00000000-0008-0000-0400-00004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a:extLst>
            <a:ext uri="{FF2B5EF4-FFF2-40B4-BE49-F238E27FC236}">
              <a16:creationId xmlns:a16="http://schemas.microsoft.com/office/drawing/2014/main" id="{00000000-0008-0000-0400-00004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a:extLst>
            <a:ext uri="{FF2B5EF4-FFF2-40B4-BE49-F238E27FC236}">
              <a16:creationId xmlns:a16="http://schemas.microsoft.com/office/drawing/2014/main" id="{00000000-0008-0000-0400-00004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a:extLst>
            <a:ext uri="{FF2B5EF4-FFF2-40B4-BE49-F238E27FC236}">
              <a16:creationId xmlns:a16="http://schemas.microsoft.com/office/drawing/2014/main" id="{00000000-0008-0000-0400-00004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a:extLst>
            <a:ext uri="{FF2B5EF4-FFF2-40B4-BE49-F238E27FC236}">
              <a16:creationId xmlns:a16="http://schemas.microsoft.com/office/drawing/2014/main" id="{00000000-0008-0000-0400-00005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a:extLst>
            <a:ext uri="{FF2B5EF4-FFF2-40B4-BE49-F238E27FC236}">
              <a16:creationId xmlns:a16="http://schemas.microsoft.com/office/drawing/2014/main" id="{00000000-0008-0000-0400-00005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a:extLst>
            <a:ext uri="{FF2B5EF4-FFF2-40B4-BE49-F238E27FC236}">
              <a16:creationId xmlns:a16="http://schemas.microsoft.com/office/drawing/2014/main" id="{00000000-0008-0000-0400-00005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a:extLst>
            <a:ext uri="{FF2B5EF4-FFF2-40B4-BE49-F238E27FC236}">
              <a16:creationId xmlns:a16="http://schemas.microsoft.com/office/drawing/2014/main" id="{00000000-0008-0000-0400-00005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a:extLst>
            <a:ext uri="{FF2B5EF4-FFF2-40B4-BE49-F238E27FC236}">
              <a16:creationId xmlns:a16="http://schemas.microsoft.com/office/drawing/2014/main" id="{00000000-0008-0000-0400-00005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a:extLst>
            <a:ext uri="{FF2B5EF4-FFF2-40B4-BE49-F238E27FC236}">
              <a16:creationId xmlns:a16="http://schemas.microsoft.com/office/drawing/2014/main" id="{00000000-0008-0000-0400-00005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a:extLst>
            <a:ext uri="{FF2B5EF4-FFF2-40B4-BE49-F238E27FC236}">
              <a16:creationId xmlns:a16="http://schemas.microsoft.com/office/drawing/2014/main" id="{00000000-0008-0000-0400-00005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a:extLst>
            <a:ext uri="{FF2B5EF4-FFF2-40B4-BE49-F238E27FC236}">
              <a16:creationId xmlns:a16="http://schemas.microsoft.com/office/drawing/2014/main" id="{00000000-0008-0000-0400-00005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a:extLst>
            <a:ext uri="{FF2B5EF4-FFF2-40B4-BE49-F238E27FC236}">
              <a16:creationId xmlns:a16="http://schemas.microsoft.com/office/drawing/2014/main" id="{00000000-0008-0000-0400-00005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a:extLst>
            <a:ext uri="{FF2B5EF4-FFF2-40B4-BE49-F238E27FC236}">
              <a16:creationId xmlns:a16="http://schemas.microsoft.com/office/drawing/2014/main" id="{00000000-0008-0000-0400-00005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a:extLst>
            <a:ext uri="{FF2B5EF4-FFF2-40B4-BE49-F238E27FC236}">
              <a16:creationId xmlns:a16="http://schemas.microsoft.com/office/drawing/2014/main" id="{00000000-0008-0000-0400-00005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a:extLst>
            <a:ext uri="{FF2B5EF4-FFF2-40B4-BE49-F238E27FC236}">
              <a16:creationId xmlns:a16="http://schemas.microsoft.com/office/drawing/2014/main" id="{00000000-0008-0000-0400-00005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a:extLst>
            <a:ext uri="{FF2B5EF4-FFF2-40B4-BE49-F238E27FC236}">
              <a16:creationId xmlns:a16="http://schemas.microsoft.com/office/drawing/2014/main" id="{00000000-0008-0000-0400-00005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a:extLst>
            <a:ext uri="{FF2B5EF4-FFF2-40B4-BE49-F238E27FC236}">
              <a16:creationId xmlns:a16="http://schemas.microsoft.com/office/drawing/2014/main" id="{00000000-0008-0000-0400-00005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a:extLst>
            <a:ext uri="{FF2B5EF4-FFF2-40B4-BE49-F238E27FC236}">
              <a16:creationId xmlns:a16="http://schemas.microsoft.com/office/drawing/2014/main" id="{00000000-0008-0000-0400-00005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a:extLst>
            <a:ext uri="{FF2B5EF4-FFF2-40B4-BE49-F238E27FC236}">
              <a16:creationId xmlns:a16="http://schemas.microsoft.com/office/drawing/2014/main" id="{00000000-0008-0000-0400-00005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a:extLst>
            <a:ext uri="{FF2B5EF4-FFF2-40B4-BE49-F238E27FC236}">
              <a16:creationId xmlns:a16="http://schemas.microsoft.com/office/drawing/2014/main" id="{00000000-0008-0000-0400-00006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a:extLst>
            <a:ext uri="{FF2B5EF4-FFF2-40B4-BE49-F238E27FC236}">
              <a16:creationId xmlns:a16="http://schemas.microsoft.com/office/drawing/2014/main" id="{00000000-0008-0000-0400-00006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a:extLst>
            <a:ext uri="{FF2B5EF4-FFF2-40B4-BE49-F238E27FC236}">
              <a16:creationId xmlns:a16="http://schemas.microsoft.com/office/drawing/2014/main" id="{00000000-0008-0000-0400-00006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a:extLst>
            <a:ext uri="{FF2B5EF4-FFF2-40B4-BE49-F238E27FC236}">
              <a16:creationId xmlns:a16="http://schemas.microsoft.com/office/drawing/2014/main" id="{00000000-0008-0000-0400-00006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a:extLst>
            <a:ext uri="{FF2B5EF4-FFF2-40B4-BE49-F238E27FC236}">
              <a16:creationId xmlns:a16="http://schemas.microsoft.com/office/drawing/2014/main" id="{00000000-0008-0000-0400-00006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a:extLst>
            <a:ext uri="{FF2B5EF4-FFF2-40B4-BE49-F238E27FC236}">
              <a16:creationId xmlns:a16="http://schemas.microsoft.com/office/drawing/2014/main" id="{00000000-0008-0000-0400-00006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a:extLst>
            <a:ext uri="{FF2B5EF4-FFF2-40B4-BE49-F238E27FC236}">
              <a16:creationId xmlns:a16="http://schemas.microsoft.com/office/drawing/2014/main" id="{00000000-0008-0000-0400-00006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a:extLst>
            <a:ext uri="{FF2B5EF4-FFF2-40B4-BE49-F238E27FC236}">
              <a16:creationId xmlns:a16="http://schemas.microsoft.com/office/drawing/2014/main" id="{00000000-0008-0000-0400-00006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a:extLst>
            <a:ext uri="{FF2B5EF4-FFF2-40B4-BE49-F238E27FC236}">
              <a16:creationId xmlns:a16="http://schemas.microsoft.com/office/drawing/2014/main" id="{00000000-0008-0000-0400-00006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a:extLst>
            <a:ext uri="{FF2B5EF4-FFF2-40B4-BE49-F238E27FC236}">
              <a16:creationId xmlns:a16="http://schemas.microsoft.com/office/drawing/2014/main" id="{00000000-0008-0000-0400-00006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a:extLst>
            <a:ext uri="{FF2B5EF4-FFF2-40B4-BE49-F238E27FC236}">
              <a16:creationId xmlns:a16="http://schemas.microsoft.com/office/drawing/2014/main" id="{00000000-0008-0000-0400-00006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a:extLst>
            <a:ext uri="{FF2B5EF4-FFF2-40B4-BE49-F238E27FC236}">
              <a16:creationId xmlns:a16="http://schemas.microsoft.com/office/drawing/2014/main" id="{00000000-0008-0000-0400-00006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a:extLst>
            <a:ext uri="{FF2B5EF4-FFF2-40B4-BE49-F238E27FC236}">
              <a16:creationId xmlns:a16="http://schemas.microsoft.com/office/drawing/2014/main" id="{00000000-0008-0000-0400-00006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a:extLst>
            <a:ext uri="{FF2B5EF4-FFF2-40B4-BE49-F238E27FC236}">
              <a16:creationId xmlns:a16="http://schemas.microsoft.com/office/drawing/2014/main" id="{00000000-0008-0000-0400-00006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a:extLst>
            <a:ext uri="{FF2B5EF4-FFF2-40B4-BE49-F238E27FC236}">
              <a16:creationId xmlns:a16="http://schemas.microsoft.com/office/drawing/2014/main" id="{00000000-0008-0000-0400-00006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a:extLst>
            <a:ext uri="{FF2B5EF4-FFF2-40B4-BE49-F238E27FC236}">
              <a16:creationId xmlns:a16="http://schemas.microsoft.com/office/drawing/2014/main" id="{00000000-0008-0000-0400-00006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a:extLst>
            <a:ext uri="{FF2B5EF4-FFF2-40B4-BE49-F238E27FC236}">
              <a16:creationId xmlns:a16="http://schemas.microsoft.com/office/drawing/2014/main" id="{00000000-0008-0000-0400-00007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a:extLst>
            <a:ext uri="{FF2B5EF4-FFF2-40B4-BE49-F238E27FC236}">
              <a16:creationId xmlns:a16="http://schemas.microsoft.com/office/drawing/2014/main" id="{00000000-0008-0000-0400-00007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a:extLst>
            <a:ext uri="{FF2B5EF4-FFF2-40B4-BE49-F238E27FC236}">
              <a16:creationId xmlns:a16="http://schemas.microsoft.com/office/drawing/2014/main" id="{00000000-0008-0000-0400-00007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a:extLst>
            <a:ext uri="{FF2B5EF4-FFF2-40B4-BE49-F238E27FC236}">
              <a16:creationId xmlns:a16="http://schemas.microsoft.com/office/drawing/2014/main" id="{00000000-0008-0000-0400-00007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a:extLst>
            <a:ext uri="{FF2B5EF4-FFF2-40B4-BE49-F238E27FC236}">
              <a16:creationId xmlns:a16="http://schemas.microsoft.com/office/drawing/2014/main" id="{00000000-0008-0000-0400-00007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a:extLst>
            <a:ext uri="{FF2B5EF4-FFF2-40B4-BE49-F238E27FC236}">
              <a16:creationId xmlns:a16="http://schemas.microsoft.com/office/drawing/2014/main" id="{00000000-0008-0000-0400-00007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a:extLst>
            <a:ext uri="{FF2B5EF4-FFF2-40B4-BE49-F238E27FC236}">
              <a16:creationId xmlns:a16="http://schemas.microsoft.com/office/drawing/2014/main" id="{00000000-0008-0000-0400-00007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a:extLst>
            <a:ext uri="{FF2B5EF4-FFF2-40B4-BE49-F238E27FC236}">
              <a16:creationId xmlns:a16="http://schemas.microsoft.com/office/drawing/2014/main" id="{00000000-0008-0000-0400-00007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a:extLst>
            <a:ext uri="{FF2B5EF4-FFF2-40B4-BE49-F238E27FC236}">
              <a16:creationId xmlns:a16="http://schemas.microsoft.com/office/drawing/2014/main" id="{00000000-0008-0000-0400-00007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a:extLst>
            <a:ext uri="{FF2B5EF4-FFF2-40B4-BE49-F238E27FC236}">
              <a16:creationId xmlns:a16="http://schemas.microsoft.com/office/drawing/2014/main" id="{00000000-0008-0000-0400-00007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a:extLst>
            <a:ext uri="{FF2B5EF4-FFF2-40B4-BE49-F238E27FC236}">
              <a16:creationId xmlns:a16="http://schemas.microsoft.com/office/drawing/2014/main" id="{00000000-0008-0000-0400-00007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a:extLst>
            <a:ext uri="{FF2B5EF4-FFF2-40B4-BE49-F238E27FC236}">
              <a16:creationId xmlns:a16="http://schemas.microsoft.com/office/drawing/2014/main" id="{00000000-0008-0000-0400-00007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a:extLst>
            <a:ext uri="{FF2B5EF4-FFF2-40B4-BE49-F238E27FC236}">
              <a16:creationId xmlns:a16="http://schemas.microsoft.com/office/drawing/2014/main" id="{00000000-0008-0000-0400-00007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a:extLst>
            <a:ext uri="{FF2B5EF4-FFF2-40B4-BE49-F238E27FC236}">
              <a16:creationId xmlns:a16="http://schemas.microsoft.com/office/drawing/2014/main" id="{00000000-0008-0000-0400-00007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a:extLst>
            <a:ext uri="{FF2B5EF4-FFF2-40B4-BE49-F238E27FC236}">
              <a16:creationId xmlns:a16="http://schemas.microsoft.com/office/drawing/2014/main" id="{00000000-0008-0000-0400-00007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a:extLst>
            <a:ext uri="{FF2B5EF4-FFF2-40B4-BE49-F238E27FC236}">
              <a16:creationId xmlns:a16="http://schemas.microsoft.com/office/drawing/2014/main" id="{00000000-0008-0000-0400-00007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a:extLst>
            <a:ext uri="{FF2B5EF4-FFF2-40B4-BE49-F238E27FC236}">
              <a16:creationId xmlns:a16="http://schemas.microsoft.com/office/drawing/2014/main" id="{00000000-0008-0000-0400-00008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a:extLst>
            <a:ext uri="{FF2B5EF4-FFF2-40B4-BE49-F238E27FC236}">
              <a16:creationId xmlns:a16="http://schemas.microsoft.com/office/drawing/2014/main" id="{00000000-0008-0000-0400-00008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a:extLst>
            <a:ext uri="{FF2B5EF4-FFF2-40B4-BE49-F238E27FC236}">
              <a16:creationId xmlns:a16="http://schemas.microsoft.com/office/drawing/2014/main" id="{00000000-0008-0000-0400-00008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a:extLst>
            <a:ext uri="{FF2B5EF4-FFF2-40B4-BE49-F238E27FC236}">
              <a16:creationId xmlns:a16="http://schemas.microsoft.com/office/drawing/2014/main" id="{00000000-0008-0000-0400-00008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a:extLst>
            <a:ext uri="{FF2B5EF4-FFF2-40B4-BE49-F238E27FC236}">
              <a16:creationId xmlns:a16="http://schemas.microsoft.com/office/drawing/2014/main" id="{00000000-0008-0000-0400-00008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a:extLst>
            <a:ext uri="{FF2B5EF4-FFF2-40B4-BE49-F238E27FC236}">
              <a16:creationId xmlns:a16="http://schemas.microsoft.com/office/drawing/2014/main" id="{00000000-0008-0000-0400-00008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a:extLst>
            <a:ext uri="{FF2B5EF4-FFF2-40B4-BE49-F238E27FC236}">
              <a16:creationId xmlns:a16="http://schemas.microsoft.com/office/drawing/2014/main" id="{00000000-0008-0000-0400-00008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a:extLst>
            <a:ext uri="{FF2B5EF4-FFF2-40B4-BE49-F238E27FC236}">
              <a16:creationId xmlns:a16="http://schemas.microsoft.com/office/drawing/2014/main" id="{00000000-0008-0000-0400-00008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a:extLst>
            <a:ext uri="{FF2B5EF4-FFF2-40B4-BE49-F238E27FC236}">
              <a16:creationId xmlns:a16="http://schemas.microsoft.com/office/drawing/2014/main" id="{00000000-0008-0000-0400-00008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a:extLst>
            <a:ext uri="{FF2B5EF4-FFF2-40B4-BE49-F238E27FC236}">
              <a16:creationId xmlns:a16="http://schemas.microsoft.com/office/drawing/2014/main" id="{00000000-0008-0000-0400-00008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a:extLst>
            <a:ext uri="{FF2B5EF4-FFF2-40B4-BE49-F238E27FC236}">
              <a16:creationId xmlns:a16="http://schemas.microsoft.com/office/drawing/2014/main" id="{00000000-0008-0000-0400-00008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a:extLst>
            <a:ext uri="{FF2B5EF4-FFF2-40B4-BE49-F238E27FC236}">
              <a16:creationId xmlns:a16="http://schemas.microsoft.com/office/drawing/2014/main" id="{00000000-0008-0000-0400-00008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a:extLst>
            <a:ext uri="{FF2B5EF4-FFF2-40B4-BE49-F238E27FC236}">
              <a16:creationId xmlns:a16="http://schemas.microsoft.com/office/drawing/2014/main" id="{00000000-0008-0000-0400-00008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a:extLst>
            <a:ext uri="{FF2B5EF4-FFF2-40B4-BE49-F238E27FC236}">
              <a16:creationId xmlns:a16="http://schemas.microsoft.com/office/drawing/2014/main" id="{00000000-0008-0000-0400-00008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a:extLst>
            <a:ext uri="{FF2B5EF4-FFF2-40B4-BE49-F238E27FC236}">
              <a16:creationId xmlns:a16="http://schemas.microsoft.com/office/drawing/2014/main" id="{00000000-0008-0000-0400-00008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a:extLst>
            <a:ext uri="{FF2B5EF4-FFF2-40B4-BE49-F238E27FC236}">
              <a16:creationId xmlns:a16="http://schemas.microsoft.com/office/drawing/2014/main" id="{00000000-0008-0000-0400-00008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a:extLst>
            <a:ext uri="{FF2B5EF4-FFF2-40B4-BE49-F238E27FC236}">
              <a16:creationId xmlns:a16="http://schemas.microsoft.com/office/drawing/2014/main" id="{00000000-0008-0000-0400-00009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a:extLst>
            <a:ext uri="{FF2B5EF4-FFF2-40B4-BE49-F238E27FC236}">
              <a16:creationId xmlns:a16="http://schemas.microsoft.com/office/drawing/2014/main" id="{00000000-0008-0000-0400-00009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a:extLst>
            <a:ext uri="{FF2B5EF4-FFF2-40B4-BE49-F238E27FC236}">
              <a16:creationId xmlns:a16="http://schemas.microsoft.com/office/drawing/2014/main" id="{00000000-0008-0000-0400-00009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a:extLst>
            <a:ext uri="{FF2B5EF4-FFF2-40B4-BE49-F238E27FC236}">
              <a16:creationId xmlns:a16="http://schemas.microsoft.com/office/drawing/2014/main" id="{00000000-0008-0000-0400-00009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a:extLst>
            <a:ext uri="{FF2B5EF4-FFF2-40B4-BE49-F238E27FC236}">
              <a16:creationId xmlns:a16="http://schemas.microsoft.com/office/drawing/2014/main" id="{00000000-0008-0000-0400-00009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a:extLst>
            <a:ext uri="{FF2B5EF4-FFF2-40B4-BE49-F238E27FC236}">
              <a16:creationId xmlns:a16="http://schemas.microsoft.com/office/drawing/2014/main" id="{00000000-0008-0000-0400-00009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a:extLst>
            <a:ext uri="{FF2B5EF4-FFF2-40B4-BE49-F238E27FC236}">
              <a16:creationId xmlns:a16="http://schemas.microsoft.com/office/drawing/2014/main" id="{00000000-0008-0000-0400-00009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a:extLst>
            <a:ext uri="{FF2B5EF4-FFF2-40B4-BE49-F238E27FC236}">
              <a16:creationId xmlns:a16="http://schemas.microsoft.com/office/drawing/2014/main" id="{00000000-0008-0000-0400-00009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a:extLst>
            <a:ext uri="{FF2B5EF4-FFF2-40B4-BE49-F238E27FC236}">
              <a16:creationId xmlns:a16="http://schemas.microsoft.com/office/drawing/2014/main" id="{00000000-0008-0000-0400-00009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a:extLst>
            <a:ext uri="{FF2B5EF4-FFF2-40B4-BE49-F238E27FC236}">
              <a16:creationId xmlns:a16="http://schemas.microsoft.com/office/drawing/2014/main" id="{00000000-0008-0000-0400-00009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a:extLst>
            <a:ext uri="{FF2B5EF4-FFF2-40B4-BE49-F238E27FC236}">
              <a16:creationId xmlns:a16="http://schemas.microsoft.com/office/drawing/2014/main" id="{00000000-0008-0000-0400-00009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a:extLst>
            <a:ext uri="{FF2B5EF4-FFF2-40B4-BE49-F238E27FC236}">
              <a16:creationId xmlns:a16="http://schemas.microsoft.com/office/drawing/2014/main" id="{00000000-0008-0000-0400-00009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a:extLst>
            <a:ext uri="{FF2B5EF4-FFF2-40B4-BE49-F238E27FC236}">
              <a16:creationId xmlns:a16="http://schemas.microsoft.com/office/drawing/2014/main" id="{00000000-0008-0000-0400-00009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a:extLst>
            <a:ext uri="{FF2B5EF4-FFF2-40B4-BE49-F238E27FC236}">
              <a16:creationId xmlns:a16="http://schemas.microsoft.com/office/drawing/2014/main" id="{00000000-0008-0000-0400-00009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a:extLst>
            <a:ext uri="{FF2B5EF4-FFF2-40B4-BE49-F238E27FC236}">
              <a16:creationId xmlns:a16="http://schemas.microsoft.com/office/drawing/2014/main" id="{00000000-0008-0000-0400-00009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a:extLst>
            <a:ext uri="{FF2B5EF4-FFF2-40B4-BE49-F238E27FC236}">
              <a16:creationId xmlns:a16="http://schemas.microsoft.com/office/drawing/2014/main" id="{00000000-0008-0000-0400-00009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a:extLst>
            <a:ext uri="{FF2B5EF4-FFF2-40B4-BE49-F238E27FC236}">
              <a16:creationId xmlns:a16="http://schemas.microsoft.com/office/drawing/2014/main" id="{00000000-0008-0000-0400-0000A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a:extLst>
            <a:ext uri="{FF2B5EF4-FFF2-40B4-BE49-F238E27FC236}">
              <a16:creationId xmlns:a16="http://schemas.microsoft.com/office/drawing/2014/main" id="{00000000-0008-0000-0400-0000A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a:extLst>
            <a:ext uri="{FF2B5EF4-FFF2-40B4-BE49-F238E27FC236}">
              <a16:creationId xmlns:a16="http://schemas.microsoft.com/office/drawing/2014/main" id="{00000000-0008-0000-0400-0000A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a:extLst>
            <a:ext uri="{FF2B5EF4-FFF2-40B4-BE49-F238E27FC236}">
              <a16:creationId xmlns:a16="http://schemas.microsoft.com/office/drawing/2014/main" id="{00000000-0008-0000-0400-0000A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a:extLst>
            <a:ext uri="{FF2B5EF4-FFF2-40B4-BE49-F238E27FC236}">
              <a16:creationId xmlns:a16="http://schemas.microsoft.com/office/drawing/2014/main" id="{00000000-0008-0000-0400-0000A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a:extLst>
            <a:ext uri="{FF2B5EF4-FFF2-40B4-BE49-F238E27FC236}">
              <a16:creationId xmlns:a16="http://schemas.microsoft.com/office/drawing/2014/main" id="{00000000-0008-0000-0400-0000A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a:extLst>
            <a:ext uri="{FF2B5EF4-FFF2-40B4-BE49-F238E27FC236}">
              <a16:creationId xmlns:a16="http://schemas.microsoft.com/office/drawing/2014/main" id="{00000000-0008-0000-0400-0000A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a:extLst>
            <a:ext uri="{FF2B5EF4-FFF2-40B4-BE49-F238E27FC236}">
              <a16:creationId xmlns:a16="http://schemas.microsoft.com/office/drawing/2014/main" id="{00000000-0008-0000-0400-0000A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a:extLst>
            <a:ext uri="{FF2B5EF4-FFF2-40B4-BE49-F238E27FC236}">
              <a16:creationId xmlns:a16="http://schemas.microsoft.com/office/drawing/2014/main" id="{00000000-0008-0000-0400-0000A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a:extLst>
            <a:ext uri="{FF2B5EF4-FFF2-40B4-BE49-F238E27FC236}">
              <a16:creationId xmlns:a16="http://schemas.microsoft.com/office/drawing/2014/main" id="{00000000-0008-0000-0400-0000A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a:extLst>
            <a:ext uri="{FF2B5EF4-FFF2-40B4-BE49-F238E27FC236}">
              <a16:creationId xmlns:a16="http://schemas.microsoft.com/office/drawing/2014/main" id="{00000000-0008-0000-0400-0000A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a:extLst>
            <a:ext uri="{FF2B5EF4-FFF2-40B4-BE49-F238E27FC236}">
              <a16:creationId xmlns:a16="http://schemas.microsoft.com/office/drawing/2014/main" id="{00000000-0008-0000-0400-0000A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a:extLst>
            <a:ext uri="{FF2B5EF4-FFF2-40B4-BE49-F238E27FC236}">
              <a16:creationId xmlns:a16="http://schemas.microsoft.com/office/drawing/2014/main" id="{00000000-0008-0000-0400-0000A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a:extLst>
            <a:ext uri="{FF2B5EF4-FFF2-40B4-BE49-F238E27FC236}">
              <a16:creationId xmlns:a16="http://schemas.microsoft.com/office/drawing/2014/main" id="{00000000-0008-0000-0400-0000A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a:extLst>
            <a:ext uri="{FF2B5EF4-FFF2-40B4-BE49-F238E27FC236}">
              <a16:creationId xmlns:a16="http://schemas.microsoft.com/office/drawing/2014/main" id="{00000000-0008-0000-0400-0000A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a:extLst>
            <a:ext uri="{FF2B5EF4-FFF2-40B4-BE49-F238E27FC236}">
              <a16:creationId xmlns:a16="http://schemas.microsoft.com/office/drawing/2014/main" id="{00000000-0008-0000-0400-0000A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a:extLst>
            <a:ext uri="{FF2B5EF4-FFF2-40B4-BE49-F238E27FC236}">
              <a16:creationId xmlns:a16="http://schemas.microsoft.com/office/drawing/2014/main" id="{00000000-0008-0000-0400-0000B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a:extLst>
            <a:ext uri="{FF2B5EF4-FFF2-40B4-BE49-F238E27FC236}">
              <a16:creationId xmlns:a16="http://schemas.microsoft.com/office/drawing/2014/main" id="{00000000-0008-0000-0400-0000B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a:extLst>
            <a:ext uri="{FF2B5EF4-FFF2-40B4-BE49-F238E27FC236}">
              <a16:creationId xmlns:a16="http://schemas.microsoft.com/office/drawing/2014/main" id="{00000000-0008-0000-0400-0000B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a:extLst>
            <a:ext uri="{FF2B5EF4-FFF2-40B4-BE49-F238E27FC236}">
              <a16:creationId xmlns:a16="http://schemas.microsoft.com/office/drawing/2014/main" id="{00000000-0008-0000-0400-0000B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a:extLst>
            <a:ext uri="{FF2B5EF4-FFF2-40B4-BE49-F238E27FC236}">
              <a16:creationId xmlns:a16="http://schemas.microsoft.com/office/drawing/2014/main" id="{00000000-0008-0000-0400-0000B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a:extLst>
            <a:ext uri="{FF2B5EF4-FFF2-40B4-BE49-F238E27FC236}">
              <a16:creationId xmlns:a16="http://schemas.microsoft.com/office/drawing/2014/main" id="{00000000-0008-0000-0400-0000B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a:extLst>
            <a:ext uri="{FF2B5EF4-FFF2-40B4-BE49-F238E27FC236}">
              <a16:creationId xmlns:a16="http://schemas.microsoft.com/office/drawing/2014/main" id="{00000000-0008-0000-0400-0000B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a:extLst>
            <a:ext uri="{FF2B5EF4-FFF2-40B4-BE49-F238E27FC236}">
              <a16:creationId xmlns:a16="http://schemas.microsoft.com/office/drawing/2014/main" id="{00000000-0008-0000-0400-0000B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a:extLst>
            <a:ext uri="{FF2B5EF4-FFF2-40B4-BE49-F238E27FC236}">
              <a16:creationId xmlns:a16="http://schemas.microsoft.com/office/drawing/2014/main" id="{00000000-0008-0000-0400-0000B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a:extLst>
            <a:ext uri="{FF2B5EF4-FFF2-40B4-BE49-F238E27FC236}">
              <a16:creationId xmlns:a16="http://schemas.microsoft.com/office/drawing/2014/main" id="{00000000-0008-0000-0400-0000B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a:extLst>
            <a:ext uri="{FF2B5EF4-FFF2-40B4-BE49-F238E27FC236}">
              <a16:creationId xmlns:a16="http://schemas.microsoft.com/office/drawing/2014/main" id="{00000000-0008-0000-0400-0000B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a:extLst>
            <a:ext uri="{FF2B5EF4-FFF2-40B4-BE49-F238E27FC236}">
              <a16:creationId xmlns:a16="http://schemas.microsoft.com/office/drawing/2014/main" id="{00000000-0008-0000-0400-0000B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a:extLst>
            <a:ext uri="{FF2B5EF4-FFF2-40B4-BE49-F238E27FC236}">
              <a16:creationId xmlns:a16="http://schemas.microsoft.com/office/drawing/2014/main" id="{00000000-0008-0000-0400-0000B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a:extLst>
            <a:ext uri="{FF2B5EF4-FFF2-40B4-BE49-F238E27FC236}">
              <a16:creationId xmlns:a16="http://schemas.microsoft.com/office/drawing/2014/main" id="{00000000-0008-0000-0400-0000B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a:extLst>
            <a:ext uri="{FF2B5EF4-FFF2-40B4-BE49-F238E27FC236}">
              <a16:creationId xmlns:a16="http://schemas.microsoft.com/office/drawing/2014/main" id="{00000000-0008-0000-0400-0000B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a:extLst>
            <a:ext uri="{FF2B5EF4-FFF2-40B4-BE49-F238E27FC236}">
              <a16:creationId xmlns:a16="http://schemas.microsoft.com/office/drawing/2014/main" id="{00000000-0008-0000-0400-0000B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a:extLst>
            <a:ext uri="{FF2B5EF4-FFF2-40B4-BE49-F238E27FC236}">
              <a16:creationId xmlns:a16="http://schemas.microsoft.com/office/drawing/2014/main" id="{00000000-0008-0000-0400-0000C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a:extLst>
            <a:ext uri="{FF2B5EF4-FFF2-40B4-BE49-F238E27FC236}">
              <a16:creationId xmlns:a16="http://schemas.microsoft.com/office/drawing/2014/main" id="{00000000-0008-0000-0400-0000C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a:extLst>
            <a:ext uri="{FF2B5EF4-FFF2-40B4-BE49-F238E27FC236}">
              <a16:creationId xmlns:a16="http://schemas.microsoft.com/office/drawing/2014/main" id="{00000000-0008-0000-0400-0000C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a:extLst>
            <a:ext uri="{FF2B5EF4-FFF2-40B4-BE49-F238E27FC236}">
              <a16:creationId xmlns:a16="http://schemas.microsoft.com/office/drawing/2014/main" id="{00000000-0008-0000-0400-0000C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a:extLst>
            <a:ext uri="{FF2B5EF4-FFF2-40B4-BE49-F238E27FC236}">
              <a16:creationId xmlns:a16="http://schemas.microsoft.com/office/drawing/2014/main" id="{00000000-0008-0000-0400-0000C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a:extLst>
            <a:ext uri="{FF2B5EF4-FFF2-40B4-BE49-F238E27FC236}">
              <a16:creationId xmlns:a16="http://schemas.microsoft.com/office/drawing/2014/main" id="{00000000-0008-0000-0400-0000C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a:extLst>
            <a:ext uri="{FF2B5EF4-FFF2-40B4-BE49-F238E27FC236}">
              <a16:creationId xmlns:a16="http://schemas.microsoft.com/office/drawing/2014/main" id="{00000000-0008-0000-0400-0000C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a:extLst>
            <a:ext uri="{FF2B5EF4-FFF2-40B4-BE49-F238E27FC236}">
              <a16:creationId xmlns:a16="http://schemas.microsoft.com/office/drawing/2014/main" id="{00000000-0008-0000-0400-0000C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a:extLst>
            <a:ext uri="{FF2B5EF4-FFF2-40B4-BE49-F238E27FC236}">
              <a16:creationId xmlns:a16="http://schemas.microsoft.com/office/drawing/2014/main" id="{00000000-0008-0000-0400-0000C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a:extLst>
            <a:ext uri="{FF2B5EF4-FFF2-40B4-BE49-F238E27FC236}">
              <a16:creationId xmlns:a16="http://schemas.microsoft.com/office/drawing/2014/main" id="{00000000-0008-0000-0400-0000C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a:extLst>
            <a:ext uri="{FF2B5EF4-FFF2-40B4-BE49-F238E27FC236}">
              <a16:creationId xmlns:a16="http://schemas.microsoft.com/office/drawing/2014/main" id="{00000000-0008-0000-0400-0000C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a:extLst>
            <a:ext uri="{FF2B5EF4-FFF2-40B4-BE49-F238E27FC236}">
              <a16:creationId xmlns:a16="http://schemas.microsoft.com/office/drawing/2014/main" id="{00000000-0008-0000-0400-0000C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a:extLst>
            <a:ext uri="{FF2B5EF4-FFF2-40B4-BE49-F238E27FC236}">
              <a16:creationId xmlns:a16="http://schemas.microsoft.com/office/drawing/2014/main" id="{00000000-0008-0000-0400-0000C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a:extLst>
            <a:ext uri="{FF2B5EF4-FFF2-40B4-BE49-F238E27FC236}">
              <a16:creationId xmlns:a16="http://schemas.microsoft.com/office/drawing/2014/main" id="{00000000-0008-0000-0400-0000C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a:extLst>
            <a:ext uri="{FF2B5EF4-FFF2-40B4-BE49-F238E27FC236}">
              <a16:creationId xmlns:a16="http://schemas.microsoft.com/office/drawing/2014/main" id="{00000000-0008-0000-0400-0000C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a:extLst>
            <a:ext uri="{FF2B5EF4-FFF2-40B4-BE49-F238E27FC236}">
              <a16:creationId xmlns:a16="http://schemas.microsoft.com/office/drawing/2014/main" id="{00000000-0008-0000-0400-0000C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a:extLst>
            <a:ext uri="{FF2B5EF4-FFF2-40B4-BE49-F238E27FC236}">
              <a16:creationId xmlns:a16="http://schemas.microsoft.com/office/drawing/2014/main" id="{00000000-0008-0000-0400-0000D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a:extLst>
            <a:ext uri="{FF2B5EF4-FFF2-40B4-BE49-F238E27FC236}">
              <a16:creationId xmlns:a16="http://schemas.microsoft.com/office/drawing/2014/main" id="{00000000-0008-0000-0400-0000D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a:extLst>
            <a:ext uri="{FF2B5EF4-FFF2-40B4-BE49-F238E27FC236}">
              <a16:creationId xmlns:a16="http://schemas.microsoft.com/office/drawing/2014/main" id="{00000000-0008-0000-0400-0000D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a:extLst>
            <a:ext uri="{FF2B5EF4-FFF2-40B4-BE49-F238E27FC236}">
              <a16:creationId xmlns:a16="http://schemas.microsoft.com/office/drawing/2014/main" id="{00000000-0008-0000-0400-0000D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a:extLst>
            <a:ext uri="{FF2B5EF4-FFF2-40B4-BE49-F238E27FC236}">
              <a16:creationId xmlns:a16="http://schemas.microsoft.com/office/drawing/2014/main" id="{00000000-0008-0000-0400-0000D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a:extLst>
            <a:ext uri="{FF2B5EF4-FFF2-40B4-BE49-F238E27FC236}">
              <a16:creationId xmlns:a16="http://schemas.microsoft.com/office/drawing/2014/main" id="{00000000-0008-0000-0400-0000D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a:extLst>
            <a:ext uri="{FF2B5EF4-FFF2-40B4-BE49-F238E27FC236}">
              <a16:creationId xmlns:a16="http://schemas.microsoft.com/office/drawing/2014/main" id="{00000000-0008-0000-0400-0000D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a:extLst>
            <a:ext uri="{FF2B5EF4-FFF2-40B4-BE49-F238E27FC236}">
              <a16:creationId xmlns:a16="http://schemas.microsoft.com/office/drawing/2014/main" id="{00000000-0008-0000-0400-0000D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a:extLst>
            <a:ext uri="{FF2B5EF4-FFF2-40B4-BE49-F238E27FC236}">
              <a16:creationId xmlns:a16="http://schemas.microsoft.com/office/drawing/2014/main" id="{00000000-0008-0000-0400-0000D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a:extLst>
            <a:ext uri="{FF2B5EF4-FFF2-40B4-BE49-F238E27FC236}">
              <a16:creationId xmlns:a16="http://schemas.microsoft.com/office/drawing/2014/main" id="{00000000-0008-0000-0400-0000D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a:extLst>
            <a:ext uri="{FF2B5EF4-FFF2-40B4-BE49-F238E27FC236}">
              <a16:creationId xmlns:a16="http://schemas.microsoft.com/office/drawing/2014/main" id="{00000000-0008-0000-0400-0000D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a:extLst>
            <a:ext uri="{FF2B5EF4-FFF2-40B4-BE49-F238E27FC236}">
              <a16:creationId xmlns:a16="http://schemas.microsoft.com/office/drawing/2014/main" id="{00000000-0008-0000-0400-0000D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a:extLst>
            <a:ext uri="{FF2B5EF4-FFF2-40B4-BE49-F238E27FC236}">
              <a16:creationId xmlns:a16="http://schemas.microsoft.com/office/drawing/2014/main" id="{00000000-0008-0000-0400-0000D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a:extLst>
            <a:ext uri="{FF2B5EF4-FFF2-40B4-BE49-F238E27FC236}">
              <a16:creationId xmlns:a16="http://schemas.microsoft.com/office/drawing/2014/main" id="{00000000-0008-0000-0400-0000D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a:extLst>
            <a:ext uri="{FF2B5EF4-FFF2-40B4-BE49-F238E27FC236}">
              <a16:creationId xmlns:a16="http://schemas.microsoft.com/office/drawing/2014/main" id="{00000000-0008-0000-0400-0000D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a:extLst>
            <a:ext uri="{FF2B5EF4-FFF2-40B4-BE49-F238E27FC236}">
              <a16:creationId xmlns:a16="http://schemas.microsoft.com/office/drawing/2014/main" id="{00000000-0008-0000-0400-0000D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a:extLst>
            <a:ext uri="{FF2B5EF4-FFF2-40B4-BE49-F238E27FC236}">
              <a16:creationId xmlns:a16="http://schemas.microsoft.com/office/drawing/2014/main" id="{00000000-0008-0000-0400-0000E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a:extLst>
            <a:ext uri="{FF2B5EF4-FFF2-40B4-BE49-F238E27FC236}">
              <a16:creationId xmlns:a16="http://schemas.microsoft.com/office/drawing/2014/main" id="{00000000-0008-0000-0400-0000E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a:extLst>
            <a:ext uri="{FF2B5EF4-FFF2-40B4-BE49-F238E27FC236}">
              <a16:creationId xmlns:a16="http://schemas.microsoft.com/office/drawing/2014/main" id="{00000000-0008-0000-0400-0000E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a:extLst>
            <a:ext uri="{FF2B5EF4-FFF2-40B4-BE49-F238E27FC236}">
              <a16:creationId xmlns:a16="http://schemas.microsoft.com/office/drawing/2014/main" id="{00000000-0008-0000-0400-0000E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a:extLst>
            <a:ext uri="{FF2B5EF4-FFF2-40B4-BE49-F238E27FC236}">
              <a16:creationId xmlns:a16="http://schemas.microsoft.com/office/drawing/2014/main" id="{00000000-0008-0000-0400-0000E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a:extLst>
            <a:ext uri="{FF2B5EF4-FFF2-40B4-BE49-F238E27FC236}">
              <a16:creationId xmlns:a16="http://schemas.microsoft.com/office/drawing/2014/main" id="{00000000-0008-0000-0400-0000E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a:extLst>
            <a:ext uri="{FF2B5EF4-FFF2-40B4-BE49-F238E27FC236}">
              <a16:creationId xmlns:a16="http://schemas.microsoft.com/office/drawing/2014/main" id="{00000000-0008-0000-0400-0000E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a:extLst>
            <a:ext uri="{FF2B5EF4-FFF2-40B4-BE49-F238E27FC236}">
              <a16:creationId xmlns:a16="http://schemas.microsoft.com/office/drawing/2014/main" id="{00000000-0008-0000-0400-0000E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a:extLst>
            <a:ext uri="{FF2B5EF4-FFF2-40B4-BE49-F238E27FC236}">
              <a16:creationId xmlns:a16="http://schemas.microsoft.com/office/drawing/2014/main" id="{00000000-0008-0000-0400-0000E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a:extLst>
            <a:ext uri="{FF2B5EF4-FFF2-40B4-BE49-F238E27FC236}">
              <a16:creationId xmlns:a16="http://schemas.microsoft.com/office/drawing/2014/main" id="{00000000-0008-0000-0400-0000E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a:extLst>
            <a:ext uri="{FF2B5EF4-FFF2-40B4-BE49-F238E27FC236}">
              <a16:creationId xmlns:a16="http://schemas.microsoft.com/office/drawing/2014/main" id="{00000000-0008-0000-0400-0000E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a:extLst>
            <a:ext uri="{FF2B5EF4-FFF2-40B4-BE49-F238E27FC236}">
              <a16:creationId xmlns:a16="http://schemas.microsoft.com/office/drawing/2014/main" id="{00000000-0008-0000-0400-0000E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a:extLst>
            <a:ext uri="{FF2B5EF4-FFF2-40B4-BE49-F238E27FC236}">
              <a16:creationId xmlns:a16="http://schemas.microsoft.com/office/drawing/2014/main" id="{00000000-0008-0000-0400-0000E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a:extLst>
            <a:ext uri="{FF2B5EF4-FFF2-40B4-BE49-F238E27FC236}">
              <a16:creationId xmlns:a16="http://schemas.microsoft.com/office/drawing/2014/main" id="{00000000-0008-0000-0400-0000E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a:extLst>
            <a:ext uri="{FF2B5EF4-FFF2-40B4-BE49-F238E27FC236}">
              <a16:creationId xmlns:a16="http://schemas.microsoft.com/office/drawing/2014/main" id="{00000000-0008-0000-0400-0000E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a:extLst>
            <a:ext uri="{FF2B5EF4-FFF2-40B4-BE49-F238E27FC236}">
              <a16:creationId xmlns:a16="http://schemas.microsoft.com/office/drawing/2014/main" id="{00000000-0008-0000-0400-0000E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a:extLst>
            <a:ext uri="{FF2B5EF4-FFF2-40B4-BE49-F238E27FC236}">
              <a16:creationId xmlns:a16="http://schemas.microsoft.com/office/drawing/2014/main" id="{00000000-0008-0000-0400-0000F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a:extLst>
            <a:ext uri="{FF2B5EF4-FFF2-40B4-BE49-F238E27FC236}">
              <a16:creationId xmlns:a16="http://schemas.microsoft.com/office/drawing/2014/main" id="{00000000-0008-0000-0400-0000F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a:extLst>
            <a:ext uri="{FF2B5EF4-FFF2-40B4-BE49-F238E27FC236}">
              <a16:creationId xmlns:a16="http://schemas.microsoft.com/office/drawing/2014/main" id="{00000000-0008-0000-0400-0000F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a:extLst>
            <a:ext uri="{FF2B5EF4-FFF2-40B4-BE49-F238E27FC236}">
              <a16:creationId xmlns:a16="http://schemas.microsoft.com/office/drawing/2014/main" id="{00000000-0008-0000-0400-0000F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a:extLst>
            <a:ext uri="{FF2B5EF4-FFF2-40B4-BE49-F238E27FC236}">
              <a16:creationId xmlns:a16="http://schemas.microsoft.com/office/drawing/2014/main" id="{00000000-0008-0000-0400-0000F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a:extLst>
            <a:ext uri="{FF2B5EF4-FFF2-40B4-BE49-F238E27FC236}">
              <a16:creationId xmlns:a16="http://schemas.microsoft.com/office/drawing/2014/main" id="{00000000-0008-0000-0400-0000F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a:extLst>
            <a:ext uri="{FF2B5EF4-FFF2-40B4-BE49-F238E27FC236}">
              <a16:creationId xmlns:a16="http://schemas.microsoft.com/office/drawing/2014/main" id="{00000000-0008-0000-0400-0000F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a:extLst>
            <a:ext uri="{FF2B5EF4-FFF2-40B4-BE49-F238E27FC236}">
              <a16:creationId xmlns:a16="http://schemas.microsoft.com/office/drawing/2014/main" id="{00000000-0008-0000-0400-0000F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a:extLst>
            <a:ext uri="{FF2B5EF4-FFF2-40B4-BE49-F238E27FC236}">
              <a16:creationId xmlns:a16="http://schemas.microsoft.com/office/drawing/2014/main" id="{00000000-0008-0000-0400-0000F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a:extLst>
            <a:ext uri="{FF2B5EF4-FFF2-40B4-BE49-F238E27FC236}">
              <a16:creationId xmlns:a16="http://schemas.microsoft.com/office/drawing/2014/main" id="{00000000-0008-0000-0400-0000F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a:extLst>
            <a:ext uri="{FF2B5EF4-FFF2-40B4-BE49-F238E27FC236}">
              <a16:creationId xmlns:a16="http://schemas.microsoft.com/office/drawing/2014/main" id="{00000000-0008-0000-0400-0000F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a:extLst>
            <a:ext uri="{FF2B5EF4-FFF2-40B4-BE49-F238E27FC236}">
              <a16:creationId xmlns:a16="http://schemas.microsoft.com/office/drawing/2014/main" id="{00000000-0008-0000-0400-0000F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a:extLst>
            <a:ext uri="{FF2B5EF4-FFF2-40B4-BE49-F238E27FC236}">
              <a16:creationId xmlns:a16="http://schemas.microsoft.com/office/drawing/2014/main" id="{00000000-0008-0000-0400-0000F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a:extLst>
            <a:ext uri="{FF2B5EF4-FFF2-40B4-BE49-F238E27FC236}">
              <a16:creationId xmlns:a16="http://schemas.microsoft.com/office/drawing/2014/main" id="{00000000-0008-0000-0400-0000F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a:extLst>
            <a:ext uri="{FF2B5EF4-FFF2-40B4-BE49-F238E27FC236}">
              <a16:creationId xmlns:a16="http://schemas.microsoft.com/office/drawing/2014/main" id="{00000000-0008-0000-0400-0000F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a:extLst>
            <a:ext uri="{FF2B5EF4-FFF2-40B4-BE49-F238E27FC236}">
              <a16:creationId xmlns:a16="http://schemas.microsoft.com/office/drawing/2014/main" id="{00000000-0008-0000-0400-0000F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a:extLst>
            <a:ext uri="{FF2B5EF4-FFF2-40B4-BE49-F238E27FC236}">
              <a16:creationId xmlns:a16="http://schemas.microsoft.com/office/drawing/2014/main" id="{00000000-0008-0000-0400-00000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a:extLst>
            <a:ext uri="{FF2B5EF4-FFF2-40B4-BE49-F238E27FC236}">
              <a16:creationId xmlns:a16="http://schemas.microsoft.com/office/drawing/2014/main" id="{00000000-0008-0000-0400-00000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a:extLst>
            <a:ext uri="{FF2B5EF4-FFF2-40B4-BE49-F238E27FC236}">
              <a16:creationId xmlns:a16="http://schemas.microsoft.com/office/drawing/2014/main" id="{00000000-0008-0000-04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a:extLst>
            <a:ext uri="{FF2B5EF4-FFF2-40B4-BE49-F238E27FC236}">
              <a16:creationId xmlns:a16="http://schemas.microsoft.com/office/drawing/2014/main" id="{00000000-0008-0000-0400-00000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a:extLst>
            <a:ext uri="{FF2B5EF4-FFF2-40B4-BE49-F238E27FC236}">
              <a16:creationId xmlns:a16="http://schemas.microsoft.com/office/drawing/2014/main" id="{00000000-0008-0000-0400-00000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a:extLst>
            <a:ext uri="{FF2B5EF4-FFF2-40B4-BE49-F238E27FC236}">
              <a16:creationId xmlns:a16="http://schemas.microsoft.com/office/drawing/2014/main" id="{00000000-0008-0000-0400-00000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a:extLst>
            <a:ext uri="{FF2B5EF4-FFF2-40B4-BE49-F238E27FC236}">
              <a16:creationId xmlns:a16="http://schemas.microsoft.com/office/drawing/2014/main" id="{00000000-0008-0000-0400-00000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a:extLst>
            <a:ext uri="{FF2B5EF4-FFF2-40B4-BE49-F238E27FC236}">
              <a16:creationId xmlns:a16="http://schemas.microsoft.com/office/drawing/2014/main" id="{00000000-0008-0000-0400-00000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a:extLst>
            <a:ext uri="{FF2B5EF4-FFF2-40B4-BE49-F238E27FC236}">
              <a16:creationId xmlns:a16="http://schemas.microsoft.com/office/drawing/2014/main" id="{00000000-0008-0000-0400-00000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a:extLst>
            <a:ext uri="{FF2B5EF4-FFF2-40B4-BE49-F238E27FC236}">
              <a16:creationId xmlns:a16="http://schemas.microsoft.com/office/drawing/2014/main" id="{00000000-0008-0000-0400-00000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a:extLst>
            <a:ext uri="{FF2B5EF4-FFF2-40B4-BE49-F238E27FC236}">
              <a16:creationId xmlns:a16="http://schemas.microsoft.com/office/drawing/2014/main" id="{00000000-0008-0000-0400-00000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a:extLst>
            <a:ext uri="{FF2B5EF4-FFF2-40B4-BE49-F238E27FC236}">
              <a16:creationId xmlns:a16="http://schemas.microsoft.com/office/drawing/2014/main" id="{00000000-0008-0000-0400-00000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a:extLst>
            <a:ext uri="{FF2B5EF4-FFF2-40B4-BE49-F238E27FC236}">
              <a16:creationId xmlns:a16="http://schemas.microsoft.com/office/drawing/2014/main" id="{00000000-0008-0000-0400-00000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a:extLst>
            <a:ext uri="{FF2B5EF4-FFF2-40B4-BE49-F238E27FC236}">
              <a16:creationId xmlns:a16="http://schemas.microsoft.com/office/drawing/2014/main" id="{00000000-0008-0000-0400-00000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a:extLst>
            <a:ext uri="{FF2B5EF4-FFF2-40B4-BE49-F238E27FC236}">
              <a16:creationId xmlns:a16="http://schemas.microsoft.com/office/drawing/2014/main" id="{00000000-0008-0000-0400-00000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a:extLst>
            <a:ext uri="{FF2B5EF4-FFF2-40B4-BE49-F238E27FC236}">
              <a16:creationId xmlns:a16="http://schemas.microsoft.com/office/drawing/2014/main" id="{00000000-0008-0000-0400-00000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a:extLst>
            <a:ext uri="{FF2B5EF4-FFF2-40B4-BE49-F238E27FC236}">
              <a16:creationId xmlns:a16="http://schemas.microsoft.com/office/drawing/2014/main" id="{00000000-0008-0000-0400-00001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a:extLst>
            <a:ext uri="{FF2B5EF4-FFF2-40B4-BE49-F238E27FC236}">
              <a16:creationId xmlns:a16="http://schemas.microsoft.com/office/drawing/2014/main" id="{00000000-0008-0000-0400-00001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a:extLst>
            <a:ext uri="{FF2B5EF4-FFF2-40B4-BE49-F238E27FC236}">
              <a16:creationId xmlns:a16="http://schemas.microsoft.com/office/drawing/2014/main" id="{00000000-0008-0000-0400-00001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a:extLst>
            <a:ext uri="{FF2B5EF4-FFF2-40B4-BE49-F238E27FC236}">
              <a16:creationId xmlns:a16="http://schemas.microsoft.com/office/drawing/2014/main" id="{00000000-0008-0000-0400-00001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a:extLst>
            <a:ext uri="{FF2B5EF4-FFF2-40B4-BE49-F238E27FC236}">
              <a16:creationId xmlns:a16="http://schemas.microsoft.com/office/drawing/2014/main" id="{00000000-0008-0000-0400-00001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a:extLst>
            <a:ext uri="{FF2B5EF4-FFF2-40B4-BE49-F238E27FC236}">
              <a16:creationId xmlns:a16="http://schemas.microsoft.com/office/drawing/2014/main" id="{00000000-0008-0000-0400-00001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a:extLst>
            <a:ext uri="{FF2B5EF4-FFF2-40B4-BE49-F238E27FC236}">
              <a16:creationId xmlns:a16="http://schemas.microsoft.com/office/drawing/2014/main" id="{00000000-0008-0000-0400-00001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a:extLst>
            <a:ext uri="{FF2B5EF4-FFF2-40B4-BE49-F238E27FC236}">
              <a16:creationId xmlns:a16="http://schemas.microsoft.com/office/drawing/2014/main" id="{00000000-0008-0000-0400-00001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a:extLst>
            <a:ext uri="{FF2B5EF4-FFF2-40B4-BE49-F238E27FC236}">
              <a16:creationId xmlns:a16="http://schemas.microsoft.com/office/drawing/2014/main" id="{00000000-0008-0000-0400-00001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a:extLst>
            <a:ext uri="{FF2B5EF4-FFF2-40B4-BE49-F238E27FC236}">
              <a16:creationId xmlns:a16="http://schemas.microsoft.com/office/drawing/2014/main" id="{00000000-0008-0000-0400-00001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a:extLst>
            <a:ext uri="{FF2B5EF4-FFF2-40B4-BE49-F238E27FC236}">
              <a16:creationId xmlns:a16="http://schemas.microsoft.com/office/drawing/2014/main" id="{00000000-0008-0000-0400-00001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a:extLst>
            <a:ext uri="{FF2B5EF4-FFF2-40B4-BE49-F238E27FC236}">
              <a16:creationId xmlns:a16="http://schemas.microsoft.com/office/drawing/2014/main" id="{00000000-0008-0000-0400-00001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a:extLst>
            <a:ext uri="{FF2B5EF4-FFF2-40B4-BE49-F238E27FC236}">
              <a16:creationId xmlns:a16="http://schemas.microsoft.com/office/drawing/2014/main" id="{00000000-0008-0000-0400-00001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a:extLst>
            <a:ext uri="{FF2B5EF4-FFF2-40B4-BE49-F238E27FC236}">
              <a16:creationId xmlns:a16="http://schemas.microsoft.com/office/drawing/2014/main" id="{00000000-0008-0000-0400-00001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a:extLst>
            <a:ext uri="{FF2B5EF4-FFF2-40B4-BE49-F238E27FC236}">
              <a16:creationId xmlns:a16="http://schemas.microsoft.com/office/drawing/2014/main" id="{00000000-0008-0000-0400-00001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a:extLst>
            <a:ext uri="{FF2B5EF4-FFF2-40B4-BE49-F238E27FC236}">
              <a16:creationId xmlns:a16="http://schemas.microsoft.com/office/drawing/2014/main" id="{00000000-0008-0000-0400-00001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a:extLst>
            <a:ext uri="{FF2B5EF4-FFF2-40B4-BE49-F238E27FC236}">
              <a16:creationId xmlns:a16="http://schemas.microsoft.com/office/drawing/2014/main" id="{00000000-0008-0000-0400-00002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a:extLst>
            <a:ext uri="{FF2B5EF4-FFF2-40B4-BE49-F238E27FC236}">
              <a16:creationId xmlns:a16="http://schemas.microsoft.com/office/drawing/2014/main" id="{00000000-0008-0000-0400-00002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a:extLst>
            <a:ext uri="{FF2B5EF4-FFF2-40B4-BE49-F238E27FC236}">
              <a16:creationId xmlns:a16="http://schemas.microsoft.com/office/drawing/2014/main" id="{00000000-0008-0000-0400-00002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a:extLst>
            <a:ext uri="{FF2B5EF4-FFF2-40B4-BE49-F238E27FC236}">
              <a16:creationId xmlns:a16="http://schemas.microsoft.com/office/drawing/2014/main" id="{00000000-0008-0000-0400-00002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a:extLst>
            <a:ext uri="{FF2B5EF4-FFF2-40B4-BE49-F238E27FC236}">
              <a16:creationId xmlns:a16="http://schemas.microsoft.com/office/drawing/2014/main" id="{00000000-0008-0000-0400-00002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a:extLst>
            <a:ext uri="{FF2B5EF4-FFF2-40B4-BE49-F238E27FC236}">
              <a16:creationId xmlns:a16="http://schemas.microsoft.com/office/drawing/2014/main" id="{00000000-0008-0000-0400-00002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a:extLst>
            <a:ext uri="{FF2B5EF4-FFF2-40B4-BE49-F238E27FC236}">
              <a16:creationId xmlns:a16="http://schemas.microsoft.com/office/drawing/2014/main" id="{00000000-0008-0000-0400-00002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a:extLst>
            <a:ext uri="{FF2B5EF4-FFF2-40B4-BE49-F238E27FC236}">
              <a16:creationId xmlns:a16="http://schemas.microsoft.com/office/drawing/2014/main" id="{00000000-0008-0000-0400-00002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a:extLst>
            <a:ext uri="{FF2B5EF4-FFF2-40B4-BE49-F238E27FC236}">
              <a16:creationId xmlns:a16="http://schemas.microsoft.com/office/drawing/2014/main" id="{00000000-0008-0000-0400-00002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a:extLst>
            <a:ext uri="{FF2B5EF4-FFF2-40B4-BE49-F238E27FC236}">
              <a16:creationId xmlns:a16="http://schemas.microsoft.com/office/drawing/2014/main" id="{00000000-0008-0000-0400-00002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a:extLst>
            <a:ext uri="{FF2B5EF4-FFF2-40B4-BE49-F238E27FC236}">
              <a16:creationId xmlns:a16="http://schemas.microsoft.com/office/drawing/2014/main" id="{00000000-0008-0000-0400-00002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a:extLst>
            <a:ext uri="{FF2B5EF4-FFF2-40B4-BE49-F238E27FC236}">
              <a16:creationId xmlns:a16="http://schemas.microsoft.com/office/drawing/2014/main" id="{00000000-0008-0000-0400-00002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a:extLst>
            <a:ext uri="{FF2B5EF4-FFF2-40B4-BE49-F238E27FC236}">
              <a16:creationId xmlns:a16="http://schemas.microsoft.com/office/drawing/2014/main" id="{00000000-0008-0000-0400-00002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a:extLst>
            <a:ext uri="{FF2B5EF4-FFF2-40B4-BE49-F238E27FC236}">
              <a16:creationId xmlns:a16="http://schemas.microsoft.com/office/drawing/2014/main" id="{00000000-0008-0000-0400-00002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a:extLst>
            <a:ext uri="{FF2B5EF4-FFF2-40B4-BE49-F238E27FC236}">
              <a16:creationId xmlns:a16="http://schemas.microsoft.com/office/drawing/2014/main" id="{00000000-0008-0000-0400-00002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a:extLst>
            <a:ext uri="{FF2B5EF4-FFF2-40B4-BE49-F238E27FC236}">
              <a16:creationId xmlns:a16="http://schemas.microsoft.com/office/drawing/2014/main" id="{00000000-0008-0000-0400-00002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a:extLst>
            <a:ext uri="{FF2B5EF4-FFF2-40B4-BE49-F238E27FC236}">
              <a16:creationId xmlns:a16="http://schemas.microsoft.com/office/drawing/2014/main" id="{00000000-0008-0000-0400-00003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a:extLst>
            <a:ext uri="{FF2B5EF4-FFF2-40B4-BE49-F238E27FC236}">
              <a16:creationId xmlns:a16="http://schemas.microsoft.com/office/drawing/2014/main" id="{00000000-0008-0000-0400-00003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a:extLst>
            <a:ext uri="{FF2B5EF4-FFF2-40B4-BE49-F238E27FC236}">
              <a16:creationId xmlns:a16="http://schemas.microsoft.com/office/drawing/2014/main" id="{00000000-0008-0000-0400-00003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a:extLst>
            <a:ext uri="{FF2B5EF4-FFF2-40B4-BE49-F238E27FC236}">
              <a16:creationId xmlns:a16="http://schemas.microsoft.com/office/drawing/2014/main" id="{00000000-0008-0000-0400-00003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a:extLst>
            <a:ext uri="{FF2B5EF4-FFF2-40B4-BE49-F238E27FC236}">
              <a16:creationId xmlns:a16="http://schemas.microsoft.com/office/drawing/2014/main" id="{00000000-0008-0000-0400-00003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a:extLst>
            <a:ext uri="{FF2B5EF4-FFF2-40B4-BE49-F238E27FC236}">
              <a16:creationId xmlns:a16="http://schemas.microsoft.com/office/drawing/2014/main" id="{00000000-0008-0000-0400-00003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a:extLst>
            <a:ext uri="{FF2B5EF4-FFF2-40B4-BE49-F238E27FC236}">
              <a16:creationId xmlns:a16="http://schemas.microsoft.com/office/drawing/2014/main" id="{00000000-0008-0000-0400-00003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a:extLst>
            <a:ext uri="{FF2B5EF4-FFF2-40B4-BE49-F238E27FC236}">
              <a16:creationId xmlns:a16="http://schemas.microsoft.com/office/drawing/2014/main" id="{00000000-0008-0000-0400-00003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a:extLst>
            <a:ext uri="{FF2B5EF4-FFF2-40B4-BE49-F238E27FC236}">
              <a16:creationId xmlns:a16="http://schemas.microsoft.com/office/drawing/2014/main" id="{00000000-0008-0000-0400-00003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a:extLst>
            <a:ext uri="{FF2B5EF4-FFF2-40B4-BE49-F238E27FC236}">
              <a16:creationId xmlns:a16="http://schemas.microsoft.com/office/drawing/2014/main" id="{00000000-0008-0000-0400-00003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a:extLst>
            <a:ext uri="{FF2B5EF4-FFF2-40B4-BE49-F238E27FC236}">
              <a16:creationId xmlns:a16="http://schemas.microsoft.com/office/drawing/2014/main" id="{00000000-0008-0000-0400-00003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a:extLst>
            <a:ext uri="{FF2B5EF4-FFF2-40B4-BE49-F238E27FC236}">
              <a16:creationId xmlns:a16="http://schemas.microsoft.com/office/drawing/2014/main" id="{00000000-0008-0000-0400-00003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a:extLst>
            <a:ext uri="{FF2B5EF4-FFF2-40B4-BE49-F238E27FC236}">
              <a16:creationId xmlns:a16="http://schemas.microsoft.com/office/drawing/2014/main" id="{00000000-0008-0000-0400-00003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a:extLst>
            <a:ext uri="{FF2B5EF4-FFF2-40B4-BE49-F238E27FC236}">
              <a16:creationId xmlns:a16="http://schemas.microsoft.com/office/drawing/2014/main" id="{00000000-0008-0000-0400-00003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a:extLst>
            <a:ext uri="{FF2B5EF4-FFF2-40B4-BE49-F238E27FC236}">
              <a16:creationId xmlns:a16="http://schemas.microsoft.com/office/drawing/2014/main" id="{00000000-0008-0000-0400-00003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a:extLst>
            <a:ext uri="{FF2B5EF4-FFF2-40B4-BE49-F238E27FC236}">
              <a16:creationId xmlns:a16="http://schemas.microsoft.com/office/drawing/2014/main" id="{00000000-0008-0000-0400-00003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a:extLst>
            <a:ext uri="{FF2B5EF4-FFF2-40B4-BE49-F238E27FC236}">
              <a16:creationId xmlns:a16="http://schemas.microsoft.com/office/drawing/2014/main" id="{00000000-0008-0000-0400-00004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a:extLst>
            <a:ext uri="{FF2B5EF4-FFF2-40B4-BE49-F238E27FC236}">
              <a16:creationId xmlns:a16="http://schemas.microsoft.com/office/drawing/2014/main" id="{00000000-0008-0000-0400-00004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a:extLst>
            <a:ext uri="{FF2B5EF4-FFF2-40B4-BE49-F238E27FC236}">
              <a16:creationId xmlns:a16="http://schemas.microsoft.com/office/drawing/2014/main" id="{00000000-0008-0000-0400-00004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a:extLst>
            <a:ext uri="{FF2B5EF4-FFF2-40B4-BE49-F238E27FC236}">
              <a16:creationId xmlns:a16="http://schemas.microsoft.com/office/drawing/2014/main" id="{00000000-0008-0000-0400-00004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a:extLst>
            <a:ext uri="{FF2B5EF4-FFF2-40B4-BE49-F238E27FC236}">
              <a16:creationId xmlns:a16="http://schemas.microsoft.com/office/drawing/2014/main" id="{00000000-0008-0000-0400-00004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a:extLst>
            <a:ext uri="{FF2B5EF4-FFF2-40B4-BE49-F238E27FC236}">
              <a16:creationId xmlns:a16="http://schemas.microsoft.com/office/drawing/2014/main" id="{00000000-0008-0000-0400-00004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a:extLst>
            <a:ext uri="{FF2B5EF4-FFF2-40B4-BE49-F238E27FC236}">
              <a16:creationId xmlns:a16="http://schemas.microsoft.com/office/drawing/2014/main" id="{00000000-0008-0000-0400-00004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a:extLst>
            <a:ext uri="{FF2B5EF4-FFF2-40B4-BE49-F238E27FC236}">
              <a16:creationId xmlns:a16="http://schemas.microsoft.com/office/drawing/2014/main" id="{00000000-0008-0000-0400-00004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a:extLst>
            <a:ext uri="{FF2B5EF4-FFF2-40B4-BE49-F238E27FC236}">
              <a16:creationId xmlns:a16="http://schemas.microsoft.com/office/drawing/2014/main" id="{00000000-0008-0000-0400-00004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a:extLst>
            <a:ext uri="{FF2B5EF4-FFF2-40B4-BE49-F238E27FC236}">
              <a16:creationId xmlns:a16="http://schemas.microsoft.com/office/drawing/2014/main" id="{00000000-0008-0000-0400-00004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a:extLst>
            <a:ext uri="{FF2B5EF4-FFF2-40B4-BE49-F238E27FC236}">
              <a16:creationId xmlns:a16="http://schemas.microsoft.com/office/drawing/2014/main" id="{00000000-0008-0000-0400-00004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a:extLst>
            <a:ext uri="{FF2B5EF4-FFF2-40B4-BE49-F238E27FC236}">
              <a16:creationId xmlns:a16="http://schemas.microsoft.com/office/drawing/2014/main" id="{00000000-0008-0000-0400-00004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a:extLst>
            <a:ext uri="{FF2B5EF4-FFF2-40B4-BE49-F238E27FC236}">
              <a16:creationId xmlns:a16="http://schemas.microsoft.com/office/drawing/2014/main" id="{00000000-0008-0000-0400-00004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a:extLst>
            <a:ext uri="{FF2B5EF4-FFF2-40B4-BE49-F238E27FC236}">
              <a16:creationId xmlns:a16="http://schemas.microsoft.com/office/drawing/2014/main" id="{00000000-0008-0000-0400-00004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a:extLst>
            <a:ext uri="{FF2B5EF4-FFF2-40B4-BE49-F238E27FC236}">
              <a16:creationId xmlns:a16="http://schemas.microsoft.com/office/drawing/2014/main" id="{00000000-0008-0000-0400-00004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a:extLst>
            <a:ext uri="{FF2B5EF4-FFF2-40B4-BE49-F238E27FC236}">
              <a16:creationId xmlns:a16="http://schemas.microsoft.com/office/drawing/2014/main" id="{00000000-0008-0000-0400-00004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a:extLst>
            <a:ext uri="{FF2B5EF4-FFF2-40B4-BE49-F238E27FC236}">
              <a16:creationId xmlns:a16="http://schemas.microsoft.com/office/drawing/2014/main" id="{00000000-0008-0000-0400-00005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a:extLst>
            <a:ext uri="{FF2B5EF4-FFF2-40B4-BE49-F238E27FC236}">
              <a16:creationId xmlns:a16="http://schemas.microsoft.com/office/drawing/2014/main" id="{00000000-0008-0000-0400-00005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a:extLst>
            <a:ext uri="{FF2B5EF4-FFF2-40B4-BE49-F238E27FC236}">
              <a16:creationId xmlns:a16="http://schemas.microsoft.com/office/drawing/2014/main" id="{00000000-0008-0000-0400-00005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a:extLst>
            <a:ext uri="{FF2B5EF4-FFF2-40B4-BE49-F238E27FC236}">
              <a16:creationId xmlns:a16="http://schemas.microsoft.com/office/drawing/2014/main" id="{00000000-0008-0000-0400-00005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a:extLst>
            <a:ext uri="{FF2B5EF4-FFF2-40B4-BE49-F238E27FC236}">
              <a16:creationId xmlns:a16="http://schemas.microsoft.com/office/drawing/2014/main" id="{00000000-0008-0000-0400-00005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a:extLst>
            <a:ext uri="{FF2B5EF4-FFF2-40B4-BE49-F238E27FC236}">
              <a16:creationId xmlns:a16="http://schemas.microsoft.com/office/drawing/2014/main" id="{00000000-0008-0000-0400-00005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a:extLst>
            <a:ext uri="{FF2B5EF4-FFF2-40B4-BE49-F238E27FC236}">
              <a16:creationId xmlns:a16="http://schemas.microsoft.com/office/drawing/2014/main" id="{00000000-0008-0000-0400-00005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a:extLst>
            <a:ext uri="{FF2B5EF4-FFF2-40B4-BE49-F238E27FC236}">
              <a16:creationId xmlns:a16="http://schemas.microsoft.com/office/drawing/2014/main" id="{00000000-0008-0000-0400-00005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a:extLst>
            <a:ext uri="{FF2B5EF4-FFF2-40B4-BE49-F238E27FC236}">
              <a16:creationId xmlns:a16="http://schemas.microsoft.com/office/drawing/2014/main" id="{00000000-0008-0000-0400-00005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a:extLst>
            <a:ext uri="{FF2B5EF4-FFF2-40B4-BE49-F238E27FC236}">
              <a16:creationId xmlns:a16="http://schemas.microsoft.com/office/drawing/2014/main" id="{00000000-0008-0000-0400-00005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a:extLst>
            <a:ext uri="{FF2B5EF4-FFF2-40B4-BE49-F238E27FC236}">
              <a16:creationId xmlns:a16="http://schemas.microsoft.com/office/drawing/2014/main" id="{00000000-0008-0000-0400-00005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a:extLst>
            <a:ext uri="{FF2B5EF4-FFF2-40B4-BE49-F238E27FC236}">
              <a16:creationId xmlns:a16="http://schemas.microsoft.com/office/drawing/2014/main" id="{00000000-0008-0000-0400-00005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a:extLst>
            <a:ext uri="{FF2B5EF4-FFF2-40B4-BE49-F238E27FC236}">
              <a16:creationId xmlns:a16="http://schemas.microsoft.com/office/drawing/2014/main" id="{00000000-0008-0000-0400-00005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a:extLst>
            <a:ext uri="{FF2B5EF4-FFF2-40B4-BE49-F238E27FC236}">
              <a16:creationId xmlns:a16="http://schemas.microsoft.com/office/drawing/2014/main" id="{00000000-0008-0000-0400-00005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a:extLst>
            <a:ext uri="{FF2B5EF4-FFF2-40B4-BE49-F238E27FC236}">
              <a16:creationId xmlns:a16="http://schemas.microsoft.com/office/drawing/2014/main" id="{00000000-0008-0000-0400-00005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a:extLst>
            <a:ext uri="{FF2B5EF4-FFF2-40B4-BE49-F238E27FC236}">
              <a16:creationId xmlns:a16="http://schemas.microsoft.com/office/drawing/2014/main" id="{00000000-0008-0000-0400-00005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a:extLst>
            <a:ext uri="{FF2B5EF4-FFF2-40B4-BE49-F238E27FC236}">
              <a16:creationId xmlns:a16="http://schemas.microsoft.com/office/drawing/2014/main" id="{00000000-0008-0000-0400-00006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a:extLst>
            <a:ext uri="{FF2B5EF4-FFF2-40B4-BE49-F238E27FC236}">
              <a16:creationId xmlns:a16="http://schemas.microsoft.com/office/drawing/2014/main" id="{00000000-0008-0000-0400-00006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a:extLst>
            <a:ext uri="{FF2B5EF4-FFF2-40B4-BE49-F238E27FC236}">
              <a16:creationId xmlns:a16="http://schemas.microsoft.com/office/drawing/2014/main" id="{00000000-0008-0000-0400-00006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a:extLst>
            <a:ext uri="{FF2B5EF4-FFF2-40B4-BE49-F238E27FC236}">
              <a16:creationId xmlns:a16="http://schemas.microsoft.com/office/drawing/2014/main" id="{00000000-0008-0000-0400-00006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a:extLst>
            <a:ext uri="{FF2B5EF4-FFF2-40B4-BE49-F238E27FC236}">
              <a16:creationId xmlns:a16="http://schemas.microsoft.com/office/drawing/2014/main" id="{00000000-0008-0000-0400-00006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a:extLst>
            <a:ext uri="{FF2B5EF4-FFF2-40B4-BE49-F238E27FC236}">
              <a16:creationId xmlns:a16="http://schemas.microsoft.com/office/drawing/2014/main" id="{00000000-0008-0000-0400-00006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a:extLst>
            <a:ext uri="{FF2B5EF4-FFF2-40B4-BE49-F238E27FC236}">
              <a16:creationId xmlns:a16="http://schemas.microsoft.com/office/drawing/2014/main" id="{00000000-0008-0000-0400-00006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a:extLst>
            <a:ext uri="{FF2B5EF4-FFF2-40B4-BE49-F238E27FC236}">
              <a16:creationId xmlns:a16="http://schemas.microsoft.com/office/drawing/2014/main" id="{00000000-0008-0000-0400-00006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a:extLst>
            <a:ext uri="{FF2B5EF4-FFF2-40B4-BE49-F238E27FC236}">
              <a16:creationId xmlns:a16="http://schemas.microsoft.com/office/drawing/2014/main" id="{00000000-0008-0000-0400-00006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a:extLst>
            <a:ext uri="{FF2B5EF4-FFF2-40B4-BE49-F238E27FC236}">
              <a16:creationId xmlns:a16="http://schemas.microsoft.com/office/drawing/2014/main" id="{00000000-0008-0000-0400-00006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a:extLst>
            <a:ext uri="{FF2B5EF4-FFF2-40B4-BE49-F238E27FC236}">
              <a16:creationId xmlns:a16="http://schemas.microsoft.com/office/drawing/2014/main" id="{00000000-0008-0000-0400-00006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a:extLst>
            <a:ext uri="{FF2B5EF4-FFF2-40B4-BE49-F238E27FC236}">
              <a16:creationId xmlns:a16="http://schemas.microsoft.com/office/drawing/2014/main" id="{00000000-0008-0000-0400-00006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a:extLst>
            <a:ext uri="{FF2B5EF4-FFF2-40B4-BE49-F238E27FC236}">
              <a16:creationId xmlns:a16="http://schemas.microsoft.com/office/drawing/2014/main" id="{00000000-0008-0000-0400-00006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a:extLst>
            <a:ext uri="{FF2B5EF4-FFF2-40B4-BE49-F238E27FC236}">
              <a16:creationId xmlns:a16="http://schemas.microsoft.com/office/drawing/2014/main" id="{00000000-0008-0000-0400-00006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a:extLst>
            <a:ext uri="{FF2B5EF4-FFF2-40B4-BE49-F238E27FC236}">
              <a16:creationId xmlns:a16="http://schemas.microsoft.com/office/drawing/2014/main" id="{00000000-0008-0000-0400-00006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a:extLst>
            <a:ext uri="{FF2B5EF4-FFF2-40B4-BE49-F238E27FC236}">
              <a16:creationId xmlns:a16="http://schemas.microsoft.com/office/drawing/2014/main" id="{00000000-0008-0000-0400-00006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a:extLst>
            <a:ext uri="{FF2B5EF4-FFF2-40B4-BE49-F238E27FC236}">
              <a16:creationId xmlns:a16="http://schemas.microsoft.com/office/drawing/2014/main" id="{00000000-0008-0000-0400-00007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a:extLst>
            <a:ext uri="{FF2B5EF4-FFF2-40B4-BE49-F238E27FC236}">
              <a16:creationId xmlns:a16="http://schemas.microsoft.com/office/drawing/2014/main" id="{00000000-0008-0000-0400-00007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a:extLst>
            <a:ext uri="{FF2B5EF4-FFF2-40B4-BE49-F238E27FC236}">
              <a16:creationId xmlns:a16="http://schemas.microsoft.com/office/drawing/2014/main" id="{00000000-0008-0000-0400-00007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a:extLst>
            <a:ext uri="{FF2B5EF4-FFF2-40B4-BE49-F238E27FC236}">
              <a16:creationId xmlns:a16="http://schemas.microsoft.com/office/drawing/2014/main" id="{00000000-0008-0000-0400-00007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a:extLst>
            <a:ext uri="{FF2B5EF4-FFF2-40B4-BE49-F238E27FC236}">
              <a16:creationId xmlns:a16="http://schemas.microsoft.com/office/drawing/2014/main" id="{00000000-0008-0000-0400-00007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a:extLst>
            <a:ext uri="{FF2B5EF4-FFF2-40B4-BE49-F238E27FC236}">
              <a16:creationId xmlns:a16="http://schemas.microsoft.com/office/drawing/2014/main" id="{00000000-0008-0000-0400-00007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a:extLst>
            <a:ext uri="{FF2B5EF4-FFF2-40B4-BE49-F238E27FC236}">
              <a16:creationId xmlns:a16="http://schemas.microsoft.com/office/drawing/2014/main" id="{00000000-0008-0000-0400-00007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a:extLst>
            <a:ext uri="{FF2B5EF4-FFF2-40B4-BE49-F238E27FC236}">
              <a16:creationId xmlns:a16="http://schemas.microsoft.com/office/drawing/2014/main" id="{00000000-0008-0000-0400-00007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a:extLst>
            <a:ext uri="{FF2B5EF4-FFF2-40B4-BE49-F238E27FC236}">
              <a16:creationId xmlns:a16="http://schemas.microsoft.com/office/drawing/2014/main" id="{00000000-0008-0000-0400-00007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a:extLst>
            <a:ext uri="{FF2B5EF4-FFF2-40B4-BE49-F238E27FC236}">
              <a16:creationId xmlns:a16="http://schemas.microsoft.com/office/drawing/2014/main" id="{00000000-0008-0000-0400-00007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a:extLst>
            <a:ext uri="{FF2B5EF4-FFF2-40B4-BE49-F238E27FC236}">
              <a16:creationId xmlns:a16="http://schemas.microsoft.com/office/drawing/2014/main" id="{00000000-0008-0000-0400-00007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a:extLst>
            <a:ext uri="{FF2B5EF4-FFF2-40B4-BE49-F238E27FC236}">
              <a16:creationId xmlns:a16="http://schemas.microsoft.com/office/drawing/2014/main" id="{00000000-0008-0000-0400-00007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a:extLst>
            <a:ext uri="{FF2B5EF4-FFF2-40B4-BE49-F238E27FC236}">
              <a16:creationId xmlns:a16="http://schemas.microsoft.com/office/drawing/2014/main" id="{00000000-0008-0000-0400-00007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a:extLst>
            <a:ext uri="{FF2B5EF4-FFF2-40B4-BE49-F238E27FC236}">
              <a16:creationId xmlns:a16="http://schemas.microsoft.com/office/drawing/2014/main" id="{00000000-0008-0000-0400-00007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a:extLst>
            <a:ext uri="{FF2B5EF4-FFF2-40B4-BE49-F238E27FC236}">
              <a16:creationId xmlns:a16="http://schemas.microsoft.com/office/drawing/2014/main" id="{00000000-0008-0000-0400-00007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a:extLst>
            <a:ext uri="{FF2B5EF4-FFF2-40B4-BE49-F238E27FC236}">
              <a16:creationId xmlns:a16="http://schemas.microsoft.com/office/drawing/2014/main" id="{00000000-0008-0000-0400-00007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a:extLst>
            <a:ext uri="{FF2B5EF4-FFF2-40B4-BE49-F238E27FC236}">
              <a16:creationId xmlns:a16="http://schemas.microsoft.com/office/drawing/2014/main" id="{00000000-0008-0000-0400-00008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a:extLst>
            <a:ext uri="{FF2B5EF4-FFF2-40B4-BE49-F238E27FC236}">
              <a16:creationId xmlns:a16="http://schemas.microsoft.com/office/drawing/2014/main" id="{00000000-0008-0000-0400-00008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a:extLst>
            <a:ext uri="{FF2B5EF4-FFF2-40B4-BE49-F238E27FC236}">
              <a16:creationId xmlns:a16="http://schemas.microsoft.com/office/drawing/2014/main" id="{00000000-0008-0000-0400-00008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a:extLst>
            <a:ext uri="{FF2B5EF4-FFF2-40B4-BE49-F238E27FC236}">
              <a16:creationId xmlns:a16="http://schemas.microsoft.com/office/drawing/2014/main" id="{00000000-0008-0000-0400-00008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a:extLst>
            <a:ext uri="{FF2B5EF4-FFF2-40B4-BE49-F238E27FC236}">
              <a16:creationId xmlns:a16="http://schemas.microsoft.com/office/drawing/2014/main" id="{00000000-0008-0000-0400-00008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a:extLst>
            <a:ext uri="{FF2B5EF4-FFF2-40B4-BE49-F238E27FC236}">
              <a16:creationId xmlns:a16="http://schemas.microsoft.com/office/drawing/2014/main" id="{00000000-0008-0000-0400-00008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a:extLst>
            <a:ext uri="{FF2B5EF4-FFF2-40B4-BE49-F238E27FC236}">
              <a16:creationId xmlns:a16="http://schemas.microsoft.com/office/drawing/2014/main" id="{00000000-0008-0000-0400-00008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a:extLst>
            <a:ext uri="{FF2B5EF4-FFF2-40B4-BE49-F238E27FC236}">
              <a16:creationId xmlns:a16="http://schemas.microsoft.com/office/drawing/2014/main" id="{00000000-0008-0000-0400-00008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a:extLst>
            <a:ext uri="{FF2B5EF4-FFF2-40B4-BE49-F238E27FC236}">
              <a16:creationId xmlns:a16="http://schemas.microsoft.com/office/drawing/2014/main" id="{00000000-0008-0000-0400-00008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a:extLst>
            <a:ext uri="{FF2B5EF4-FFF2-40B4-BE49-F238E27FC236}">
              <a16:creationId xmlns:a16="http://schemas.microsoft.com/office/drawing/2014/main" id="{00000000-0008-0000-0400-00008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a:extLst>
            <a:ext uri="{FF2B5EF4-FFF2-40B4-BE49-F238E27FC236}">
              <a16:creationId xmlns:a16="http://schemas.microsoft.com/office/drawing/2014/main" id="{00000000-0008-0000-0400-00008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a:extLst>
            <a:ext uri="{FF2B5EF4-FFF2-40B4-BE49-F238E27FC236}">
              <a16:creationId xmlns:a16="http://schemas.microsoft.com/office/drawing/2014/main" id="{00000000-0008-0000-0400-00008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a:extLst>
            <a:ext uri="{FF2B5EF4-FFF2-40B4-BE49-F238E27FC236}">
              <a16:creationId xmlns:a16="http://schemas.microsoft.com/office/drawing/2014/main" id="{00000000-0008-0000-0400-00008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a:extLst>
            <a:ext uri="{FF2B5EF4-FFF2-40B4-BE49-F238E27FC236}">
              <a16:creationId xmlns:a16="http://schemas.microsoft.com/office/drawing/2014/main" id="{00000000-0008-0000-0400-00008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a:extLst>
            <a:ext uri="{FF2B5EF4-FFF2-40B4-BE49-F238E27FC236}">
              <a16:creationId xmlns:a16="http://schemas.microsoft.com/office/drawing/2014/main" id="{00000000-0008-0000-0400-00008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a:extLst>
            <a:ext uri="{FF2B5EF4-FFF2-40B4-BE49-F238E27FC236}">
              <a16:creationId xmlns:a16="http://schemas.microsoft.com/office/drawing/2014/main" id="{00000000-0008-0000-0400-00008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a:extLst>
            <a:ext uri="{FF2B5EF4-FFF2-40B4-BE49-F238E27FC236}">
              <a16:creationId xmlns:a16="http://schemas.microsoft.com/office/drawing/2014/main" id="{00000000-0008-0000-0400-00009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a:extLst>
            <a:ext uri="{FF2B5EF4-FFF2-40B4-BE49-F238E27FC236}">
              <a16:creationId xmlns:a16="http://schemas.microsoft.com/office/drawing/2014/main" id="{00000000-0008-0000-0400-00009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a:extLst>
            <a:ext uri="{FF2B5EF4-FFF2-40B4-BE49-F238E27FC236}">
              <a16:creationId xmlns:a16="http://schemas.microsoft.com/office/drawing/2014/main" id="{00000000-0008-0000-0400-00009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a:extLst>
            <a:ext uri="{FF2B5EF4-FFF2-40B4-BE49-F238E27FC236}">
              <a16:creationId xmlns:a16="http://schemas.microsoft.com/office/drawing/2014/main" id="{00000000-0008-0000-0400-00009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a:extLst>
            <a:ext uri="{FF2B5EF4-FFF2-40B4-BE49-F238E27FC236}">
              <a16:creationId xmlns:a16="http://schemas.microsoft.com/office/drawing/2014/main" id="{00000000-0008-0000-0400-00009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a:extLst>
            <a:ext uri="{FF2B5EF4-FFF2-40B4-BE49-F238E27FC236}">
              <a16:creationId xmlns:a16="http://schemas.microsoft.com/office/drawing/2014/main" id="{00000000-0008-0000-0400-00009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a:extLst>
            <a:ext uri="{FF2B5EF4-FFF2-40B4-BE49-F238E27FC236}">
              <a16:creationId xmlns:a16="http://schemas.microsoft.com/office/drawing/2014/main" id="{00000000-0008-0000-0400-00009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a:extLst>
            <a:ext uri="{FF2B5EF4-FFF2-40B4-BE49-F238E27FC236}">
              <a16:creationId xmlns:a16="http://schemas.microsoft.com/office/drawing/2014/main" id="{00000000-0008-0000-0400-00009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a:extLst>
            <a:ext uri="{FF2B5EF4-FFF2-40B4-BE49-F238E27FC236}">
              <a16:creationId xmlns:a16="http://schemas.microsoft.com/office/drawing/2014/main" id="{00000000-0008-0000-0400-00009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a:extLst>
            <a:ext uri="{FF2B5EF4-FFF2-40B4-BE49-F238E27FC236}">
              <a16:creationId xmlns:a16="http://schemas.microsoft.com/office/drawing/2014/main" id="{00000000-0008-0000-0400-00009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a:extLst>
            <a:ext uri="{FF2B5EF4-FFF2-40B4-BE49-F238E27FC236}">
              <a16:creationId xmlns:a16="http://schemas.microsoft.com/office/drawing/2014/main" id="{00000000-0008-0000-0400-00009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a:extLst>
            <a:ext uri="{FF2B5EF4-FFF2-40B4-BE49-F238E27FC236}">
              <a16:creationId xmlns:a16="http://schemas.microsoft.com/office/drawing/2014/main" id="{00000000-0008-0000-0400-00009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a:extLst>
            <a:ext uri="{FF2B5EF4-FFF2-40B4-BE49-F238E27FC236}">
              <a16:creationId xmlns:a16="http://schemas.microsoft.com/office/drawing/2014/main" id="{00000000-0008-0000-0400-00009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a:extLst>
            <a:ext uri="{FF2B5EF4-FFF2-40B4-BE49-F238E27FC236}">
              <a16:creationId xmlns:a16="http://schemas.microsoft.com/office/drawing/2014/main" id="{00000000-0008-0000-0400-00009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a:extLst>
            <a:ext uri="{FF2B5EF4-FFF2-40B4-BE49-F238E27FC236}">
              <a16:creationId xmlns:a16="http://schemas.microsoft.com/office/drawing/2014/main" id="{00000000-0008-0000-0400-00009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a:extLst>
            <a:ext uri="{FF2B5EF4-FFF2-40B4-BE49-F238E27FC236}">
              <a16:creationId xmlns:a16="http://schemas.microsoft.com/office/drawing/2014/main" id="{00000000-0008-0000-0400-00009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a:extLst>
            <a:ext uri="{FF2B5EF4-FFF2-40B4-BE49-F238E27FC236}">
              <a16:creationId xmlns:a16="http://schemas.microsoft.com/office/drawing/2014/main" id="{00000000-0008-0000-0400-0000A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a:extLst>
            <a:ext uri="{FF2B5EF4-FFF2-40B4-BE49-F238E27FC236}">
              <a16:creationId xmlns:a16="http://schemas.microsoft.com/office/drawing/2014/main" id="{00000000-0008-0000-0400-0000A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a:extLst>
            <a:ext uri="{FF2B5EF4-FFF2-40B4-BE49-F238E27FC236}">
              <a16:creationId xmlns:a16="http://schemas.microsoft.com/office/drawing/2014/main" id="{00000000-0008-0000-0400-0000A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a:extLst>
            <a:ext uri="{FF2B5EF4-FFF2-40B4-BE49-F238E27FC236}">
              <a16:creationId xmlns:a16="http://schemas.microsoft.com/office/drawing/2014/main" id="{00000000-0008-0000-0400-0000A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a:extLst>
            <a:ext uri="{FF2B5EF4-FFF2-40B4-BE49-F238E27FC236}">
              <a16:creationId xmlns:a16="http://schemas.microsoft.com/office/drawing/2014/main" id="{00000000-0008-0000-0400-0000A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a:extLst>
            <a:ext uri="{FF2B5EF4-FFF2-40B4-BE49-F238E27FC236}">
              <a16:creationId xmlns:a16="http://schemas.microsoft.com/office/drawing/2014/main" id="{00000000-0008-0000-0400-0000A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a:extLst>
            <a:ext uri="{FF2B5EF4-FFF2-40B4-BE49-F238E27FC236}">
              <a16:creationId xmlns:a16="http://schemas.microsoft.com/office/drawing/2014/main" id="{00000000-0008-0000-0400-0000A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a:extLst>
            <a:ext uri="{FF2B5EF4-FFF2-40B4-BE49-F238E27FC236}">
              <a16:creationId xmlns:a16="http://schemas.microsoft.com/office/drawing/2014/main" id="{00000000-0008-0000-0400-0000A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a:extLst>
            <a:ext uri="{FF2B5EF4-FFF2-40B4-BE49-F238E27FC236}">
              <a16:creationId xmlns:a16="http://schemas.microsoft.com/office/drawing/2014/main" id="{00000000-0008-0000-0400-0000A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a:extLst>
            <a:ext uri="{FF2B5EF4-FFF2-40B4-BE49-F238E27FC236}">
              <a16:creationId xmlns:a16="http://schemas.microsoft.com/office/drawing/2014/main" id="{00000000-0008-0000-0400-0000A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a:extLst>
            <a:ext uri="{FF2B5EF4-FFF2-40B4-BE49-F238E27FC236}">
              <a16:creationId xmlns:a16="http://schemas.microsoft.com/office/drawing/2014/main" id="{00000000-0008-0000-0400-0000A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a:extLst>
            <a:ext uri="{FF2B5EF4-FFF2-40B4-BE49-F238E27FC236}">
              <a16:creationId xmlns:a16="http://schemas.microsoft.com/office/drawing/2014/main" id="{00000000-0008-0000-0400-0000A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a:extLst>
            <a:ext uri="{FF2B5EF4-FFF2-40B4-BE49-F238E27FC236}">
              <a16:creationId xmlns:a16="http://schemas.microsoft.com/office/drawing/2014/main" id="{00000000-0008-0000-0400-0000A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a:extLst>
            <a:ext uri="{FF2B5EF4-FFF2-40B4-BE49-F238E27FC236}">
              <a16:creationId xmlns:a16="http://schemas.microsoft.com/office/drawing/2014/main" id="{00000000-0008-0000-0400-0000A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a:extLst>
            <a:ext uri="{FF2B5EF4-FFF2-40B4-BE49-F238E27FC236}">
              <a16:creationId xmlns:a16="http://schemas.microsoft.com/office/drawing/2014/main" id="{00000000-0008-0000-0400-0000A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a:extLst>
            <a:ext uri="{FF2B5EF4-FFF2-40B4-BE49-F238E27FC236}">
              <a16:creationId xmlns:a16="http://schemas.microsoft.com/office/drawing/2014/main" id="{00000000-0008-0000-0400-0000A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a:extLst>
            <a:ext uri="{FF2B5EF4-FFF2-40B4-BE49-F238E27FC236}">
              <a16:creationId xmlns:a16="http://schemas.microsoft.com/office/drawing/2014/main" id="{00000000-0008-0000-0400-0000B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a:extLst>
            <a:ext uri="{FF2B5EF4-FFF2-40B4-BE49-F238E27FC236}">
              <a16:creationId xmlns:a16="http://schemas.microsoft.com/office/drawing/2014/main" id="{00000000-0008-0000-0400-0000B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a:extLst>
            <a:ext uri="{FF2B5EF4-FFF2-40B4-BE49-F238E27FC236}">
              <a16:creationId xmlns:a16="http://schemas.microsoft.com/office/drawing/2014/main" id="{00000000-0008-0000-0400-0000B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a:extLst>
            <a:ext uri="{FF2B5EF4-FFF2-40B4-BE49-F238E27FC236}">
              <a16:creationId xmlns:a16="http://schemas.microsoft.com/office/drawing/2014/main" id="{00000000-0008-0000-0400-0000B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a:extLst>
            <a:ext uri="{FF2B5EF4-FFF2-40B4-BE49-F238E27FC236}">
              <a16:creationId xmlns:a16="http://schemas.microsoft.com/office/drawing/2014/main" id="{00000000-0008-0000-0400-0000B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a:extLst>
            <a:ext uri="{FF2B5EF4-FFF2-40B4-BE49-F238E27FC236}">
              <a16:creationId xmlns:a16="http://schemas.microsoft.com/office/drawing/2014/main" id="{00000000-0008-0000-0400-0000B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a:extLst>
            <a:ext uri="{FF2B5EF4-FFF2-40B4-BE49-F238E27FC236}">
              <a16:creationId xmlns:a16="http://schemas.microsoft.com/office/drawing/2014/main" id="{00000000-0008-0000-0400-0000B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a:extLst>
            <a:ext uri="{FF2B5EF4-FFF2-40B4-BE49-F238E27FC236}">
              <a16:creationId xmlns:a16="http://schemas.microsoft.com/office/drawing/2014/main" id="{00000000-0008-0000-0400-0000B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a:extLst>
            <a:ext uri="{FF2B5EF4-FFF2-40B4-BE49-F238E27FC236}">
              <a16:creationId xmlns:a16="http://schemas.microsoft.com/office/drawing/2014/main" id="{00000000-0008-0000-0400-0000B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a:extLst>
            <a:ext uri="{FF2B5EF4-FFF2-40B4-BE49-F238E27FC236}">
              <a16:creationId xmlns:a16="http://schemas.microsoft.com/office/drawing/2014/main" id="{00000000-0008-0000-0400-0000B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a:extLst>
            <a:ext uri="{FF2B5EF4-FFF2-40B4-BE49-F238E27FC236}">
              <a16:creationId xmlns:a16="http://schemas.microsoft.com/office/drawing/2014/main" id="{00000000-0008-0000-0400-0000B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a:extLst>
            <a:ext uri="{FF2B5EF4-FFF2-40B4-BE49-F238E27FC236}">
              <a16:creationId xmlns:a16="http://schemas.microsoft.com/office/drawing/2014/main" id="{00000000-0008-0000-0400-0000B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a:extLst>
            <a:ext uri="{FF2B5EF4-FFF2-40B4-BE49-F238E27FC236}">
              <a16:creationId xmlns:a16="http://schemas.microsoft.com/office/drawing/2014/main" id="{00000000-0008-0000-0400-0000B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a:extLst>
            <a:ext uri="{FF2B5EF4-FFF2-40B4-BE49-F238E27FC236}">
              <a16:creationId xmlns:a16="http://schemas.microsoft.com/office/drawing/2014/main" id="{00000000-0008-0000-0400-0000B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a:extLst>
            <a:ext uri="{FF2B5EF4-FFF2-40B4-BE49-F238E27FC236}">
              <a16:creationId xmlns:a16="http://schemas.microsoft.com/office/drawing/2014/main" id="{00000000-0008-0000-0400-0000B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a:extLst>
            <a:ext uri="{FF2B5EF4-FFF2-40B4-BE49-F238E27FC236}">
              <a16:creationId xmlns:a16="http://schemas.microsoft.com/office/drawing/2014/main" id="{00000000-0008-0000-0400-0000B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a:extLst>
            <a:ext uri="{FF2B5EF4-FFF2-40B4-BE49-F238E27FC236}">
              <a16:creationId xmlns:a16="http://schemas.microsoft.com/office/drawing/2014/main" id="{00000000-0008-0000-0400-0000C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a:extLst>
            <a:ext uri="{FF2B5EF4-FFF2-40B4-BE49-F238E27FC236}">
              <a16:creationId xmlns:a16="http://schemas.microsoft.com/office/drawing/2014/main" id="{00000000-0008-0000-0400-0000C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a:extLst>
            <a:ext uri="{FF2B5EF4-FFF2-40B4-BE49-F238E27FC236}">
              <a16:creationId xmlns:a16="http://schemas.microsoft.com/office/drawing/2014/main" id="{00000000-0008-0000-0400-0000C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a:extLst>
            <a:ext uri="{FF2B5EF4-FFF2-40B4-BE49-F238E27FC236}">
              <a16:creationId xmlns:a16="http://schemas.microsoft.com/office/drawing/2014/main" id="{00000000-0008-0000-0400-0000C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a:extLst>
            <a:ext uri="{FF2B5EF4-FFF2-40B4-BE49-F238E27FC236}">
              <a16:creationId xmlns:a16="http://schemas.microsoft.com/office/drawing/2014/main" id="{00000000-0008-0000-0400-0000C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a:extLst>
            <a:ext uri="{FF2B5EF4-FFF2-40B4-BE49-F238E27FC236}">
              <a16:creationId xmlns:a16="http://schemas.microsoft.com/office/drawing/2014/main" id="{00000000-0008-0000-0400-0000C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a:extLst>
            <a:ext uri="{FF2B5EF4-FFF2-40B4-BE49-F238E27FC236}">
              <a16:creationId xmlns:a16="http://schemas.microsoft.com/office/drawing/2014/main" id="{00000000-0008-0000-0400-0000C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a:extLst>
            <a:ext uri="{FF2B5EF4-FFF2-40B4-BE49-F238E27FC236}">
              <a16:creationId xmlns:a16="http://schemas.microsoft.com/office/drawing/2014/main" id="{00000000-0008-0000-0400-0000C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a:extLst>
            <a:ext uri="{FF2B5EF4-FFF2-40B4-BE49-F238E27FC236}">
              <a16:creationId xmlns:a16="http://schemas.microsoft.com/office/drawing/2014/main" id="{00000000-0008-0000-0400-0000C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a:extLst>
            <a:ext uri="{FF2B5EF4-FFF2-40B4-BE49-F238E27FC236}">
              <a16:creationId xmlns:a16="http://schemas.microsoft.com/office/drawing/2014/main" id="{00000000-0008-0000-0400-0000C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a:extLst>
            <a:ext uri="{FF2B5EF4-FFF2-40B4-BE49-F238E27FC236}">
              <a16:creationId xmlns:a16="http://schemas.microsoft.com/office/drawing/2014/main" id="{00000000-0008-0000-0400-0000C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a:extLst>
            <a:ext uri="{FF2B5EF4-FFF2-40B4-BE49-F238E27FC236}">
              <a16:creationId xmlns:a16="http://schemas.microsoft.com/office/drawing/2014/main" id="{00000000-0008-0000-0400-0000C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a:extLst>
            <a:ext uri="{FF2B5EF4-FFF2-40B4-BE49-F238E27FC236}">
              <a16:creationId xmlns:a16="http://schemas.microsoft.com/office/drawing/2014/main" id="{00000000-0008-0000-0400-0000C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a:extLst>
            <a:ext uri="{FF2B5EF4-FFF2-40B4-BE49-F238E27FC236}">
              <a16:creationId xmlns:a16="http://schemas.microsoft.com/office/drawing/2014/main" id="{00000000-0008-0000-0400-0000C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a:extLst>
            <a:ext uri="{FF2B5EF4-FFF2-40B4-BE49-F238E27FC236}">
              <a16:creationId xmlns:a16="http://schemas.microsoft.com/office/drawing/2014/main" id="{00000000-0008-0000-0400-0000C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a:extLst>
            <a:ext uri="{FF2B5EF4-FFF2-40B4-BE49-F238E27FC236}">
              <a16:creationId xmlns:a16="http://schemas.microsoft.com/office/drawing/2014/main" id="{00000000-0008-0000-0400-0000C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a:extLst>
            <a:ext uri="{FF2B5EF4-FFF2-40B4-BE49-F238E27FC236}">
              <a16:creationId xmlns:a16="http://schemas.microsoft.com/office/drawing/2014/main" id="{00000000-0008-0000-0400-0000D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a:extLst>
            <a:ext uri="{FF2B5EF4-FFF2-40B4-BE49-F238E27FC236}">
              <a16:creationId xmlns:a16="http://schemas.microsoft.com/office/drawing/2014/main" id="{00000000-0008-0000-0400-0000D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a:extLst>
            <a:ext uri="{FF2B5EF4-FFF2-40B4-BE49-F238E27FC236}">
              <a16:creationId xmlns:a16="http://schemas.microsoft.com/office/drawing/2014/main" id="{00000000-0008-0000-0400-0000D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a:extLst>
            <a:ext uri="{FF2B5EF4-FFF2-40B4-BE49-F238E27FC236}">
              <a16:creationId xmlns:a16="http://schemas.microsoft.com/office/drawing/2014/main" id="{00000000-0008-0000-0400-0000D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a:extLst>
            <a:ext uri="{FF2B5EF4-FFF2-40B4-BE49-F238E27FC236}">
              <a16:creationId xmlns:a16="http://schemas.microsoft.com/office/drawing/2014/main" id="{00000000-0008-0000-0400-0000D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a:extLst>
            <a:ext uri="{FF2B5EF4-FFF2-40B4-BE49-F238E27FC236}">
              <a16:creationId xmlns:a16="http://schemas.microsoft.com/office/drawing/2014/main" id="{00000000-0008-0000-0400-0000D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a:extLst>
            <a:ext uri="{FF2B5EF4-FFF2-40B4-BE49-F238E27FC236}">
              <a16:creationId xmlns:a16="http://schemas.microsoft.com/office/drawing/2014/main" id="{00000000-0008-0000-0400-0000D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a:extLst>
            <a:ext uri="{FF2B5EF4-FFF2-40B4-BE49-F238E27FC236}">
              <a16:creationId xmlns:a16="http://schemas.microsoft.com/office/drawing/2014/main" id="{00000000-0008-0000-0400-0000D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a:extLst>
            <a:ext uri="{FF2B5EF4-FFF2-40B4-BE49-F238E27FC236}">
              <a16:creationId xmlns:a16="http://schemas.microsoft.com/office/drawing/2014/main" id="{00000000-0008-0000-0400-0000D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a:extLst>
            <a:ext uri="{FF2B5EF4-FFF2-40B4-BE49-F238E27FC236}">
              <a16:creationId xmlns:a16="http://schemas.microsoft.com/office/drawing/2014/main" id="{00000000-0008-0000-0400-0000D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a:extLst>
            <a:ext uri="{FF2B5EF4-FFF2-40B4-BE49-F238E27FC236}">
              <a16:creationId xmlns:a16="http://schemas.microsoft.com/office/drawing/2014/main" id="{00000000-0008-0000-0400-0000D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a:extLst>
            <a:ext uri="{FF2B5EF4-FFF2-40B4-BE49-F238E27FC236}">
              <a16:creationId xmlns:a16="http://schemas.microsoft.com/office/drawing/2014/main" id="{00000000-0008-0000-0400-0000D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a:extLst>
            <a:ext uri="{FF2B5EF4-FFF2-40B4-BE49-F238E27FC236}">
              <a16:creationId xmlns:a16="http://schemas.microsoft.com/office/drawing/2014/main" id="{00000000-0008-0000-0400-0000D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a:extLst>
            <a:ext uri="{FF2B5EF4-FFF2-40B4-BE49-F238E27FC236}">
              <a16:creationId xmlns:a16="http://schemas.microsoft.com/office/drawing/2014/main" id="{00000000-0008-0000-0400-0000D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a:extLst>
            <a:ext uri="{FF2B5EF4-FFF2-40B4-BE49-F238E27FC236}">
              <a16:creationId xmlns:a16="http://schemas.microsoft.com/office/drawing/2014/main" id="{00000000-0008-0000-0400-0000D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a:extLst>
            <a:ext uri="{FF2B5EF4-FFF2-40B4-BE49-F238E27FC236}">
              <a16:creationId xmlns:a16="http://schemas.microsoft.com/office/drawing/2014/main" id="{00000000-0008-0000-0400-0000D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a:extLst>
            <a:ext uri="{FF2B5EF4-FFF2-40B4-BE49-F238E27FC236}">
              <a16:creationId xmlns:a16="http://schemas.microsoft.com/office/drawing/2014/main" id="{00000000-0008-0000-0400-0000E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a:extLst>
            <a:ext uri="{FF2B5EF4-FFF2-40B4-BE49-F238E27FC236}">
              <a16:creationId xmlns:a16="http://schemas.microsoft.com/office/drawing/2014/main" id="{00000000-0008-0000-0400-0000E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a:extLst>
            <a:ext uri="{FF2B5EF4-FFF2-40B4-BE49-F238E27FC236}">
              <a16:creationId xmlns:a16="http://schemas.microsoft.com/office/drawing/2014/main" id="{00000000-0008-0000-0400-0000E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a:extLst>
            <a:ext uri="{FF2B5EF4-FFF2-40B4-BE49-F238E27FC236}">
              <a16:creationId xmlns:a16="http://schemas.microsoft.com/office/drawing/2014/main" id="{00000000-0008-0000-0400-0000E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a:extLst>
            <a:ext uri="{FF2B5EF4-FFF2-40B4-BE49-F238E27FC236}">
              <a16:creationId xmlns:a16="http://schemas.microsoft.com/office/drawing/2014/main" id="{00000000-0008-0000-0400-0000E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a:extLst>
            <a:ext uri="{FF2B5EF4-FFF2-40B4-BE49-F238E27FC236}">
              <a16:creationId xmlns:a16="http://schemas.microsoft.com/office/drawing/2014/main" id="{00000000-0008-0000-0400-0000E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a:extLst>
            <a:ext uri="{FF2B5EF4-FFF2-40B4-BE49-F238E27FC236}">
              <a16:creationId xmlns:a16="http://schemas.microsoft.com/office/drawing/2014/main" id="{00000000-0008-0000-0400-0000E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a:extLst>
            <a:ext uri="{FF2B5EF4-FFF2-40B4-BE49-F238E27FC236}">
              <a16:creationId xmlns:a16="http://schemas.microsoft.com/office/drawing/2014/main" id="{00000000-0008-0000-0400-0000E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a:extLst>
            <a:ext uri="{FF2B5EF4-FFF2-40B4-BE49-F238E27FC236}">
              <a16:creationId xmlns:a16="http://schemas.microsoft.com/office/drawing/2014/main" id="{00000000-0008-0000-0400-0000E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a:extLst>
            <a:ext uri="{FF2B5EF4-FFF2-40B4-BE49-F238E27FC236}">
              <a16:creationId xmlns:a16="http://schemas.microsoft.com/office/drawing/2014/main" id="{00000000-0008-0000-0400-0000E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a:extLst>
            <a:ext uri="{FF2B5EF4-FFF2-40B4-BE49-F238E27FC236}">
              <a16:creationId xmlns:a16="http://schemas.microsoft.com/office/drawing/2014/main" id="{00000000-0008-0000-0400-0000E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a:extLst>
            <a:ext uri="{FF2B5EF4-FFF2-40B4-BE49-F238E27FC236}">
              <a16:creationId xmlns:a16="http://schemas.microsoft.com/office/drawing/2014/main" id="{00000000-0008-0000-0400-0000E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a:extLst>
            <a:ext uri="{FF2B5EF4-FFF2-40B4-BE49-F238E27FC236}">
              <a16:creationId xmlns:a16="http://schemas.microsoft.com/office/drawing/2014/main" id="{00000000-0008-0000-0400-0000E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a:extLst>
            <a:ext uri="{FF2B5EF4-FFF2-40B4-BE49-F238E27FC236}">
              <a16:creationId xmlns:a16="http://schemas.microsoft.com/office/drawing/2014/main" id="{00000000-0008-0000-0400-0000E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a:extLst>
            <a:ext uri="{FF2B5EF4-FFF2-40B4-BE49-F238E27FC236}">
              <a16:creationId xmlns:a16="http://schemas.microsoft.com/office/drawing/2014/main" id="{00000000-0008-0000-0400-0000E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a:extLst>
            <a:ext uri="{FF2B5EF4-FFF2-40B4-BE49-F238E27FC236}">
              <a16:creationId xmlns:a16="http://schemas.microsoft.com/office/drawing/2014/main" id="{00000000-0008-0000-0400-0000E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a:extLst>
            <a:ext uri="{FF2B5EF4-FFF2-40B4-BE49-F238E27FC236}">
              <a16:creationId xmlns:a16="http://schemas.microsoft.com/office/drawing/2014/main" id="{00000000-0008-0000-0400-0000F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a:extLst>
            <a:ext uri="{FF2B5EF4-FFF2-40B4-BE49-F238E27FC236}">
              <a16:creationId xmlns:a16="http://schemas.microsoft.com/office/drawing/2014/main" id="{00000000-0008-0000-0400-0000F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a:extLst>
            <a:ext uri="{FF2B5EF4-FFF2-40B4-BE49-F238E27FC236}">
              <a16:creationId xmlns:a16="http://schemas.microsoft.com/office/drawing/2014/main" id="{00000000-0008-0000-0400-0000F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a:extLst>
            <a:ext uri="{FF2B5EF4-FFF2-40B4-BE49-F238E27FC236}">
              <a16:creationId xmlns:a16="http://schemas.microsoft.com/office/drawing/2014/main" id="{00000000-0008-0000-0400-0000F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a:extLst>
            <a:ext uri="{FF2B5EF4-FFF2-40B4-BE49-F238E27FC236}">
              <a16:creationId xmlns:a16="http://schemas.microsoft.com/office/drawing/2014/main" id="{00000000-0008-0000-0400-0000F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a:extLst>
            <a:ext uri="{FF2B5EF4-FFF2-40B4-BE49-F238E27FC236}">
              <a16:creationId xmlns:a16="http://schemas.microsoft.com/office/drawing/2014/main" id="{00000000-0008-0000-0400-0000F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a:extLst>
            <a:ext uri="{FF2B5EF4-FFF2-40B4-BE49-F238E27FC236}">
              <a16:creationId xmlns:a16="http://schemas.microsoft.com/office/drawing/2014/main" id="{00000000-0008-0000-0400-0000F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a:extLst>
            <a:ext uri="{FF2B5EF4-FFF2-40B4-BE49-F238E27FC236}">
              <a16:creationId xmlns:a16="http://schemas.microsoft.com/office/drawing/2014/main" id="{00000000-0008-0000-0400-0000F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a:extLst>
            <a:ext uri="{FF2B5EF4-FFF2-40B4-BE49-F238E27FC236}">
              <a16:creationId xmlns:a16="http://schemas.microsoft.com/office/drawing/2014/main" id="{00000000-0008-0000-0400-0000F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a:extLst>
            <a:ext uri="{FF2B5EF4-FFF2-40B4-BE49-F238E27FC236}">
              <a16:creationId xmlns:a16="http://schemas.microsoft.com/office/drawing/2014/main" id="{00000000-0008-0000-0400-0000F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a:extLst>
            <a:ext uri="{FF2B5EF4-FFF2-40B4-BE49-F238E27FC236}">
              <a16:creationId xmlns:a16="http://schemas.microsoft.com/office/drawing/2014/main" id="{00000000-0008-0000-0400-0000F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a:extLst>
            <a:ext uri="{FF2B5EF4-FFF2-40B4-BE49-F238E27FC236}">
              <a16:creationId xmlns:a16="http://schemas.microsoft.com/office/drawing/2014/main" id="{00000000-0008-0000-0400-0000F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a:extLst>
            <a:ext uri="{FF2B5EF4-FFF2-40B4-BE49-F238E27FC236}">
              <a16:creationId xmlns:a16="http://schemas.microsoft.com/office/drawing/2014/main" id="{00000000-0008-0000-0400-0000F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a:extLst>
            <a:ext uri="{FF2B5EF4-FFF2-40B4-BE49-F238E27FC236}">
              <a16:creationId xmlns:a16="http://schemas.microsoft.com/office/drawing/2014/main" id="{00000000-0008-0000-0400-0000F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a:extLst>
            <a:ext uri="{FF2B5EF4-FFF2-40B4-BE49-F238E27FC236}">
              <a16:creationId xmlns:a16="http://schemas.microsoft.com/office/drawing/2014/main" id="{00000000-0008-0000-0400-0000F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a:extLst>
            <a:ext uri="{FF2B5EF4-FFF2-40B4-BE49-F238E27FC236}">
              <a16:creationId xmlns:a16="http://schemas.microsoft.com/office/drawing/2014/main" id="{00000000-0008-0000-0400-0000F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a:extLst>
            <a:ext uri="{FF2B5EF4-FFF2-40B4-BE49-F238E27FC236}">
              <a16:creationId xmlns:a16="http://schemas.microsoft.com/office/drawing/2014/main" id="{00000000-0008-0000-0400-00000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a:extLst>
            <a:ext uri="{FF2B5EF4-FFF2-40B4-BE49-F238E27FC236}">
              <a16:creationId xmlns:a16="http://schemas.microsoft.com/office/drawing/2014/main" id="{00000000-0008-0000-0400-00000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a:extLst>
            <a:ext uri="{FF2B5EF4-FFF2-40B4-BE49-F238E27FC236}">
              <a16:creationId xmlns:a16="http://schemas.microsoft.com/office/drawing/2014/main" id="{00000000-0008-0000-0400-00000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a:extLst>
            <a:ext uri="{FF2B5EF4-FFF2-40B4-BE49-F238E27FC236}">
              <a16:creationId xmlns:a16="http://schemas.microsoft.com/office/drawing/2014/main" id="{00000000-0008-0000-0400-00000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a:extLst>
            <a:ext uri="{FF2B5EF4-FFF2-40B4-BE49-F238E27FC236}">
              <a16:creationId xmlns:a16="http://schemas.microsoft.com/office/drawing/2014/main" id="{00000000-0008-0000-0400-00000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a:extLst>
            <a:ext uri="{FF2B5EF4-FFF2-40B4-BE49-F238E27FC236}">
              <a16:creationId xmlns:a16="http://schemas.microsoft.com/office/drawing/2014/main" id="{00000000-0008-0000-0400-00000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a:extLst>
            <a:ext uri="{FF2B5EF4-FFF2-40B4-BE49-F238E27FC236}">
              <a16:creationId xmlns:a16="http://schemas.microsoft.com/office/drawing/2014/main" id="{00000000-0008-0000-0400-00000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a:extLst>
            <a:ext uri="{FF2B5EF4-FFF2-40B4-BE49-F238E27FC236}">
              <a16:creationId xmlns:a16="http://schemas.microsoft.com/office/drawing/2014/main" id="{00000000-0008-0000-0400-00000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a:extLst>
            <a:ext uri="{FF2B5EF4-FFF2-40B4-BE49-F238E27FC236}">
              <a16:creationId xmlns:a16="http://schemas.microsoft.com/office/drawing/2014/main" id="{00000000-0008-0000-0400-00000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a:extLst>
            <a:ext uri="{FF2B5EF4-FFF2-40B4-BE49-F238E27FC236}">
              <a16:creationId xmlns:a16="http://schemas.microsoft.com/office/drawing/2014/main" id="{00000000-0008-0000-0400-00000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a:extLst>
            <a:ext uri="{FF2B5EF4-FFF2-40B4-BE49-F238E27FC236}">
              <a16:creationId xmlns:a16="http://schemas.microsoft.com/office/drawing/2014/main" id="{00000000-0008-0000-0400-00000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a:extLst>
            <a:ext uri="{FF2B5EF4-FFF2-40B4-BE49-F238E27FC236}">
              <a16:creationId xmlns:a16="http://schemas.microsoft.com/office/drawing/2014/main" id="{00000000-0008-0000-0400-00000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a:extLst>
            <a:ext uri="{FF2B5EF4-FFF2-40B4-BE49-F238E27FC236}">
              <a16:creationId xmlns:a16="http://schemas.microsoft.com/office/drawing/2014/main" id="{00000000-0008-0000-0400-00000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a:extLst>
            <a:ext uri="{FF2B5EF4-FFF2-40B4-BE49-F238E27FC236}">
              <a16:creationId xmlns:a16="http://schemas.microsoft.com/office/drawing/2014/main" id="{00000000-0008-0000-0400-00000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a:extLst>
            <a:ext uri="{FF2B5EF4-FFF2-40B4-BE49-F238E27FC236}">
              <a16:creationId xmlns:a16="http://schemas.microsoft.com/office/drawing/2014/main" id="{00000000-0008-0000-0400-00000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a:extLst>
            <a:ext uri="{FF2B5EF4-FFF2-40B4-BE49-F238E27FC236}">
              <a16:creationId xmlns:a16="http://schemas.microsoft.com/office/drawing/2014/main" id="{00000000-0008-0000-0400-00000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a:extLst>
            <a:ext uri="{FF2B5EF4-FFF2-40B4-BE49-F238E27FC236}">
              <a16:creationId xmlns:a16="http://schemas.microsoft.com/office/drawing/2014/main" id="{00000000-0008-0000-0400-00001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a:extLst>
            <a:ext uri="{FF2B5EF4-FFF2-40B4-BE49-F238E27FC236}">
              <a16:creationId xmlns:a16="http://schemas.microsoft.com/office/drawing/2014/main" id="{00000000-0008-0000-0400-00001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a:extLst>
            <a:ext uri="{FF2B5EF4-FFF2-40B4-BE49-F238E27FC236}">
              <a16:creationId xmlns:a16="http://schemas.microsoft.com/office/drawing/2014/main" id="{00000000-0008-0000-0400-00001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a:extLst>
            <a:ext uri="{FF2B5EF4-FFF2-40B4-BE49-F238E27FC236}">
              <a16:creationId xmlns:a16="http://schemas.microsoft.com/office/drawing/2014/main" id="{00000000-0008-0000-0400-00001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a:extLst>
            <a:ext uri="{FF2B5EF4-FFF2-40B4-BE49-F238E27FC236}">
              <a16:creationId xmlns:a16="http://schemas.microsoft.com/office/drawing/2014/main" id="{00000000-0008-0000-0400-00001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a:extLst>
            <a:ext uri="{FF2B5EF4-FFF2-40B4-BE49-F238E27FC236}">
              <a16:creationId xmlns:a16="http://schemas.microsoft.com/office/drawing/2014/main" id="{00000000-0008-0000-0400-00001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a:extLst>
            <a:ext uri="{FF2B5EF4-FFF2-40B4-BE49-F238E27FC236}">
              <a16:creationId xmlns:a16="http://schemas.microsoft.com/office/drawing/2014/main" id="{00000000-0008-0000-0400-00001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a:extLst>
            <a:ext uri="{FF2B5EF4-FFF2-40B4-BE49-F238E27FC236}">
              <a16:creationId xmlns:a16="http://schemas.microsoft.com/office/drawing/2014/main" id="{00000000-0008-0000-0400-00001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a:extLst>
            <a:ext uri="{FF2B5EF4-FFF2-40B4-BE49-F238E27FC236}">
              <a16:creationId xmlns:a16="http://schemas.microsoft.com/office/drawing/2014/main" id="{00000000-0008-0000-0400-00001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a:extLst>
            <a:ext uri="{FF2B5EF4-FFF2-40B4-BE49-F238E27FC236}">
              <a16:creationId xmlns:a16="http://schemas.microsoft.com/office/drawing/2014/main" id="{00000000-0008-0000-0400-00001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a:extLst>
            <a:ext uri="{FF2B5EF4-FFF2-40B4-BE49-F238E27FC236}">
              <a16:creationId xmlns:a16="http://schemas.microsoft.com/office/drawing/2014/main" id="{00000000-0008-0000-0400-00001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a:extLst>
            <a:ext uri="{FF2B5EF4-FFF2-40B4-BE49-F238E27FC236}">
              <a16:creationId xmlns:a16="http://schemas.microsoft.com/office/drawing/2014/main" id="{00000000-0008-0000-0400-00001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a:extLst>
            <a:ext uri="{FF2B5EF4-FFF2-40B4-BE49-F238E27FC236}">
              <a16:creationId xmlns:a16="http://schemas.microsoft.com/office/drawing/2014/main" id="{00000000-0008-0000-0400-00001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a:extLst>
            <a:ext uri="{FF2B5EF4-FFF2-40B4-BE49-F238E27FC236}">
              <a16:creationId xmlns:a16="http://schemas.microsoft.com/office/drawing/2014/main" id="{00000000-0008-0000-0400-00001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a:extLst>
            <a:ext uri="{FF2B5EF4-FFF2-40B4-BE49-F238E27FC236}">
              <a16:creationId xmlns:a16="http://schemas.microsoft.com/office/drawing/2014/main" id="{00000000-0008-0000-0400-00001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a:extLst>
            <a:ext uri="{FF2B5EF4-FFF2-40B4-BE49-F238E27FC236}">
              <a16:creationId xmlns:a16="http://schemas.microsoft.com/office/drawing/2014/main" id="{00000000-0008-0000-0400-00001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a:extLst>
            <a:ext uri="{FF2B5EF4-FFF2-40B4-BE49-F238E27FC236}">
              <a16:creationId xmlns:a16="http://schemas.microsoft.com/office/drawing/2014/main" id="{00000000-0008-0000-0400-00002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a:extLst>
            <a:ext uri="{FF2B5EF4-FFF2-40B4-BE49-F238E27FC236}">
              <a16:creationId xmlns:a16="http://schemas.microsoft.com/office/drawing/2014/main" id="{00000000-0008-0000-0400-00002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a:extLst>
            <a:ext uri="{FF2B5EF4-FFF2-40B4-BE49-F238E27FC236}">
              <a16:creationId xmlns:a16="http://schemas.microsoft.com/office/drawing/2014/main" id="{00000000-0008-0000-0400-00002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a:extLst>
            <a:ext uri="{FF2B5EF4-FFF2-40B4-BE49-F238E27FC236}">
              <a16:creationId xmlns:a16="http://schemas.microsoft.com/office/drawing/2014/main" id="{00000000-0008-0000-0400-00002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a:extLst>
            <a:ext uri="{FF2B5EF4-FFF2-40B4-BE49-F238E27FC236}">
              <a16:creationId xmlns:a16="http://schemas.microsoft.com/office/drawing/2014/main" id="{00000000-0008-0000-0400-00002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a:extLst>
            <a:ext uri="{FF2B5EF4-FFF2-40B4-BE49-F238E27FC236}">
              <a16:creationId xmlns:a16="http://schemas.microsoft.com/office/drawing/2014/main" id="{00000000-0008-0000-0400-00002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a:extLst>
            <a:ext uri="{FF2B5EF4-FFF2-40B4-BE49-F238E27FC236}">
              <a16:creationId xmlns:a16="http://schemas.microsoft.com/office/drawing/2014/main" id="{00000000-0008-0000-0400-00002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a:extLst>
            <a:ext uri="{FF2B5EF4-FFF2-40B4-BE49-F238E27FC236}">
              <a16:creationId xmlns:a16="http://schemas.microsoft.com/office/drawing/2014/main" id="{00000000-0008-0000-0400-00002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a:extLst>
            <a:ext uri="{FF2B5EF4-FFF2-40B4-BE49-F238E27FC236}">
              <a16:creationId xmlns:a16="http://schemas.microsoft.com/office/drawing/2014/main" id="{00000000-0008-0000-0400-00002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a:extLst>
            <a:ext uri="{FF2B5EF4-FFF2-40B4-BE49-F238E27FC236}">
              <a16:creationId xmlns:a16="http://schemas.microsoft.com/office/drawing/2014/main" id="{00000000-0008-0000-0400-00002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a:extLst>
            <a:ext uri="{FF2B5EF4-FFF2-40B4-BE49-F238E27FC236}">
              <a16:creationId xmlns:a16="http://schemas.microsoft.com/office/drawing/2014/main" id="{00000000-0008-0000-0400-00002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a:extLst>
            <a:ext uri="{FF2B5EF4-FFF2-40B4-BE49-F238E27FC236}">
              <a16:creationId xmlns:a16="http://schemas.microsoft.com/office/drawing/2014/main" id="{00000000-0008-0000-0400-00002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a:extLst>
            <a:ext uri="{FF2B5EF4-FFF2-40B4-BE49-F238E27FC236}">
              <a16:creationId xmlns:a16="http://schemas.microsoft.com/office/drawing/2014/main" id="{00000000-0008-0000-0400-00002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a:extLst>
            <a:ext uri="{FF2B5EF4-FFF2-40B4-BE49-F238E27FC236}">
              <a16:creationId xmlns:a16="http://schemas.microsoft.com/office/drawing/2014/main" id="{00000000-0008-0000-0400-00002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a:extLst>
            <a:ext uri="{FF2B5EF4-FFF2-40B4-BE49-F238E27FC236}">
              <a16:creationId xmlns:a16="http://schemas.microsoft.com/office/drawing/2014/main" id="{00000000-0008-0000-0400-00002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a:extLst>
            <a:ext uri="{FF2B5EF4-FFF2-40B4-BE49-F238E27FC236}">
              <a16:creationId xmlns:a16="http://schemas.microsoft.com/office/drawing/2014/main" id="{00000000-0008-0000-0400-00002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a:extLst>
            <a:ext uri="{FF2B5EF4-FFF2-40B4-BE49-F238E27FC236}">
              <a16:creationId xmlns:a16="http://schemas.microsoft.com/office/drawing/2014/main" id="{00000000-0008-0000-0400-00003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a:extLst>
            <a:ext uri="{FF2B5EF4-FFF2-40B4-BE49-F238E27FC236}">
              <a16:creationId xmlns:a16="http://schemas.microsoft.com/office/drawing/2014/main" id="{00000000-0008-0000-0400-00003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a:extLst>
            <a:ext uri="{FF2B5EF4-FFF2-40B4-BE49-F238E27FC236}">
              <a16:creationId xmlns:a16="http://schemas.microsoft.com/office/drawing/2014/main" id="{00000000-0008-0000-0400-00003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a:extLst>
            <a:ext uri="{FF2B5EF4-FFF2-40B4-BE49-F238E27FC236}">
              <a16:creationId xmlns:a16="http://schemas.microsoft.com/office/drawing/2014/main" id="{00000000-0008-0000-0400-00003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a:extLst>
            <a:ext uri="{FF2B5EF4-FFF2-40B4-BE49-F238E27FC236}">
              <a16:creationId xmlns:a16="http://schemas.microsoft.com/office/drawing/2014/main" id="{00000000-0008-0000-0400-00003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a:extLst>
            <a:ext uri="{FF2B5EF4-FFF2-40B4-BE49-F238E27FC236}">
              <a16:creationId xmlns:a16="http://schemas.microsoft.com/office/drawing/2014/main" id="{00000000-0008-0000-0400-00003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a:extLst>
            <a:ext uri="{FF2B5EF4-FFF2-40B4-BE49-F238E27FC236}">
              <a16:creationId xmlns:a16="http://schemas.microsoft.com/office/drawing/2014/main" id="{00000000-0008-0000-0400-00003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a:extLst>
            <a:ext uri="{FF2B5EF4-FFF2-40B4-BE49-F238E27FC236}">
              <a16:creationId xmlns:a16="http://schemas.microsoft.com/office/drawing/2014/main" id="{00000000-0008-0000-0400-00003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a:extLst>
            <a:ext uri="{FF2B5EF4-FFF2-40B4-BE49-F238E27FC236}">
              <a16:creationId xmlns:a16="http://schemas.microsoft.com/office/drawing/2014/main" id="{00000000-0008-0000-0400-00003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a:extLst>
            <a:ext uri="{FF2B5EF4-FFF2-40B4-BE49-F238E27FC236}">
              <a16:creationId xmlns:a16="http://schemas.microsoft.com/office/drawing/2014/main" id="{00000000-0008-0000-0400-00003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a:extLst>
            <a:ext uri="{FF2B5EF4-FFF2-40B4-BE49-F238E27FC236}">
              <a16:creationId xmlns:a16="http://schemas.microsoft.com/office/drawing/2014/main" id="{00000000-0008-0000-0400-00003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a:extLst>
            <a:ext uri="{FF2B5EF4-FFF2-40B4-BE49-F238E27FC236}">
              <a16:creationId xmlns:a16="http://schemas.microsoft.com/office/drawing/2014/main" id="{00000000-0008-0000-0400-00003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a:extLst>
            <a:ext uri="{FF2B5EF4-FFF2-40B4-BE49-F238E27FC236}">
              <a16:creationId xmlns:a16="http://schemas.microsoft.com/office/drawing/2014/main" id="{00000000-0008-0000-0400-00003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a:extLst>
            <a:ext uri="{FF2B5EF4-FFF2-40B4-BE49-F238E27FC236}">
              <a16:creationId xmlns:a16="http://schemas.microsoft.com/office/drawing/2014/main" id="{00000000-0008-0000-0400-00003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a:extLst>
            <a:ext uri="{FF2B5EF4-FFF2-40B4-BE49-F238E27FC236}">
              <a16:creationId xmlns:a16="http://schemas.microsoft.com/office/drawing/2014/main" id="{00000000-0008-0000-0400-00003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a:extLst>
            <a:ext uri="{FF2B5EF4-FFF2-40B4-BE49-F238E27FC236}">
              <a16:creationId xmlns:a16="http://schemas.microsoft.com/office/drawing/2014/main" id="{00000000-0008-0000-0400-00003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a:extLst>
            <a:ext uri="{FF2B5EF4-FFF2-40B4-BE49-F238E27FC236}">
              <a16:creationId xmlns:a16="http://schemas.microsoft.com/office/drawing/2014/main" id="{00000000-0008-0000-0400-00004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a:extLst>
            <a:ext uri="{FF2B5EF4-FFF2-40B4-BE49-F238E27FC236}">
              <a16:creationId xmlns:a16="http://schemas.microsoft.com/office/drawing/2014/main" id="{00000000-0008-0000-0400-00004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a:extLst>
            <a:ext uri="{FF2B5EF4-FFF2-40B4-BE49-F238E27FC236}">
              <a16:creationId xmlns:a16="http://schemas.microsoft.com/office/drawing/2014/main" id="{00000000-0008-0000-0400-00004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a:extLst>
            <a:ext uri="{FF2B5EF4-FFF2-40B4-BE49-F238E27FC236}">
              <a16:creationId xmlns:a16="http://schemas.microsoft.com/office/drawing/2014/main" id="{00000000-0008-0000-0400-00004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a:extLst>
            <a:ext uri="{FF2B5EF4-FFF2-40B4-BE49-F238E27FC236}">
              <a16:creationId xmlns:a16="http://schemas.microsoft.com/office/drawing/2014/main" id="{00000000-0008-0000-0400-00004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a:extLst>
            <a:ext uri="{FF2B5EF4-FFF2-40B4-BE49-F238E27FC236}">
              <a16:creationId xmlns:a16="http://schemas.microsoft.com/office/drawing/2014/main" id="{00000000-0008-0000-0400-00004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a:extLst>
            <a:ext uri="{FF2B5EF4-FFF2-40B4-BE49-F238E27FC236}">
              <a16:creationId xmlns:a16="http://schemas.microsoft.com/office/drawing/2014/main" id="{00000000-0008-0000-0400-00004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a:extLst>
            <a:ext uri="{FF2B5EF4-FFF2-40B4-BE49-F238E27FC236}">
              <a16:creationId xmlns:a16="http://schemas.microsoft.com/office/drawing/2014/main" id="{00000000-0008-0000-0400-00004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a:extLst>
            <a:ext uri="{FF2B5EF4-FFF2-40B4-BE49-F238E27FC236}">
              <a16:creationId xmlns:a16="http://schemas.microsoft.com/office/drawing/2014/main" id="{00000000-0008-0000-0400-00004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a:extLst>
            <a:ext uri="{FF2B5EF4-FFF2-40B4-BE49-F238E27FC236}">
              <a16:creationId xmlns:a16="http://schemas.microsoft.com/office/drawing/2014/main" id="{00000000-0008-0000-0400-00004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a:extLst>
            <a:ext uri="{FF2B5EF4-FFF2-40B4-BE49-F238E27FC236}">
              <a16:creationId xmlns:a16="http://schemas.microsoft.com/office/drawing/2014/main" id="{00000000-0008-0000-0400-00004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a:extLst>
            <a:ext uri="{FF2B5EF4-FFF2-40B4-BE49-F238E27FC236}">
              <a16:creationId xmlns:a16="http://schemas.microsoft.com/office/drawing/2014/main" id="{00000000-0008-0000-0400-00004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a:extLst>
            <a:ext uri="{FF2B5EF4-FFF2-40B4-BE49-F238E27FC236}">
              <a16:creationId xmlns:a16="http://schemas.microsoft.com/office/drawing/2014/main" id="{00000000-0008-0000-0400-00004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a:extLst>
            <a:ext uri="{FF2B5EF4-FFF2-40B4-BE49-F238E27FC236}">
              <a16:creationId xmlns:a16="http://schemas.microsoft.com/office/drawing/2014/main" id="{00000000-0008-0000-0400-00004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a:extLst>
            <a:ext uri="{FF2B5EF4-FFF2-40B4-BE49-F238E27FC236}">
              <a16:creationId xmlns:a16="http://schemas.microsoft.com/office/drawing/2014/main" id="{00000000-0008-0000-0400-00004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a:extLst>
            <a:ext uri="{FF2B5EF4-FFF2-40B4-BE49-F238E27FC236}">
              <a16:creationId xmlns:a16="http://schemas.microsoft.com/office/drawing/2014/main" id="{00000000-0008-0000-0400-00004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a:extLst>
            <a:ext uri="{FF2B5EF4-FFF2-40B4-BE49-F238E27FC236}">
              <a16:creationId xmlns:a16="http://schemas.microsoft.com/office/drawing/2014/main" id="{00000000-0008-0000-0400-00005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a:extLst>
            <a:ext uri="{FF2B5EF4-FFF2-40B4-BE49-F238E27FC236}">
              <a16:creationId xmlns:a16="http://schemas.microsoft.com/office/drawing/2014/main" id="{00000000-0008-0000-0400-00005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a:extLst>
            <a:ext uri="{FF2B5EF4-FFF2-40B4-BE49-F238E27FC236}">
              <a16:creationId xmlns:a16="http://schemas.microsoft.com/office/drawing/2014/main" id="{00000000-0008-0000-0400-00005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a:extLst>
            <a:ext uri="{FF2B5EF4-FFF2-40B4-BE49-F238E27FC236}">
              <a16:creationId xmlns:a16="http://schemas.microsoft.com/office/drawing/2014/main" id="{00000000-0008-0000-0400-00005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a:extLst>
            <a:ext uri="{FF2B5EF4-FFF2-40B4-BE49-F238E27FC236}">
              <a16:creationId xmlns:a16="http://schemas.microsoft.com/office/drawing/2014/main" id="{00000000-0008-0000-0400-00005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a:extLst>
            <a:ext uri="{FF2B5EF4-FFF2-40B4-BE49-F238E27FC236}">
              <a16:creationId xmlns:a16="http://schemas.microsoft.com/office/drawing/2014/main" id="{00000000-0008-0000-0400-00005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a:extLst>
            <a:ext uri="{FF2B5EF4-FFF2-40B4-BE49-F238E27FC236}">
              <a16:creationId xmlns:a16="http://schemas.microsoft.com/office/drawing/2014/main" id="{00000000-0008-0000-0400-00005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a:extLst>
            <a:ext uri="{FF2B5EF4-FFF2-40B4-BE49-F238E27FC236}">
              <a16:creationId xmlns:a16="http://schemas.microsoft.com/office/drawing/2014/main" id="{00000000-0008-0000-0400-00005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a:extLst>
            <a:ext uri="{FF2B5EF4-FFF2-40B4-BE49-F238E27FC236}">
              <a16:creationId xmlns:a16="http://schemas.microsoft.com/office/drawing/2014/main" id="{00000000-0008-0000-0400-00005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a:extLst>
            <a:ext uri="{FF2B5EF4-FFF2-40B4-BE49-F238E27FC236}">
              <a16:creationId xmlns:a16="http://schemas.microsoft.com/office/drawing/2014/main" id="{00000000-0008-0000-0400-00005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a:extLst>
            <a:ext uri="{FF2B5EF4-FFF2-40B4-BE49-F238E27FC236}">
              <a16:creationId xmlns:a16="http://schemas.microsoft.com/office/drawing/2014/main" id="{00000000-0008-0000-0400-00005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a:extLst>
            <a:ext uri="{FF2B5EF4-FFF2-40B4-BE49-F238E27FC236}">
              <a16:creationId xmlns:a16="http://schemas.microsoft.com/office/drawing/2014/main" id="{00000000-0008-0000-0400-00005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a:extLst>
            <a:ext uri="{FF2B5EF4-FFF2-40B4-BE49-F238E27FC236}">
              <a16:creationId xmlns:a16="http://schemas.microsoft.com/office/drawing/2014/main" id="{00000000-0008-0000-0400-00005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a:extLst>
            <a:ext uri="{FF2B5EF4-FFF2-40B4-BE49-F238E27FC236}">
              <a16:creationId xmlns:a16="http://schemas.microsoft.com/office/drawing/2014/main" id="{00000000-0008-0000-0400-00005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a:extLst>
            <a:ext uri="{FF2B5EF4-FFF2-40B4-BE49-F238E27FC236}">
              <a16:creationId xmlns:a16="http://schemas.microsoft.com/office/drawing/2014/main" id="{00000000-0008-0000-0400-00005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a:extLst>
            <a:ext uri="{FF2B5EF4-FFF2-40B4-BE49-F238E27FC236}">
              <a16:creationId xmlns:a16="http://schemas.microsoft.com/office/drawing/2014/main" id="{00000000-0008-0000-0400-00005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a:extLst>
            <a:ext uri="{FF2B5EF4-FFF2-40B4-BE49-F238E27FC236}">
              <a16:creationId xmlns:a16="http://schemas.microsoft.com/office/drawing/2014/main" id="{00000000-0008-0000-0400-00006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a:extLst>
            <a:ext uri="{FF2B5EF4-FFF2-40B4-BE49-F238E27FC236}">
              <a16:creationId xmlns:a16="http://schemas.microsoft.com/office/drawing/2014/main" id="{00000000-0008-0000-0400-00006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a:extLst>
            <a:ext uri="{FF2B5EF4-FFF2-40B4-BE49-F238E27FC236}">
              <a16:creationId xmlns:a16="http://schemas.microsoft.com/office/drawing/2014/main" id="{00000000-0008-0000-0400-00006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a:extLst>
            <a:ext uri="{FF2B5EF4-FFF2-40B4-BE49-F238E27FC236}">
              <a16:creationId xmlns:a16="http://schemas.microsoft.com/office/drawing/2014/main" id="{00000000-0008-0000-0400-00006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a:extLst>
            <a:ext uri="{FF2B5EF4-FFF2-40B4-BE49-F238E27FC236}">
              <a16:creationId xmlns:a16="http://schemas.microsoft.com/office/drawing/2014/main" id="{00000000-0008-0000-0400-00006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a:extLst>
            <a:ext uri="{FF2B5EF4-FFF2-40B4-BE49-F238E27FC236}">
              <a16:creationId xmlns:a16="http://schemas.microsoft.com/office/drawing/2014/main" id="{00000000-0008-0000-0400-00006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a:extLst>
            <a:ext uri="{FF2B5EF4-FFF2-40B4-BE49-F238E27FC236}">
              <a16:creationId xmlns:a16="http://schemas.microsoft.com/office/drawing/2014/main" id="{00000000-0008-0000-0400-00006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a:extLst>
            <a:ext uri="{FF2B5EF4-FFF2-40B4-BE49-F238E27FC236}">
              <a16:creationId xmlns:a16="http://schemas.microsoft.com/office/drawing/2014/main" id="{00000000-0008-0000-0400-00006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a:extLst>
            <a:ext uri="{FF2B5EF4-FFF2-40B4-BE49-F238E27FC236}">
              <a16:creationId xmlns:a16="http://schemas.microsoft.com/office/drawing/2014/main" id="{00000000-0008-0000-0400-00006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a:extLst>
            <a:ext uri="{FF2B5EF4-FFF2-40B4-BE49-F238E27FC236}">
              <a16:creationId xmlns:a16="http://schemas.microsoft.com/office/drawing/2014/main" id="{00000000-0008-0000-0400-00006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a:extLst>
            <a:ext uri="{FF2B5EF4-FFF2-40B4-BE49-F238E27FC236}">
              <a16:creationId xmlns:a16="http://schemas.microsoft.com/office/drawing/2014/main" id="{00000000-0008-0000-0400-00006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a:extLst>
            <a:ext uri="{FF2B5EF4-FFF2-40B4-BE49-F238E27FC236}">
              <a16:creationId xmlns:a16="http://schemas.microsoft.com/office/drawing/2014/main" id="{00000000-0008-0000-0400-00006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a:extLst>
            <a:ext uri="{FF2B5EF4-FFF2-40B4-BE49-F238E27FC236}">
              <a16:creationId xmlns:a16="http://schemas.microsoft.com/office/drawing/2014/main" id="{00000000-0008-0000-0400-00006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a:extLst>
            <a:ext uri="{FF2B5EF4-FFF2-40B4-BE49-F238E27FC236}">
              <a16:creationId xmlns:a16="http://schemas.microsoft.com/office/drawing/2014/main" id="{00000000-0008-0000-0400-00006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a:extLst>
            <a:ext uri="{FF2B5EF4-FFF2-40B4-BE49-F238E27FC236}">
              <a16:creationId xmlns:a16="http://schemas.microsoft.com/office/drawing/2014/main" id="{00000000-0008-0000-0400-00006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a:extLst>
            <a:ext uri="{FF2B5EF4-FFF2-40B4-BE49-F238E27FC236}">
              <a16:creationId xmlns:a16="http://schemas.microsoft.com/office/drawing/2014/main" id="{00000000-0008-0000-0400-00006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a:extLst>
            <a:ext uri="{FF2B5EF4-FFF2-40B4-BE49-F238E27FC236}">
              <a16:creationId xmlns:a16="http://schemas.microsoft.com/office/drawing/2014/main" id="{00000000-0008-0000-0400-00007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a:extLst>
            <a:ext uri="{FF2B5EF4-FFF2-40B4-BE49-F238E27FC236}">
              <a16:creationId xmlns:a16="http://schemas.microsoft.com/office/drawing/2014/main" id="{00000000-0008-0000-0400-00007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a:extLst>
            <a:ext uri="{FF2B5EF4-FFF2-40B4-BE49-F238E27FC236}">
              <a16:creationId xmlns:a16="http://schemas.microsoft.com/office/drawing/2014/main" id="{00000000-0008-0000-0400-00007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a:extLst>
            <a:ext uri="{FF2B5EF4-FFF2-40B4-BE49-F238E27FC236}">
              <a16:creationId xmlns:a16="http://schemas.microsoft.com/office/drawing/2014/main" id="{00000000-0008-0000-0400-00007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a:extLst>
            <a:ext uri="{FF2B5EF4-FFF2-40B4-BE49-F238E27FC236}">
              <a16:creationId xmlns:a16="http://schemas.microsoft.com/office/drawing/2014/main" id="{00000000-0008-0000-0400-00007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a:extLst>
            <a:ext uri="{FF2B5EF4-FFF2-40B4-BE49-F238E27FC236}">
              <a16:creationId xmlns:a16="http://schemas.microsoft.com/office/drawing/2014/main" id="{00000000-0008-0000-0400-00007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a:extLst>
            <a:ext uri="{FF2B5EF4-FFF2-40B4-BE49-F238E27FC236}">
              <a16:creationId xmlns:a16="http://schemas.microsoft.com/office/drawing/2014/main" id="{00000000-0008-0000-0400-00007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a:extLst>
            <a:ext uri="{FF2B5EF4-FFF2-40B4-BE49-F238E27FC236}">
              <a16:creationId xmlns:a16="http://schemas.microsoft.com/office/drawing/2014/main" id="{00000000-0008-0000-0400-00007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a:extLst>
            <a:ext uri="{FF2B5EF4-FFF2-40B4-BE49-F238E27FC236}">
              <a16:creationId xmlns:a16="http://schemas.microsoft.com/office/drawing/2014/main" id="{00000000-0008-0000-0400-00007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a:extLst>
            <a:ext uri="{FF2B5EF4-FFF2-40B4-BE49-F238E27FC236}">
              <a16:creationId xmlns:a16="http://schemas.microsoft.com/office/drawing/2014/main" id="{00000000-0008-0000-0400-00007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a:extLst>
            <a:ext uri="{FF2B5EF4-FFF2-40B4-BE49-F238E27FC236}">
              <a16:creationId xmlns:a16="http://schemas.microsoft.com/office/drawing/2014/main" id="{00000000-0008-0000-0400-00007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a:extLst>
            <a:ext uri="{FF2B5EF4-FFF2-40B4-BE49-F238E27FC236}">
              <a16:creationId xmlns:a16="http://schemas.microsoft.com/office/drawing/2014/main" id="{00000000-0008-0000-0400-00007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a:extLst>
            <a:ext uri="{FF2B5EF4-FFF2-40B4-BE49-F238E27FC236}">
              <a16:creationId xmlns:a16="http://schemas.microsoft.com/office/drawing/2014/main" id="{00000000-0008-0000-0400-00007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a:extLst>
            <a:ext uri="{FF2B5EF4-FFF2-40B4-BE49-F238E27FC236}">
              <a16:creationId xmlns:a16="http://schemas.microsoft.com/office/drawing/2014/main" id="{00000000-0008-0000-0400-00007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a:extLst>
            <a:ext uri="{FF2B5EF4-FFF2-40B4-BE49-F238E27FC236}">
              <a16:creationId xmlns:a16="http://schemas.microsoft.com/office/drawing/2014/main" id="{00000000-0008-0000-0400-00007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a:extLst>
            <a:ext uri="{FF2B5EF4-FFF2-40B4-BE49-F238E27FC236}">
              <a16:creationId xmlns:a16="http://schemas.microsoft.com/office/drawing/2014/main" id="{00000000-0008-0000-0400-00007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a:extLst>
            <a:ext uri="{FF2B5EF4-FFF2-40B4-BE49-F238E27FC236}">
              <a16:creationId xmlns:a16="http://schemas.microsoft.com/office/drawing/2014/main" id="{00000000-0008-0000-0400-00008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a:extLst>
            <a:ext uri="{FF2B5EF4-FFF2-40B4-BE49-F238E27FC236}">
              <a16:creationId xmlns:a16="http://schemas.microsoft.com/office/drawing/2014/main" id="{00000000-0008-0000-0400-00008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a:extLst>
            <a:ext uri="{FF2B5EF4-FFF2-40B4-BE49-F238E27FC236}">
              <a16:creationId xmlns:a16="http://schemas.microsoft.com/office/drawing/2014/main" id="{00000000-0008-0000-0400-00008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a:extLst>
            <a:ext uri="{FF2B5EF4-FFF2-40B4-BE49-F238E27FC236}">
              <a16:creationId xmlns:a16="http://schemas.microsoft.com/office/drawing/2014/main" id="{00000000-0008-0000-0400-00008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a:extLst>
            <a:ext uri="{FF2B5EF4-FFF2-40B4-BE49-F238E27FC236}">
              <a16:creationId xmlns:a16="http://schemas.microsoft.com/office/drawing/2014/main" id="{00000000-0008-0000-0400-00008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a:extLst>
            <a:ext uri="{FF2B5EF4-FFF2-40B4-BE49-F238E27FC236}">
              <a16:creationId xmlns:a16="http://schemas.microsoft.com/office/drawing/2014/main" id="{00000000-0008-0000-0400-00008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a:extLst>
            <a:ext uri="{FF2B5EF4-FFF2-40B4-BE49-F238E27FC236}">
              <a16:creationId xmlns:a16="http://schemas.microsoft.com/office/drawing/2014/main" id="{00000000-0008-0000-0400-00008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a:extLst>
            <a:ext uri="{FF2B5EF4-FFF2-40B4-BE49-F238E27FC236}">
              <a16:creationId xmlns:a16="http://schemas.microsoft.com/office/drawing/2014/main" id="{00000000-0008-0000-0400-00008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a:extLst>
            <a:ext uri="{FF2B5EF4-FFF2-40B4-BE49-F238E27FC236}">
              <a16:creationId xmlns:a16="http://schemas.microsoft.com/office/drawing/2014/main" id="{00000000-0008-0000-0400-00008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a:extLst>
            <a:ext uri="{FF2B5EF4-FFF2-40B4-BE49-F238E27FC236}">
              <a16:creationId xmlns:a16="http://schemas.microsoft.com/office/drawing/2014/main" id="{00000000-0008-0000-0400-00008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a:extLst>
            <a:ext uri="{FF2B5EF4-FFF2-40B4-BE49-F238E27FC236}">
              <a16:creationId xmlns:a16="http://schemas.microsoft.com/office/drawing/2014/main" id="{00000000-0008-0000-0400-00008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a:extLst>
            <a:ext uri="{FF2B5EF4-FFF2-40B4-BE49-F238E27FC236}">
              <a16:creationId xmlns:a16="http://schemas.microsoft.com/office/drawing/2014/main" id="{00000000-0008-0000-0400-00008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a:extLst>
            <a:ext uri="{FF2B5EF4-FFF2-40B4-BE49-F238E27FC236}">
              <a16:creationId xmlns:a16="http://schemas.microsoft.com/office/drawing/2014/main" id="{00000000-0008-0000-0400-00008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a:extLst>
            <a:ext uri="{FF2B5EF4-FFF2-40B4-BE49-F238E27FC236}">
              <a16:creationId xmlns:a16="http://schemas.microsoft.com/office/drawing/2014/main" id="{00000000-0008-0000-0400-00008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a:extLst>
            <a:ext uri="{FF2B5EF4-FFF2-40B4-BE49-F238E27FC236}">
              <a16:creationId xmlns:a16="http://schemas.microsoft.com/office/drawing/2014/main" id="{00000000-0008-0000-0400-00008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a:extLst>
            <a:ext uri="{FF2B5EF4-FFF2-40B4-BE49-F238E27FC236}">
              <a16:creationId xmlns:a16="http://schemas.microsoft.com/office/drawing/2014/main" id="{00000000-0008-0000-0400-00008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a:extLst>
            <a:ext uri="{FF2B5EF4-FFF2-40B4-BE49-F238E27FC236}">
              <a16:creationId xmlns:a16="http://schemas.microsoft.com/office/drawing/2014/main" id="{00000000-0008-0000-0400-00009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a:extLst>
            <a:ext uri="{FF2B5EF4-FFF2-40B4-BE49-F238E27FC236}">
              <a16:creationId xmlns:a16="http://schemas.microsoft.com/office/drawing/2014/main" id="{00000000-0008-0000-0400-00009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a:extLst>
            <a:ext uri="{FF2B5EF4-FFF2-40B4-BE49-F238E27FC236}">
              <a16:creationId xmlns:a16="http://schemas.microsoft.com/office/drawing/2014/main" id="{00000000-0008-0000-0400-00009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a:extLst>
            <a:ext uri="{FF2B5EF4-FFF2-40B4-BE49-F238E27FC236}">
              <a16:creationId xmlns:a16="http://schemas.microsoft.com/office/drawing/2014/main" id="{00000000-0008-0000-0400-00009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a:extLst>
            <a:ext uri="{FF2B5EF4-FFF2-40B4-BE49-F238E27FC236}">
              <a16:creationId xmlns:a16="http://schemas.microsoft.com/office/drawing/2014/main" id="{00000000-0008-0000-0400-00009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a:extLst>
            <a:ext uri="{FF2B5EF4-FFF2-40B4-BE49-F238E27FC236}">
              <a16:creationId xmlns:a16="http://schemas.microsoft.com/office/drawing/2014/main" id="{00000000-0008-0000-0400-0000D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a:extLst>
            <a:ext uri="{FF2B5EF4-FFF2-40B4-BE49-F238E27FC236}">
              <a16:creationId xmlns:a16="http://schemas.microsoft.com/office/drawing/2014/main" id="{00000000-0008-0000-0400-0000D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a:extLst>
            <a:ext uri="{FF2B5EF4-FFF2-40B4-BE49-F238E27FC236}">
              <a16:creationId xmlns:a16="http://schemas.microsoft.com/office/drawing/2014/main" id="{00000000-0008-0000-0400-0000D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a:extLst>
            <a:ext uri="{FF2B5EF4-FFF2-40B4-BE49-F238E27FC236}">
              <a16:creationId xmlns:a16="http://schemas.microsoft.com/office/drawing/2014/main" id="{00000000-0008-0000-0400-0000D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a:extLst>
            <a:ext uri="{FF2B5EF4-FFF2-40B4-BE49-F238E27FC236}">
              <a16:creationId xmlns:a16="http://schemas.microsoft.com/office/drawing/2014/main" id="{00000000-0008-0000-0400-0000D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a:extLst>
            <a:ext uri="{FF2B5EF4-FFF2-40B4-BE49-F238E27FC236}">
              <a16:creationId xmlns:a16="http://schemas.microsoft.com/office/drawing/2014/main" id="{00000000-0008-0000-0400-0000D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a:extLst>
            <a:ext uri="{FF2B5EF4-FFF2-40B4-BE49-F238E27FC236}">
              <a16:creationId xmlns:a16="http://schemas.microsoft.com/office/drawing/2014/main" id="{00000000-0008-0000-0400-0000D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a:extLst>
            <a:ext uri="{FF2B5EF4-FFF2-40B4-BE49-F238E27FC236}">
              <a16:creationId xmlns:a16="http://schemas.microsoft.com/office/drawing/2014/main" id="{00000000-0008-0000-0400-0000D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a:extLst>
            <a:ext uri="{FF2B5EF4-FFF2-40B4-BE49-F238E27FC236}">
              <a16:creationId xmlns:a16="http://schemas.microsoft.com/office/drawing/2014/main" id="{00000000-0008-0000-0400-0000D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a:extLst>
            <a:ext uri="{FF2B5EF4-FFF2-40B4-BE49-F238E27FC236}">
              <a16:creationId xmlns:a16="http://schemas.microsoft.com/office/drawing/2014/main" id="{00000000-0008-0000-0400-0000D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a:extLst>
            <a:ext uri="{FF2B5EF4-FFF2-40B4-BE49-F238E27FC236}">
              <a16:creationId xmlns:a16="http://schemas.microsoft.com/office/drawing/2014/main" id="{00000000-0008-0000-0400-0000D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a:extLst>
            <a:ext uri="{FF2B5EF4-FFF2-40B4-BE49-F238E27FC236}">
              <a16:creationId xmlns:a16="http://schemas.microsoft.com/office/drawing/2014/main" id="{00000000-0008-0000-0400-0000D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a:extLst>
            <a:ext uri="{FF2B5EF4-FFF2-40B4-BE49-F238E27FC236}">
              <a16:creationId xmlns:a16="http://schemas.microsoft.com/office/drawing/2014/main" id="{00000000-0008-0000-0400-0000D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a:extLst>
            <a:ext uri="{FF2B5EF4-FFF2-40B4-BE49-F238E27FC236}">
              <a16:creationId xmlns:a16="http://schemas.microsoft.com/office/drawing/2014/main" id="{00000000-0008-0000-0400-0000D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a:extLst>
            <a:ext uri="{FF2B5EF4-FFF2-40B4-BE49-F238E27FC236}">
              <a16:creationId xmlns:a16="http://schemas.microsoft.com/office/drawing/2014/main" id="{00000000-0008-0000-0400-0000E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a:extLst>
            <a:ext uri="{FF2B5EF4-FFF2-40B4-BE49-F238E27FC236}">
              <a16:creationId xmlns:a16="http://schemas.microsoft.com/office/drawing/2014/main" id="{00000000-0008-0000-0400-0000E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a:extLst>
            <a:ext uri="{FF2B5EF4-FFF2-40B4-BE49-F238E27FC236}">
              <a16:creationId xmlns:a16="http://schemas.microsoft.com/office/drawing/2014/main" id="{00000000-0008-0000-0400-0000E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a:extLst>
            <a:ext uri="{FF2B5EF4-FFF2-40B4-BE49-F238E27FC236}">
              <a16:creationId xmlns:a16="http://schemas.microsoft.com/office/drawing/2014/main" id="{00000000-0008-0000-0400-0000E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a:extLst>
            <a:ext uri="{FF2B5EF4-FFF2-40B4-BE49-F238E27FC236}">
              <a16:creationId xmlns:a16="http://schemas.microsoft.com/office/drawing/2014/main" id="{00000000-0008-0000-0400-0000E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a:extLst>
            <a:ext uri="{FF2B5EF4-FFF2-40B4-BE49-F238E27FC236}">
              <a16:creationId xmlns:a16="http://schemas.microsoft.com/office/drawing/2014/main" id="{00000000-0008-0000-0400-0000E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a:extLst>
            <a:ext uri="{FF2B5EF4-FFF2-40B4-BE49-F238E27FC236}">
              <a16:creationId xmlns:a16="http://schemas.microsoft.com/office/drawing/2014/main" id="{00000000-0008-0000-0400-0000E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a:extLst>
            <a:ext uri="{FF2B5EF4-FFF2-40B4-BE49-F238E27FC236}">
              <a16:creationId xmlns:a16="http://schemas.microsoft.com/office/drawing/2014/main" id="{00000000-0008-0000-0400-0000E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a:extLst>
            <a:ext uri="{FF2B5EF4-FFF2-40B4-BE49-F238E27FC236}">
              <a16:creationId xmlns:a16="http://schemas.microsoft.com/office/drawing/2014/main" id="{00000000-0008-0000-0400-0000E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a:extLst>
            <a:ext uri="{FF2B5EF4-FFF2-40B4-BE49-F238E27FC236}">
              <a16:creationId xmlns:a16="http://schemas.microsoft.com/office/drawing/2014/main" id="{00000000-0008-0000-0400-0000E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a:extLst>
            <a:ext uri="{FF2B5EF4-FFF2-40B4-BE49-F238E27FC236}">
              <a16:creationId xmlns:a16="http://schemas.microsoft.com/office/drawing/2014/main" id="{00000000-0008-0000-0400-0000E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a:extLst>
            <a:ext uri="{FF2B5EF4-FFF2-40B4-BE49-F238E27FC236}">
              <a16:creationId xmlns:a16="http://schemas.microsoft.com/office/drawing/2014/main" id="{00000000-0008-0000-0400-0000E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a:extLst>
            <a:ext uri="{FF2B5EF4-FFF2-40B4-BE49-F238E27FC236}">
              <a16:creationId xmlns:a16="http://schemas.microsoft.com/office/drawing/2014/main" id="{00000000-0008-0000-0400-0000E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a:extLst>
            <a:ext uri="{FF2B5EF4-FFF2-40B4-BE49-F238E27FC236}">
              <a16:creationId xmlns:a16="http://schemas.microsoft.com/office/drawing/2014/main" id="{00000000-0008-0000-0400-0000E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a:extLst>
            <a:ext uri="{FF2B5EF4-FFF2-40B4-BE49-F238E27FC236}">
              <a16:creationId xmlns:a16="http://schemas.microsoft.com/office/drawing/2014/main" id="{00000000-0008-0000-0400-0000E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a:extLst>
            <a:ext uri="{FF2B5EF4-FFF2-40B4-BE49-F238E27FC236}">
              <a16:creationId xmlns:a16="http://schemas.microsoft.com/office/drawing/2014/main" id="{00000000-0008-0000-0400-0000E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a:extLst>
            <a:ext uri="{FF2B5EF4-FFF2-40B4-BE49-F238E27FC236}">
              <a16:creationId xmlns:a16="http://schemas.microsoft.com/office/drawing/2014/main" id="{00000000-0008-0000-0400-0000F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a:extLst>
            <a:ext uri="{FF2B5EF4-FFF2-40B4-BE49-F238E27FC236}">
              <a16:creationId xmlns:a16="http://schemas.microsoft.com/office/drawing/2014/main" id="{00000000-0008-0000-0400-0000F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a:extLst>
            <a:ext uri="{FF2B5EF4-FFF2-40B4-BE49-F238E27FC236}">
              <a16:creationId xmlns:a16="http://schemas.microsoft.com/office/drawing/2014/main" id="{00000000-0008-0000-0400-0000F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a:extLst>
            <a:ext uri="{FF2B5EF4-FFF2-40B4-BE49-F238E27FC236}">
              <a16:creationId xmlns:a16="http://schemas.microsoft.com/office/drawing/2014/main" id="{00000000-0008-0000-0400-0000F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a:extLst>
            <a:ext uri="{FF2B5EF4-FFF2-40B4-BE49-F238E27FC236}">
              <a16:creationId xmlns:a16="http://schemas.microsoft.com/office/drawing/2014/main" id="{00000000-0008-0000-0400-0000F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a:extLst>
            <a:ext uri="{FF2B5EF4-FFF2-40B4-BE49-F238E27FC236}">
              <a16:creationId xmlns:a16="http://schemas.microsoft.com/office/drawing/2014/main" id="{00000000-0008-0000-0400-0000F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a:extLst>
            <a:ext uri="{FF2B5EF4-FFF2-40B4-BE49-F238E27FC236}">
              <a16:creationId xmlns:a16="http://schemas.microsoft.com/office/drawing/2014/main" id="{00000000-0008-0000-0400-0000F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a:extLst>
            <a:ext uri="{FF2B5EF4-FFF2-40B4-BE49-F238E27FC236}">
              <a16:creationId xmlns:a16="http://schemas.microsoft.com/office/drawing/2014/main" id="{00000000-0008-0000-0400-0000F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a:extLst>
            <a:ext uri="{FF2B5EF4-FFF2-40B4-BE49-F238E27FC236}">
              <a16:creationId xmlns:a16="http://schemas.microsoft.com/office/drawing/2014/main" id="{00000000-0008-0000-0400-0000F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a:extLst>
            <a:ext uri="{FF2B5EF4-FFF2-40B4-BE49-F238E27FC236}">
              <a16:creationId xmlns:a16="http://schemas.microsoft.com/office/drawing/2014/main" id="{00000000-0008-0000-0400-0000F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a:extLst>
            <a:ext uri="{FF2B5EF4-FFF2-40B4-BE49-F238E27FC236}">
              <a16:creationId xmlns:a16="http://schemas.microsoft.com/office/drawing/2014/main" id="{00000000-0008-0000-0400-0000F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a:extLst>
            <a:ext uri="{FF2B5EF4-FFF2-40B4-BE49-F238E27FC236}">
              <a16:creationId xmlns:a16="http://schemas.microsoft.com/office/drawing/2014/main" id="{00000000-0008-0000-0400-0000F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2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a:extLst>
            <a:ext uri="{FF2B5EF4-FFF2-40B4-BE49-F238E27FC236}">
              <a16:creationId xmlns:a16="http://schemas.microsoft.com/office/drawing/2014/main" id="{00000000-0008-0000-2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2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a:extLst>
            <a:ext uri="{FF2B5EF4-FFF2-40B4-BE49-F238E27FC236}">
              <a16:creationId xmlns:a16="http://schemas.microsoft.com/office/drawing/2014/main" id="{00000000-0008-0000-2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a:extLst>
            <a:ext uri="{FF2B5EF4-FFF2-40B4-BE49-F238E27FC236}">
              <a16:creationId xmlns:a16="http://schemas.microsoft.com/office/drawing/2014/main" id="{00000000-0008-0000-2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1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a:extLst>
            <a:ext uri="{FF2B5EF4-FFF2-40B4-BE49-F238E27FC236}">
              <a16:creationId xmlns:a16="http://schemas.microsoft.com/office/drawing/2014/main" id="{00000000-0008-0000-1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1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a:extLst>
            <a:ext uri="{FF2B5EF4-FFF2-40B4-BE49-F238E27FC236}">
              <a16:creationId xmlns:a16="http://schemas.microsoft.com/office/drawing/2014/main" id="{00000000-0008-0000-1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1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a:extLst>
            <a:ext uri="{FF2B5EF4-FFF2-40B4-BE49-F238E27FC236}">
              <a16:creationId xmlns:a16="http://schemas.microsoft.com/office/drawing/2014/main" id="{00000000-0008-0000-1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1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a:extLst>
            <a:ext uri="{FF2B5EF4-FFF2-40B4-BE49-F238E27FC236}">
              <a16:creationId xmlns:a16="http://schemas.microsoft.com/office/drawing/2014/main" id="{00000000-0008-0000-1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1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a:extLst>
            <a:ext uri="{FF2B5EF4-FFF2-40B4-BE49-F238E27FC236}">
              <a16:creationId xmlns:a16="http://schemas.microsoft.com/office/drawing/2014/main" id="{00000000-0008-0000-1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1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a:extLst>
            <a:ext uri="{FF2B5EF4-FFF2-40B4-BE49-F238E27FC236}">
              <a16:creationId xmlns:a16="http://schemas.microsoft.com/office/drawing/2014/main" id="{00000000-0008-0000-1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a:extLst>
            <a:ext uri="{FF2B5EF4-FFF2-40B4-BE49-F238E27FC236}">
              <a16:creationId xmlns:a16="http://schemas.microsoft.com/office/drawing/2014/main" id="{00000000-0008-0000-1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79" bestFit="1" customWidth="1"/>
    <col min="4" max="4" width="4.5703125" bestFit="1" customWidth="1"/>
    <col min="5" max="5" width="10.7109375" bestFit="1" customWidth="1"/>
    <col min="6" max="6" width="5.5703125" style="507" bestFit="1" customWidth="1"/>
    <col min="7" max="7" width="4.5703125" bestFit="1" customWidth="1"/>
    <col min="8" max="8" width="5.5703125" style="507" bestFit="1" customWidth="1"/>
    <col min="9" max="9" width="5" bestFit="1" customWidth="1"/>
    <col min="10" max="10" width="4.5703125" bestFit="1" customWidth="1"/>
    <col min="11" max="11" width="10.7109375" bestFit="1" customWidth="1"/>
    <col min="12" max="12" width="8.42578125" style="507"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49" customFormat="1" x14ac:dyDescent="0.25">
      <c r="C1" s="506">
        <f ca="1">TODAY()</f>
        <v>43451</v>
      </c>
      <c r="D1" s="688">
        <v>41471</v>
      </c>
      <c r="E1" s="688"/>
      <c r="F1" s="688"/>
      <c r="H1" s="285"/>
    </row>
    <row r="2" spans="1:17" s="3" customFormat="1" x14ac:dyDescent="0.25">
      <c r="A2" s="3">
        <v>16</v>
      </c>
      <c r="B2" s="285"/>
      <c r="C2" s="314"/>
      <c r="D2" s="297"/>
      <c r="E2" s="297"/>
    </row>
    <row r="3" spans="1:17" s="253" customFormat="1" x14ac:dyDescent="0.25">
      <c r="A3" s="298"/>
      <c r="B3" s="298" t="s">
        <v>435</v>
      </c>
      <c r="C3" s="294" t="s">
        <v>542</v>
      </c>
      <c r="D3" s="262" t="s">
        <v>502</v>
      </c>
      <c r="F3" s="508"/>
      <c r="J3" s="520" t="s">
        <v>502</v>
      </c>
    </row>
    <row r="4" spans="1:17" x14ac:dyDescent="0.25">
      <c r="A4" s="299" t="s">
        <v>413</v>
      </c>
      <c r="B4" s="299" t="s">
        <v>276</v>
      </c>
      <c r="C4" s="301" t="s">
        <v>179</v>
      </c>
      <c r="D4" s="299" t="s">
        <v>182</v>
      </c>
      <c r="E4" s="418" t="s">
        <v>716</v>
      </c>
      <c r="F4" s="418" t="s">
        <v>715</v>
      </c>
      <c r="G4" s="418" t="s">
        <v>717</v>
      </c>
      <c r="H4" s="418" t="s">
        <v>689</v>
      </c>
      <c r="I4" s="418" t="s">
        <v>62</v>
      </c>
      <c r="J4" s="299" t="s">
        <v>182</v>
      </c>
      <c r="K4" s="521" t="s">
        <v>1</v>
      </c>
      <c r="L4" s="521" t="s">
        <v>2</v>
      </c>
      <c r="M4" s="521" t="s">
        <v>697</v>
      </c>
      <c r="N4" s="521" t="s">
        <v>569</v>
      </c>
      <c r="O4" s="521" t="s">
        <v>698</v>
      </c>
      <c r="P4" s="521" t="s">
        <v>578</v>
      </c>
      <c r="Q4" s="521" t="s">
        <v>0</v>
      </c>
    </row>
    <row r="5" spans="1:17" s="248" customFormat="1" x14ac:dyDescent="0.25">
      <c r="A5" s="384" t="s">
        <v>484</v>
      </c>
      <c r="B5" s="384" t="s">
        <v>1</v>
      </c>
      <c r="C5" s="447" t="s">
        <v>266</v>
      </c>
      <c r="D5" s="388" t="s">
        <v>174</v>
      </c>
      <c r="E5" s="512">
        <v>41400</v>
      </c>
      <c r="F5" s="591">
        <f ca="1">TODAY()-E5</f>
        <v>2051</v>
      </c>
      <c r="G5" s="592">
        <f ca="1">F5/112</f>
        <v>18.3125</v>
      </c>
      <c r="H5" s="509">
        <v>19</v>
      </c>
      <c r="I5" s="509">
        <v>11</v>
      </c>
      <c r="J5" s="388" t="s">
        <v>174</v>
      </c>
      <c r="K5" s="522" t="s">
        <v>718</v>
      </c>
      <c r="L5" s="561" t="s">
        <v>419</v>
      </c>
      <c r="M5" s="522"/>
      <c r="N5" s="522"/>
      <c r="O5" s="522"/>
      <c r="P5" s="522"/>
      <c r="Q5" s="522"/>
    </row>
    <row r="6" spans="1:17" s="263" customFormat="1" x14ac:dyDescent="0.25">
      <c r="A6" s="384" t="s">
        <v>403</v>
      </c>
      <c r="B6" s="384" t="s">
        <v>1</v>
      </c>
      <c r="C6" s="447" t="s">
        <v>267</v>
      </c>
      <c r="D6" s="388" t="s">
        <v>502</v>
      </c>
      <c r="E6" s="512">
        <v>41400</v>
      </c>
      <c r="F6" s="591">
        <f t="shared" ref="F6:F20" ca="1" si="0">TODAY()-E6</f>
        <v>2051</v>
      </c>
      <c r="G6" s="592">
        <f t="shared" ref="G6:G20" ca="1" si="1">F6/112</f>
        <v>18.3125</v>
      </c>
      <c r="H6" s="321">
        <v>20</v>
      </c>
      <c r="I6" s="321">
        <v>2</v>
      </c>
      <c r="J6" s="388" t="s">
        <v>502</v>
      </c>
      <c r="K6" s="522" t="s">
        <v>718</v>
      </c>
      <c r="L6" s="358" t="s">
        <v>419</v>
      </c>
      <c r="M6" s="523"/>
      <c r="N6" s="523"/>
      <c r="O6" s="523"/>
      <c r="P6" s="523"/>
      <c r="Q6" s="523"/>
    </row>
    <row r="7" spans="1:17" s="254" customFormat="1" x14ac:dyDescent="0.25">
      <c r="A7" s="305" t="s">
        <v>412</v>
      </c>
      <c r="B7" s="260" t="s">
        <v>2</v>
      </c>
      <c r="C7" s="448" t="s">
        <v>275</v>
      </c>
      <c r="D7" s="262" t="s">
        <v>502</v>
      </c>
      <c r="E7" s="513">
        <v>41519</v>
      </c>
      <c r="F7" s="591">
        <f t="shared" ca="1" si="0"/>
        <v>1932</v>
      </c>
      <c r="G7" s="592">
        <f t="shared" ca="1" si="1"/>
        <v>17.25</v>
      </c>
      <c r="H7" s="510">
        <f>24-7</f>
        <v>17</v>
      </c>
      <c r="I7" s="510">
        <f>102-(5*7+1)</f>
        <v>66</v>
      </c>
      <c r="J7" s="262" t="s">
        <v>502</v>
      </c>
      <c r="K7" s="522"/>
      <c r="L7" s="522" t="s">
        <v>418</v>
      </c>
      <c r="M7" s="522" t="s">
        <v>417</v>
      </c>
      <c r="N7" s="522"/>
      <c r="O7" s="522" t="s">
        <v>418</v>
      </c>
      <c r="P7" s="522" t="s">
        <v>417</v>
      </c>
      <c r="Q7" s="522"/>
    </row>
    <row r="8" spans="1:17" s="246" customFormat="1" x14ac:dyDescent="0.25">
      <c r="A8" s="384" t="s">
        <v>405</v>
      </c>
      <c r="B8" s="260" t="s">
        <v>2</v>
      </c>
      <c r="C8" s="448" t="s">
        <v>273</v>
      </c>
      <c r="D8" s="262"/>
      <c r="E8" s="513">
        <v>41527</v>
      </c>
      <c r="F8" s="591">
        <f t="shared" ca="1" si="0"/>
        <v>1924</v>
      </c>
      <c r="G8" s="592">
        <f t="shared" ca="1" si="1"/>
        <v>17.178571428571427</v>
      </c>
      <c r="H8" s="510">
        <f>24-7</f>
        <v>17</v>
      </c>
      <c r="I8" s="510">
        <f>41-(4*7)</f>
        <v>13</v>
      </c>
      <c r="J8" s="262"/>
      <c r="K8" s="522"/>
      <c r="L8" s="522" t="s">
        <v>416</v>
      </c>
      <c r="M8" s="522"/>
      <c r="N8" s="522" t="s">
        <v>718</v>
      </c>
      <c r="O8" s="522" t="s">
        <v>416</v>
      </c>
      <c r="P8" s="522" t="s">
        <v>482</v>
      </c>
      <c r="Q8" s="522"/>
    </row>
    <row r="9" spans="1:17" s="247" customFormat="1" x14ac:dyDescent="0.25">
      <c r="A9" s="384" t="s">
        <v>504</v>
      </c>
      <c r="B9" s="384" t="s">
        <v>2</v>
      </c>
      <c r="C9" s="447" t="s">
        <v>269</v>
      </c>
      <c r="D9" s="388"/>
      <c r="E9" s="514">
        <v>41539</v>
      </c>
      <c r="F9" s="591">
        <f t="shared" ca="1" si="0"/>
        <v>1912</v>
      </c>
      <c r="G9" s="592">
        <f t="shared" ca="1" si="1"/>
        <v>17.071428571428573</v>
      </c>
      <c r="H9" s="443">
        <f>24-7</f>
        <v>17</v>
      </c>
      <c r="I9" s="443">
        <v>40</v>
      </c>
      <c r="J9" s="388"/>
      <c r="K9" s="522"/>
      <c r="L9" s="564" t="s">
        <v>231</v>
      </c>
      <c r="M9" s="522" t="s">
        <v>416</v>
      </c>
      <c r="N9" s="522" t="s">
        <v>418</v>
      </c>
      <c r="O9" s="522" t="s">
        <v>418</v>
      </c>
      <c r="P9" s="522" t="s">
        <v>417</v>
      </c>
      <c r="Q9" s="522"/>
    </row>
    <row r="10" spans="1:17" s="264" customFormat="1" x14ac:dyDescent="0.25">
      <c r="A10" s="384" t="s">
        <v>404</v>
      </c>
      <c r="B10" s="384" t="s">
        <v>64</v>
      </c>
      <c r="C10" s="447" t="s">
        <v>272</v>
      </c>
      <c r="D10" s="388"/>
      <c r="E10" s="516">
        <v>41552</v>
      </c>
      <c r="F10" s="591">
        <f t="shared" ca="1" si="0"/>
        <v>1899</v>
      </c>
      <c r="G10" s="592">
        <f t="shared" ca="1" si="1"/>
        <v>16.955357142857142</v>
      </c>
      <c r="H10" s="321">
        <f>24-7</f>
        <v>17</v>
      </c>
      <c r="I10" s="321">
        <v>2</v>
      </c>
      <c r="J10" s="388"/>
      <c r="K10" s="522"/>
      <c r="L10" s="522" t="s">
        <v>482</v>
      </c>
      <c r="M10" s="562" t="s">
        <v>419</v>
      </c>
      <c r="N10" s="522" t="s">
        <v>417</v>
      </c>
      <c r="O10" s="522" t="s">
        <v>417</v>
      </c>
      <c r="P10" s="522" t="s">
        <v>417</v>
      </c>
      <c r="Q10" s="522"/>
    </row>
    <row r="11" spans="1:17" s="264" customFormat="1" ht="15.75" x14ac:dyDescent="0.25">
      <c r="A11" s="384" t="s">
        <v>408</v>
      </c>
      <c r="B11" s="384" t="s">
        <v>65</v>
      </c>
      <c r="C11" s="447" t="s">
        <v>270</v>
      </c>
      <c r="D11" s="388" t="s">
        <v>271</v>
      </c>
      <c r="E11" s="515">
        <v>41583</v>
      </c>
      <c r="F11" s="591">
        <f t="shared" ca="1" si="0"/>
        <v>1868</v>
      </c>
      <c r="G11" s="592">
        <f t="shared" ca="1" si="1"/>
        <v>16.678571428571427</v>
      </c>
      <c r="H11" s="511">
        <f>23-6</f>
        <v>17</v>
      </c>
      <c r="I11" s="511">
        <v>46</v>
      </c>
      <c r="J11" s="388" t="s">
        <v>271</v>
      </c>
      <c r="K11" s="525"/>
      <c r="L11" s="563" t="s">
        <v>419</v>
      </c>
      <c r="M11" s="525" t="s">
        <v>417</v>
      </c>
      <c r="N11" s="525" t="s">
        <v>416</v>
      </c>
      <c r="O11" s="563" t="s">
        <v>419</v>
      </c>
      <c r="P11" s="563" t="s">
        <v>419</v>
      </c>
      <c r="Q11" s="525" t="s">
        <v>417</v>
      </c>
    </row>
    <row r="12" spans="1:17" s="254" customFormat="1" ht="15.75" x14ac:dyDescent="0.25">
      <c r="A12" s="305" t="s">
        <v>407</v>
      </c>
      <c r="B12" s="384" t="s">
        <v>64</v>
      </c>
      <c r="C12" s="447" t="s">
        <v>285</v>
      </c>
      <c r="D12" s="388" t="s">
        <v>268</v>
      </c>
      <c r="E12" s="516">
        <v>41653</v>
      </c>
      <c r="F12" s="591">
        <f t="shared" ca="1" si="0"/>
        <v>1798</v>
      </c>
      <c r="G12" s="592">
        <f t="shared" ca="1" si="1"/>
        <v>16.053571428571427</v>
      </c>
      <c r="H12" s="321">
        <v>18</v>
      </c>
      <c r="I12" s="321">
        <v>109</v>
      </c>
      <c r="J12" s="388" t="s">
        <v>268</v>
      </c>
      <c r="K12" s="525"/>
      <c r="L12" s="525" t="s">
        <v>417</v>
      </c>
      <c r="M12" s="566" t="s">
        <v>232</v>
      </c>
      <c r="N12" s="525" t="s">
        <v>416</v>
      </c>
      <c r="O12" s="525"/>
      <c r="P12" s="525" t="s">
        <v>418</v>
      </c>
      <c r="Q12" s="525" t="s">
        <v>416</v>
      </c>
    </row>
    <row r="13" spans="1:17" s="263" customFormat="1" ht="15.75" x14ac:dyDescent="0.25">
      <c r="A13" s="384" t="s">
        <v>506</v>
      </c>
      <c r="B13" s="384" t="s">
        <v>66</v>
      </c>
      <c r="C13" s="447" t="s">
        <v>287</v>
      </c>
      <c r="D13" s="388" t="s">
        <v>296</v>
      </c>
      <c r="E13" s="513">
        <v>41664</v>
      </c>
      <c r="F13" s="591">
        <f t="shared" ca="1" si="0"/>
        <v>1787</v>
      </c>
      <c r="G13" s="592">
        <f t="shared" ca="1" si="1"/>
        <v>15.955357142857142</v>
      </c>
      <c r="H13" s="510">
        <f>23-6</f>
        <v>17</v>
      </c>
      <c r="I13" s="510">
        <v>14</v>
      </c>
      <c r="J13" s="388" t="s">
        <v>296</v>
      </c>
      <c r="K13" s="525"/>
      <c r="L13" s="563" t="s">
        <v>419</v>
      </c>
      <c r="M13" s="525" t="s">
        <v>417</v>
      </c>
      <c r="N13" s="525" t="s">
        <v>417</v>
      </c>
      <c r="O13" s="565" t="s">
        <v>231</v>
      </c>
      <c r="P13" s="525" t="s">
        <v>417</v>
      </c>
      <c r="Q13" s="525" t="s">
        <v>232</v>
      </c>
    </row>
    <row r="14" spans="1:17" s="264" customFormat="1" ht="15.75" x14ac:dyDescent="0.25">
      <c r="A14" s="305" t="s">
        <v>411</v>
      </c>
      <c r="B14" s="260" t="s">
        <v>64</v>
      </c>
      <c r="C14" s="448" t="s">
        <v>400</v>
      </c>
      <c r="D14" s="262"/>
      <c r="E14" s="516">
        <v>41686</v>
      </c>
      <c r="F14" s="591">
        <f t="shared" ca="1" si="0"/>
        <v>1765</v>
      </c>
      <c r="G14" s="592">
        <f t="shared" ca="1" si="1"/>
        <v>15.758928571428571</v>
      </c>
      <c r="H14" s="321">
        <v>17</v>
      </c>
      <c r="I14" s="321">
        <v>111</v>
      </c>
      <c r="J14" s="262"/>
      <c r="K14" s="525"/>
      <c r="L14" s="525" t="s">
        <v>482</v>
      </c>
      <c r="M14" s="565" t="s">
        <v>231</v>
      </c>
      <c r="N14" s="526" t="s">
        <v>417</v>
      </c>
      <c r="O14" s="565" t="s">
        <v>231</v>
      </c>
      <c r="P14" s="525" t="s">
        <v>482</v>
      </c>
      <c r="Q14" s="526" t="s">
        <v>417</v>
      </c>
    </row>
    <row r="15" spans="1:17" ht="15.75" x14ac:dyDescent="0.25">
      <c r="A15" s="384" t="s">
        <v>410</v>
      </c>
      <c r="B15" s="384" t="s">
        <v>65</v>
      </c>
      <c r="C15" s="447" t="s">
        <v>298</v>
      </c>
      <c r="D15" s="388" t="s">
        <v>268</v>
      </c>
      <c r="E15" s="513">
        <v>41722</v>
      </c>
      <c r="F15" s="591">
        <f t="shared" ca="1" si="0"/>
        <v>1729</v>
      </c>
      <c r="G15" s="592">
        <f t="shared" ca="1" si="1"/>
        <v>15.4375</v>
      </c>
      <c r="H15" s="510">
        <f>23-5</f>
        <v>18</v>
      </c>
      <c r="I15" s="510">
        <v>20</v>
      </c>
      <c r="J15" s="388" t="s">
        <v>268</v>
      </c>
      <c r="K15" s="525"/>
      <c r="L15" s="525" t="s">
        <v>418</v>
      </c>
      <c r="M15" s="525" t="s">
        <v>418</v>
      </c>
      <c r="N15" s="563" t="s">
        <v>419</v>
      </c>
      <c r="O15" s="525" t="s">
        <v>417</v>
      </c>
      <c r="P15" s="525" t="s">
        <v>416</v>
      </c>
      <c r="Q15" s="525" t="s">
        <v>416</v>
      </c>
    </row>
    <row r="16" spans="1:17" s="4" customFormat="1" ht="15.75" x14ac:dyDescent="0.25">
      <c r="A16" s="305" t="s">
        <v>505</v>
      </c>
      <c r="B16" s="260" t="s">
        <v>64</v>
      </c>
      <c r="C16" s="448" t="s">
        <v>414</v>
      </c>
      <c r="D16" s="262"/>
      <c r="E16" s="515">
        <v>41737</v>
      </c>
      <c r="F16" s="591">
        <f t="shared" ca="1" si="0"/>
        <v>1714</v>
      </c>
      <c r="G16" s="592">
        <f t="shared" ca="1" si="1"/>
        <v>15.303571428571429</v>
      </c>
      <c r="H16" s="511">
        <f>22-5</f>
        <v>17</v>
      </c>
      <c r="I16" s="511">
        <f>42-(7*6)</f>
        <v>0</v>
      </c>
      <c r="J16" s="262"/>
      <c r="K16" s="526"/>
      <c r="L16" s="525" t="s">
        <v>416</v>
      </c>
      <c r="M16" s="563" t="s">
        <v>419</v>
      </c>
      <c r="N16" s="525" t="s">
        <v>416</v>
      </c>
      <c r="O16" s="526"/>
      <c r="P16" s="525" t="s">
        <v>417</v>
      </c>
      <c r="Q16" s="525" t="s">
        <v>482</v>
      </c>
    </row>
    <row r="17" spans="1:17" s="263" customFormat="1" ht="15.75" x14ac:dyDescent="0.25">
      <c r="A17" s="384" t="s">
        <v>406</v>
      </c>
      <c r="B17" s="260" t="s">
        <v>64</v>
      </c>
      <c r="C17" s="448" t="s">
        <v>618</v>
      </c>
      <c r="D17" s="388" t="s">
        <v>268</v>
      </c>
      <c r="E17" s="515">
        <v>41747</v>
      </c>
      <c r="F17" s="591">
        <f t="shared" ca="1" si="0"/>
        <v>1704</v>
      </c>
      <c r="G17" s="592">
        <f t="shared" ca="1" si="1"/>
        <v>15.214285714285714</v>
      </c>
      <c r="H17" s="511">
        <f>22-5</f>
        <v>17</v>
      </c>
      <c r="I17" s="511">
        <v>57</v>
      </c>
      <c r="J17" s="388" t="s">
        <v>268</v>
      </c>
      <c r="K17" s="525"/>
      <c r="L17" s="525" t="s">
        <v>416</v>
      </c>
      <c r="M17" s="563" t="s">
        <v>419</v>
      </c>
      <c r="N17" s="525" t="s">
        <v>416</v>
      </c>
      <c r="O17" s="525"/>
      <c r="P17" s="525" t="s">
        <v>417</v>
      </c>
      <c r="Q17" s="525" t="s">
        <v>418</v>
      </c>
    </row>
    <row r="18" spans="1:17" s="264" customFormat="1" ht="14.25" customHeight="1" x14ac:dyDescent="0.25">
      <c r="A18" s="384" t="s">
        <v>409</v>
      </c>
      <c r="B18" s="384" t="s">
        <v>65</v>
      </c>
      <c r="C18" s="447" t="s">
        <v>507</v>
      </c>
      <c r="D18" s="388" t="s">
        <v>502</v>
      </c>
      <c r="E18" s="516">
        <v>41911</v>
      </c>
      <c r="F18" s="591">
        <f t="shared" ca="1" si="0"/>
        <v>1540</v>
      </c>
      <c r="G18" s="592">
        <f t="shared" ca="1" si="1"/>
        <v>13.75</v>
      </c>
      <c r="H18" s="321">
        <f>20-3</f>
        <v>17</v>
      </c>
      <c r="I18" s="321">
        <v>0</v>
      </c>
      <c r="J18" s="388" t="s">
        <v>502</v>
      </c>
      <c r="K18" s="526"/>
      <c r="L18" s="525" t="s">
        <v>417</v>
      </c>
      <c r="M18" s="565" t="s">
        <v>231</v>
      </c>
      <c r="N18" s="525" t="s">
        <v>416</v>
      </c>
      <c r="O18" s="525" t="s">
        <v>416</v>
      </c>
      <c r="P18" s="563" t="s">
        <v>419</v>
      </c>
      <c r="Q18" s="526"/>
    </row>
    <row r="19" spans="1:17" s="254" customFormat="1" ht="15.75" x14ac:dyDescent="0.25">
      <c r="A19" s="384" t="s">
        <v>540</v>
      </c>
      <c r="B19" s="384" t="s">
        <v>66</v>
      </c>
      <c r="C19" s="448" t="s">
        <v>541</v>
      </c>
      <c r="D19" s="262"/>
      <c r="E19" s="515">
        <v>41973</v>
      </c>
      <c r="F19" s="591">
        <f t="shared" ca="1" si="0"/>
        <v>1478</v>
      </c>
      <c r="G19" s="592">
        <f t="shared" ca="1" si="1"/>
        <v>13.196428571428571</v>
      </c>
      <c r="H19" s="511">
        <f>20-3</f>
        <v>17</v>
      </c>
      <c r="I19" s="511">
        <v>0</v>
      </c>
      <c r="J19" s="262"/>
      <c r="K19" s="525"/>
      <c r="L19" s="525" t="s">
        <v>417</v>
      </c>
      <c r="M19" s="525" t="s">
        <v>418</v>
      </c>
      <c r="N19" s="525" t="s">
        <v>418</v>
      </c>
      <c r="O19" s="565" t="s">
        <v>231</v>
      </c>
      <c r="P19" s="525" t="s">
        <v>231</v>
      </c>
      <c r="Q19" s="524"/>
    </row>
    <row r="20" spans="1:17" s="264" customFormat="1" ht="15.75" x14ac:dyDescent="0.25">
      <c r="A20" s="304" t="s">
        <v>495</v>
      </c>
      <c r="B20" s="260" t="s">
        <v>2</v>
      </c>
      <c r="C20" s="448" t="s">
        <v>567</v>
      </c>
      <c r="D20" s="262"/>
      <c r="E20" s="515">
        <v>42106</v>
      </c>
      <c r="F20" s="591">
        <f t="shared" ca="1" si="0"/>
        <v>1345</v>
      </c>
      <c r="G20" s="592">
        <f t="shared" ca="1" si="1"/>
        <v>12.008928571428571</v>
      </c>
      <c r="H20" s="511">
        <v>18</v>
      </c>
      <c r="I20" s="511">
        <v>55</v>
      </c>
      <c r="J20" s="262"/>
      <c r="K20" s="524"/>
      <c r="L20" s="565" t="s">
        <v>231</v>
      </c>
      <c r="M20" s="566" t="s">
        <v>232</v>
      </c>
      <c r="N20" s="563" t="s">
        <v>419</v>
      </c>
      <c r="O20" s="525" t="s">
        <v>417</v>
      </c>
      <c r="P20" s="525" t="s">
        <v>418</v>
      </c>
      <c r="Q20" s="524" t="s">
        <v>417</v>
      </c>
    </row>
    <row r="21" spans="1:17" x14ac:dyDescent="0.25">
      <c r="D21" s="4"/>
      <c r="H21"/>
      <c r="J21" s="4"/>
      <c r="L21"/>
    </row>
    <row r="22" spans="1:17" x14ac:dyDescent="0.25">
      <c r="D22" s="507"/>
      <c r="H22"/>
      <c r="J22" s="507"/>
      <c r="L22"/>
    </row>
    <row r="23" spans="1:17" x14ac:dyDescent="0.25">
      <c r="D23" s="507"/>
      <c r="H23"/>
      <c r="J23" s="507"/>
      <c r="L23"/>
    </row>
    <row r="24" spans="1:17" s="259" customFormat="1" ht="15.75" x14ac:dyDescent="0.25">
      <c r="A24" s="384" t="s">
        <v>777</v>
      </c>
      <c r="B24" s="384" t="s">
        <v>66</v>
      </c>
      <c r="C24" s="386" t="s">
        <v>778</v>
      </c>
      <c r="D24" s="388" t="s">
        <v>502</v>
      </c>
      <c r="H24" s="511">
        <v>19</v>
      </c>
      <c r="I24" s="511">
        <v>0</v>
      </c>
      <c r="J24" s="388" t="s">
        <v>502</v>
      </c>
      <c r="K24" s="524"/>
      <c r="L24" s="525" t="s">
        <v>416</v>
      </c>
      <c r="M24" s="525" t="s">
        <v>418</v>
      </c>
      <c r="N24" s="565" t="s">
        <v>231</v>
      </c>
      <c r="O24" s="525" t="s">
        <v>416</v>
      </c>
      <c r="P24" s="565" t="s">
        <v>780</v>
      </c>
      <c r="Q24" s="524" t="s">
        <v>482</v>
      </c>
    </row>
    <row r="25" spans="1:17" s="254" customFormat="1" x14ac:dyDescent="0.25">
      <c r="A25" s="384" t="s">
        <v>633</v>
      </c>
      <c r="B25" s="260" t="s">
        <v>2</v>
      </c>
      <c r="C25" s="294" t="s">
        <v>274</v>
      </c>
      <c r="D25" s="262"/>
      <c r="E25" s="513"/>
      <c r="F25" s="510"/>
      <c r="G25" s="509"/>
      <c r="H25" s="510"/>
      <c r="I25" s="510"/>
      <c r="J25" s="262"/>
      <c r="K25" s="518"/>
      <c r="L25" s="518"/>
      <c r="M25" s="518"/>
      <c r="N25" s="518"/>
      <c r="O25" s="518"/>
      <c r="P25" s="518"/>
      <c r="Q25" s="518"/>
    </row>
    <row r="26" spans="1:17" s="247" customFormat="1" x14ac:dyDescent="0.25">
      <c r="A26" s="384" t="s">
        <v>583</v>
      </c>
      <c r="B26" s="384" t="s">
        <v>2</v>
      </c>
      <c r="C26" s="294" t="s">
        <v>576</v>
      </c>
      <c r="D26" s="262"/>
      <c r="E26" s="510"/>
      <c r="F26" s="510"/>
      <c r="G26" s="510"/>
      <c r="H26" s="510"/>
      <c r="I26" s="510"/>
      <c r="J26" s="262"/>
      <c r="K26" s="519"/>
      <c r="L26" s="519"/>
      <c r="M26" s="519"/>
      <c r="N26" s="519"/>
      <c r="O26" s="519"/>
      <c r="P26" s="519"/>
      <c r="Q26" s="519"/>
    </row>
    <row r="27" spans="1:17" s="259" customFormat="1" x14ac:dyDescent="0.25">
      <c r="A27" s="305" t="s">
        <v>632</v>
      </c>
      <c r="B27" s="260" t="s">
        <v>64</v>
      </c>
      <c r="C27" s="294" t="s">
        <v>624</v>
      </c>
      <c r="D27" s="388" t="s">
        <v>502</v>
      </c>
      <c r="E27" s="511"/>
      <c r="F27" s="511"/>
      <c r="G27" s="511"/>
      <c r="H27" s="511"/>
      <c r="I27" s="511"/>
      <c r="J27" s="388" t="s">
        <v>502</v>
      </c>
      <c r="K27" s="518"/>
      <c r="L27" s="518"/>
      <c r="M27" s="518"/>
      <c r="N27" s="518"/>
      <c r="O27" s="518"/>
      <c r="P27" s="518"/>
      <c r="Q27" s="518"/>
    </row>
    <row r="28" spans="1:17" s="263" customFormat="1" x14ac:dyDescent="0.25">
      <c r="A28" s="304" t="s">
        <v>584</v>
      </c>
      <c r="B28" s="260" t="s">
        <v>64</v>
      </c>
      <c r="C28" s="294" t="s">
        <v>401</v>
      </c>
      <c r="D28" s="262" t="s">
        <v>271</v>
      </c>
      <c r="E28" s="321"/>
      <c r="F28" s="321"/>
      <c r="G28" s="321"/>
      <c r="H28" s="321"/>
      <c r="I28" s="321"/>
      <c r="J28" s="262" t="s">
        <v>271</v>
      </c>
      <c r="K28" s="517"/>
      <c r="L28" s="517"/>
      <c r="M28" s="517"/>
      <c r="N28" s="517"/>
      <c r="O28" s="517"/>
      <c r="P28" s="517"/>
      <c r="Q28" s="517"/>
    </row>
    <row r="29" spans="1:17" s="259" customFormat="1" x14ac:dyDescent="0.25">
      <c r="A29" s="384" t="s">
        <v>711</v>
      </c>
      <c r="B29" s="384" t="s">
        <v>66</v>
      </c>
      <c r="C29" s="386" t="s">
        <v>710</v>
      </c>
      <c r="D29" s="388" t="s">
        <v>296</v>
      </c>
      <c r="E29" s="511"/>
      <c r="F29" s="511"/>
      <c r="G29" s="511"/>
      <c r="H29" s="511"/>
      <c r="I29" s="511"/>
      <c r="J29" s="388" t="s">
        <v>296</v>
      </c>
      <c r="K29" s="518"/>
      <c r="L29" s="518"/>
      <c r="M29" s="518"/>
      <c r="N29" s="518"/>
      <c r="O29" s="518"/>
      <c r="P29" s="518"/>
      <c r="Q29" s="518"/>
    </row>
    <row r="30" spans="1:17" x14ac:dyDescent="0.25">
      <c r="D30" s="507"/>
      <c r="H30"/>
      <c r="J30" s="507"/>
      <c r="L30"/>
    </row>
    <row r="31" spans="1:17" x14ac:dyDescent="0.25">
      <c r="C31" s="177"/>
      <c r="D31" s="507"/>
      <c r="H31"/>
      <c r="J31" s="507"/>
      <c r="L31"/>
    </row>
    <row r="32" spans="1:17" x14ac:dyDescent="0.25">
      <c r="C32" s="177"/>
      <c r="D32" s="507"/>
      <c r="H32"/>
      <c r="J32" s="507"/>
      <c r="L32"/>
    </row>
    <row r="33" spans="3:17" x14ac:dyDescent="0.25">
      <c r="C33" s="503"/>
      <c r="D33" s="507"/>
      <c r="H33"/>
      <c r="J33" s="507"/>
      <c r="K33" s="485">
        <v>0</v>
      </c>
      <c r="L33" s="486">
        <v>4</v>
      </c>
      <c r="M33" s="485">
        <v>3</v>
      </c>
      <c r="N33" s="486">
        <v>6</v>
      </c>
      <c r="O33" s="485">
        <v>4</v>
      </c>
      <c r="P33" s="486">
        <v>6.8</v>
      </c>
      <c r="Q33" s="485">
        <v>1</v>
      </c>
    </row>
    <row r="34" spans="3:17" x14ac:dyDescent="0.25">
      <c r="C34" s="504"/>
      <c r="F34" s="406"/>
      <c r="L34" s="406"/>
    </row>
    <row r="36" spans="3:17" x14ac:dyDescent="0.25">
      <c r="F36" s="406"/>
      <c r="L36" s="406"/>
    </row>
  </sheetData>
  <mergeCells count="1">
    <mergeCell ref="D1:F1"/>
  </mergeCells>
  <conditionalFormatting sqref="K33:Q33">
    <cfRule type="colorScale" priority="1">
      <colorScale>
        <cfvo type="min"/>
        <cfvo type="max"/>
        <color rgb="FFFFEF9C"/>
        <color rgb="FF63BE7B"/>
      </colorScale>
    </cfRule>
    <cfRule type="cellIs" dxfId="371"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18" bestFit="1" customWidth="1"/>
    <col min="4" max="4" width="14.140625" style="179" bestFit="1" customWidth="1"/>
    <col min="5" max="5" width="5.5703125" bestFit="1" customWidth="1"/>
    <col min="6" max="6" width="5" bestFit="1" customWidth="1"/>
    <col min="7" max="7" width="4.5703125" style="421"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51" customWidth="1"/>
    <col min="18" max="18" width="5" style="451" customWidth="1"/>
    <col min="19" max="24" width="6.7109375" style="421" customWidth="1"/>
    <col min="25" max="25" width="6.7109375" style="527" customWidth="1"/>
    <col min="26" max="26" width="6.7109375" style="421" customWidth="1"/>
    <col min="27" max="27" width="4.42578125" style="421" bestFit="1" customWidth="1"/>
    <col min="28" max="31" width="6.140625" style="421" bestFit="1" customWidth="1"/>
    <col min="32" max="32" width="5.5703125" style="421" bestFit="1" customWidth="1"/>
    <col min="33" max="33" width="5" style="421" bestFit="1" customWidth="1"/>
    <col min="34" max="34" width="6.140625" style="421"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98"/>
      <c r="T1" s="698"/>
      <c r="U1" s="698"/>
      <c r="V1" s="178"/>
      <c r="W1" s="698" t="s">
        <v>530</v>
      </c>
      <c r="X1" s="698"/>
      <c r="Z1" s="413">
        <f>S2+T2+U2+V2+W2+X2+Z2</f>
        <v>1</v>
      </c>
      <c r="AQ1" s="698" t="s">
        <v>603</v>
      </c>
      <c r="AR1" s="698"/>
      <c r="AS1" s="698"/>
      <c r="AT1" s="698"/>
      <c r="AU1" s="698"/>
      <c r="AV1" s="698"/>
      <c r="AW1" s="698"/>
      <c r="AX1" s="698"/>
      <c r="AY1" s="698"/>
      <c r="AZ1" s="698"/>
      <c r="BA1" s="698"/>
      <c r="BB1" s="698"/>
      <c r="BC1" s="698"/>
      <c r="BS1" s="438" t="s">
        <v>605</v>
      </c>
      <c r="BT1" s="438" t="s">
        <v>176</v>
      </c>
      <c r="BU1" s="438" t="s">
        <v>606</v>
      </c>
      <c r="BV1" s="439" t="s">
        <v>607</v>
      </c>
      <c r="BW1" s="437" t="s">
        <v>608</v>
      </c>
      <c r="BX1" s="437" t="s">
        <v>609</v>
      </c>
    </row>
    <row r="2" spans="1:76" s="249" customFormat="1" ht="18.75" x14ac:dyDescent="0.3">
      <c r="C2" s="250"/>
      <c r="D2" s="420">
        <f ca="1">TODAY()</f>
        <v>43451</v>
      </c>
      <c r="E2" s="688">
        <v>41471</v>
      </c>
      <c r="F2" s="688"/>
      <c r="G2" s="688"/>
      <c r="H2" s="251"/>
      <c r="I2" s="251"/>
      <c r="J2" s="310"/>
      <c r="K2" s="251"/>
      <c r="L2" s="251"/>
      <c r="M2" s="251"/>
      <c r="N2" s="251"/>
      <c r="O2" s="251"/>
      <c r="P2" s="251"/>
      <c r="Q2" s="407"/>
      <c r="R2" s="285"/>
      <c r="S2" s="414">
        <v>0</v>
      </c>
      <c r="T2" s="453">
        <v>0</v>
      </c>
      <c r="U2" s="453">
        <v>0</v>
      </c>
      <c r="V2" s="414">
        <v>0</v>
      </c>
      <c r="W2" s="412">
        <v>0</v>
      </c>
      <c r="X2" s="412">
        <v>0</v>
      </c>
      <c r="Y2" s="412">
        <v>0</v>
      </c>
      <c r="Z2" s="412">
        <v>1</v>
      </c>
      <c r="AA2" s="285">
        <v>0</v>
      </c>
      <c r="AB2" s="285"/>
      <c r="AC2" s="285"/>
      <c r="AD2" s="285"/>
      <c r="AE2" s="285"/>
      <c r="AF2" s="285"/>
      <c r="AG2" s="285"/>
      <c r="AH2" s="285"/>
      <c r="AS2" s="435">
        <f>SUM(AS4:AS14)*$BV$3</f>
        <v>0</v>
      </c>
      <c r="AT2" s="435">
        <f>SUM(AT4:AT14)*$BV$3</f>
        <v>0</v>
      </c>
      <c r="AU2" s="435">
        <f>SUM(AU4:AU14)*$BV$2</f>
        <v>0</v>
      </c>
      <c r="AV2" s="435">
        <f>SUM(AV4:AV14)*$BV$4</f>
        <v>0</v>
      </c>
      <c r="AW2" s="435">
        <f>SUM(AW4:AW14)*$BV$5</f>
        <v>0</v>
      </c>
      <c r="AX2" s="435">
        <f>SUM(AX4:AX14)*$BV$5</f>
        <v>0</v>
      </c>
      <c r="AY2" s="435">
        <f>SUM(AY4:AY14)*$BV$6</f>
        <v>0</v>
      </c>
      <c r="AZ2" s="436">
        <f>SUM(AZ4:AZ14)</f>
        <v>0.2099999999999998</v>
      </c>
      <c r="BA2" s="436">
        <f>SUM(BA4:BA14)</f>
        <v>0.2149999999999998</v>
      </c>
      <c r="BB2" s="436">
        <f t="shared" ref="BB2:BC2" si="0">SUM(BB4:BB14)</f>
        <v>12.821249999999999</v>
      </c>
      <c r="BC2" s="436">
        <f t="shared" si="0"/>
        <v>0</v>
      </c>
      <c r="BG2" s="435">
        <f>SUM(BG4:BG14)*$BV$3</f>
        <v>0</v>
      </c>
      <c r="BH2" s="435">
        <f>SUM(BH4:BH14)*$BV$3</f>
        <v>0</v>
      </c>
      <c r="BI2" s="435">
        <f>SUM(BI4:BI14)*$BV$2</f>
        <v>0</v>
      </c>
      <c r="BJ2" s="435">
        <f>SUM(BJ4:BJ14)*$BV$4</f>
        <v>0</v>
      </c>
      <c r="BK2" s="435">
        <f>SUM(BK4:BK14)*$BV$5</f>
        <v>0</v>
      </c>
      <c r="BL2" s="435">
        <f>SUM(BL4:BL14)*$BV$5</f>
        <v>0</v>
      </c>
      <c r="BM2" s="435">
        <f>SUM(BM4:BM14)*$BV$6</f>
        <v>0</v>
      </c>
      <c r="BN2" s="436">
        <f>SUM(BN4:BN14)</f>
        <v>0.21799999999999981</v>
      </c>
      <c r="BO2" s="436">
        <f>SUM(BO4:BO14)</f>
        <v>0.22299999999999984</v>
      </c>
      <c r="BP2" s="436">
        <f t="shared" ref="BP2:BQ2" si="1">SUM(BP4:BP14)</f>
        <v>17.098194444444445</v>
      </c>
      <c r="BQ2" s="436">
        <f t="shared" si="1"/>
        <v>0</v>
      </c>
      <c r="BS2" s="256" t="s">
        <v>610</v>
      </c>
      <c r="BT2" s="440">
        <v>1</v>
      </c>
      <c r="BU2" s="441">
        <v>0.624</v>
      </c>
      <c r="BV2" s="442">
        <v>0.245</v>
      </c>
      <c r="BW2" s="333">
        <f>BV2*10</f>
        <v>2.4500000000000002</v>
      </c>
      <c r="BX2" s="333">
        <f>BV2*15</f>
        <v>3.6749999999999998</v>
      </c>
    </row>
    <row r="3" spans="1:76" ht="18.75" x14ac:dyDescent="0.3">
      <c r="A3" s="299" t="s">
        <v>413</v>
      </c>
      <c r="B3" s="299" t="s">
        <v>276</v>
      </c>
      <c r="C3" s="300" t="s">
        <v>455</v>
      </c>
      <c r="D3" s="301" t="s">
        <v>179</v>
      </c>
      <c r="E3" s="299" t="s">
        <v>180</v>
      </c>
      <c r="F3" s="299" t="s">
        <v>62</v>
      </c>
      <c r="G3" s="299" t="s">
        <v>182</v>
      </c>
      <c r="H3" s="299" t="s">
        <v>183</v>
      </c>
      <c r="I3" s="299" t="s">
        <v>175</v>
      </c>
      <c r="J3" s="299" t="s">
        <v>297</v>
      </c>
      <c r="K3" s="299" t="s">
        <v>185</v>
      </c>
      <c r="L3" s="299" t="s">
        <v>186</v>
      </c>
      <c r="M3" s="299" t="s">
        <v>187</v>
      </c>
      <c r="N3" s="299" t="s">
        <v>188</v>
      </c>
      <c r="O3" s="299" t="s">
        <v>189</v>
      </c>
      <c r="P3" s="299" t="s">
        <v>182</v>
      </c>
      <c r="Q3" s="409" t="s">
        <v>180</v>
      </c>
      <c r="R3" s="409" t="s">
        <v>62</v>
      </c>
      <c r="S3" s="408" t="s">
        <v>297</v>
      </c>
      <c r="T3" s="408" t="s">
        <v>185</v>
      </c>
      <c r="U3" s="408" t="s">
        <v>186</v>
      </c>
      <c r="V3" s="408" t="s">
        <v>187</v>
      </c>
      <c r="W3" s="408" t="s">
        <v>188</v>
      </c>
      <c r="X3" s="408" t="s">
        <v>189</v>
      </c>
      <c r="Y3" s="408" t="s">
        <v>723</v>
      </c>
      <c r="Z3" s="408" t="s">
        <v>182</v>
      </c>
      <c r="AA3" s="408" t="s">
        <v>175</v>
      </c>
      <c r="AB3" s="408" t="s">
        <v>297</v>
      </c>
      <c r="AC3" s="408" t="s">
        <v>185</v>
      </c>
      <c r="AD3" s="408" t="s">
        <v>186</v>
      </c>
      <c r="AE3" s="408" t="s">
        <v>187</v>
      </c>
      <c r="AF3" s="408" t="s">
        <v>188</v>
      </c>
      <c r="AG3" s="408" t="s">
        <v>189</v>
      </c>
      <c r="AH3" s="408" t="s">
        <v>182</v>
      </c>
      <c r="AI3" s="408" t="s">
        <v>297</v>
      </c>
      <c r="AJ3" s="408" t="s">
        <v>185</v>
      </c>
      <c r="AK3" s="408" t="s">
        <v>186</v>
      </c>
      <c r="AL3" s="408" t="s">
        <v>187</v>
      </c>
      <c r="AM3" s="408" t="s">
        <v>188</v>
      </c>
      <c r="AN3" s="408" t="s">
        <v>189</v>
      </c>
      <c r="AO3" s="408" t="s">
        <v>182</v>
      </c>
      <c r="AQ3" s="699" t="s">
        <v>719</v>
      </c>
      <c r="AR3" s="700"/>
      <c r="AS3" s="331" t="s">
        <v>467</v>
      </c>
      <c r="AT3" s="331" t="s">
        <v>468</v>
      </c>
      <c r="AU3" s="331" t="s">
        <v>489</v>
      </c>
      <c r="AV3" s="331" t="s">
        <v>469</v>
      </c>
      <c r="AW3" s="331" t="s">
        <v>470</v>
      </c>
      <c r="AX3" s="331" t="s">
        <v>471</v>
      </c>
      <c r="AY3" s="331" t="s">
        <v>472</v>
      </c>
      <c r="AZ3" s="331" t="s">
        <v>734</v>
      </c>
      <c r="BA3" s="331" t="s">
        <v>735</v>
      </c>
      <c r="BB3" s="331" t="s">
        <v>565</v>
      </c>
      <c r="BC3" s="331" t="s">
        <v>604</v>
      </c>
      <c r="BE3" s="699" t="s">
        <v>721</v>
      </c>
      <c r="BF3" s="700"/>
      <c r="BG3" s="331" t="s">
        <v>467</v>
      </c>
      <c r="BH3" s="331" t="s">
        <v>468</v>
      </c>
      <c r="BI3" s="331" t="s">
        <v>489</v>
      </c>
      <c r="BJ3" s="331" t="s">
        <v>469</v>
      </c>
      <c r="BK3" s="331" t="s">
        <v>470</v>
      </c>
      <c r="BL3" s="331" t="s">
        <v>471</v>
      </c>
      <c r="BM3" s="331" t="s">
        <v>472</v>
      </c>
      <c r="BN3" s="331" t="s">
        <v>734</v>
      </c>
      <c r="BO3" s="331" t="s">
        <v>735</v>
      </c>
      <c r="BP3" s="331" t="s">
        <v>565</v>
      </c>
      <c r="BQ3" s="331" t="s">
        <v>604</v>
      </c>
      <c r="BS3" s="256" t="s">
        <v>611</v>
      </c>
      <c r="BT3" s="440">
        <v>1</v>
      </c>
      <c r="BU3" s="441">
        <v>1.002</v>
      </c>
      <c r="BV3" s="442">
        <v>0.34</v>
      </c>
      <c r="BW3" s="333">
        <f t="shared" ref="BW3:BW6" si="2">BV3*10</f>
        <v>3.4000000000000004</v>
      </c>
      <c r="BX3" s="333">
        <f t="shared" ref="BX3:BX6" si="3">BV3*15</f>
        <v>5.1000000000000005</v>
      </c>
    </row>
    <row r="4" spans="1:76" s="259" customFormat="1" ht="18.75" x14ac:dyDescent="0.3">
      <c r="A4" s="384" t="s">
        <v>403</v>
      </c>
      <c r="B4" s="384" t="s">
        <v>1</v>
      </c>
      <c r="C4" s="261">
        <f ca="1">((33*112)-(E4*112)-(F4))/112</f>
        <v>-0.33035714285714285</v>
      </c>
      <c r="D4" s="294" t="str">
        <f>PLANTILLA!D5</f>
        <v>D. Gehmacher</v>
      </c>
      <c r="E4" s="387">
        <f>PLANTILLA!E5</f>
        <v>33</v>
      </c>
      <c r="F4" s="394">
        <f ca="1">PLANTILLA!F5</f>
        <v>37</v>
      </c>
      <c r="G4" s="388"/>
      <c r="H4" s="402">
        <v>7</v>
      </c>
      <c r="I4" s="308">
        <f>PLANTILLA!I5</f>
        <v>21.6</v>
      </c>
      <c r="J4" s="485">
        <f>PLANTILLA!X5</f>
        <v>16.666666666666668</v>
      </c>
      <c r="K4" s="485">
        <f>PLANTILLA!Y5</f>
        <v>12.080559440559444</v>
      </c>
      <c r="L4" s="485">
        <f>PLANTILLA!Z5</f>
        <v>2.0699999999999985</v>
      </c>
      <c r="M4" s="485">
        <f>PLANTILLA!AA5</f>
        <v>2.149999999999999</v>
      </c>
      <c r="N4" s="485">
        <f>PLANTILLA!AB5</f>
        <v>1.0400000000000003</v>
      </c>
      <c r="O4" s="485">
        <f>PLANTILLA!AC5</f>
        <v>0.14055555555555557</v>
      </c>
      <c r="P4" s="485">
        <f>PLANTILLA!AD5</f>
        <v>18.2</v>
      </c>
      <c r="Q4" s="410">
        <f t="shared" ref="Q4:Q23" si="4">E4</f>
        <v>33</v>
      </c>
      <c r="R4" s="411">
        <f t="shared" ref="R4:R23" ca="1" si="5">F4+7</f>
        <v>44</v>
      </c>
      <c r="S4" s="180"/>
      <c r="T4" s="180"/>
      <c r="U4" s="180"/>
      <c r="V4" s="180"/>
      <c r="W4" s="180"/>
      <c r="X4" s="180"/>
      <c r="Y4" s="180"/>
      <c r="Z4" s="180"/>
      <c r="AA4" s="296">
        <f t="shared" ref="AA4:AA23" si="6">I4+$AA$2</f>
        <v>21.6</v>
      </c>
      <c r="AB4" s="505">
        <f>J4+(S4*S$2/15)</f>
        <v>16.666666666666668</v>
      </c>
      <c r="AC4" s="505">
        <f>K4+(T$2/11)</f>
        <v>12.080559440559444</v>
      </c>
      <c r="AD4" s="505">
        <f>L4+(U$2/18)</f>
        <v>2.0699999999999985</v>
      </c>
      <c r="AE4" s="505">
        <f>M4+(V$2/12)</f>
        <v>2.149999999999999</v>
      </c>
      <c r="AF4" s="505">
        <f>N4+(W$2/11)</f>
        <v>1.0400000000000003</v>
      </c>
      <c r="AG4" s="505">
        <f>O4+(X$2/12)+(Y$2/5)</f>
        <v>0.14055555555555557</v>
      </c>
      <c r="AH4" s="505">
        <f>P4+(Z$2/2)+(Y$2/10)</f>
        <v>18.7</v>
      </c>
      <c r="AI4" s="423">
        <f t="shared" ref="AI4:AO4" si="7">AB4-J4</f>
        <v>0</v>
      </c>
      <c r="AJ4" s="423">
        <f t="shared" si="7"/>
        <v>0</v>
      </c>
      <c r="AK4" s="423">
        <f t="shared" si="7"/>
        <v>0</v>
      </c>
      <c r="AL4" s="423">
        <f t="shared" si="7"/>
        <v>0</v>
      </c>
      <c r="AM4" s="423">
        <f t="shared" si="7"/>
        <v>0</v>
      </c>
      <c r="AN4" s="423">
        <f t="shared" si="7"/>
        <v>0</v>
      </c>
      <c r="AO4" s="423">
        <f t="shared" si="7"/>
        <v>0.5</v>
      </c>
      <c r="AQ4" s="424" t="s">
        <v>1</v>
      </c>
      <c r="AR4" s="304" t="str">
        <f>D4</f>
        <v>D. Gehmacher</v>
      </c>
      <c r="AS4" s="429">
        <f>(AI4*0.597)+(AJ4*0.276)</f>
        <v>0</v>
      </c>
      <c r="AT4" s="429">
        <f>AS4</f>
        <v>0</v>
      </c>
      <c r="AU4" s="429">
        <f>(AI4*0.866)+(AJ4*0.425)</f>
        <v>0</v>
      </c>
      <c r="AV4" s="429">
        <v>0</v>
      </c>
      <c r="AW4" s="429">
        <v>0</v>
      </c>
      <c r="AX4" s="429">
        <v>0</v>
      </c>
      <c r="AY4" s="429">
        <v>0</v>
      </c>
      <c r="AZ4" s="553">
        <v>0</v>
      </c>
      <c r="BA4" s="553">
        <f>0.08*AI4+0.1*AO4</f>
        <v>0.05</v>
      </c>
      <c r="BB4" s="432">
        <v>0</v>
      </c>
      <c r="BC4" s="432">
        <v>0</v>
      </c>
      <c r="BE4" s="424" t="s">
        <v>1</v>
      </c>
      <c r="BF4" s="304" t="str">
        <f>D4</f>
        <v>D. Gehmacher</v>
      </c>
      <c r="BG4" s="429">
        <f t="shared" ref="BG4:BM4" si="8">AS4</f>
        <v>0</v>
      </c>
      <c r="BH4" s="429">
        <f t="shared" si="8"/>
        <v>0</v>
      </c>
      <c r="BI4" s="429">
        <f t="shared" si="8"/>
        <v>0</v>
      </c>
      <c r="BJ4" s="429">
        <f t="shared" si="8"/>
        <v>0</v>
      </c>
      <c r="BK4" s="429">
        <f t="shared" si="8"/>
        <v>0</v>
      </c>
      <c r="BL4" s="429">
        <f t="shared" si="8"/>
        <v>0</v>
      </c>
      <c r="BM4" s="429">
        <f t="shared" si="8"/>
        <v>0</v>
      </c>
      <c r="BN4" s="553">
        <f t="shared" ref="BN4" si="9">AZ4</f>
        <v>0</v>
      </c>
      <c r="BO4" s="553">
        <f t="shared" ref="BO4:BQ4" si="10">BA4</f>
        <v>0.05</v>
      </c>
      <c r="BP4" s="432">
        <f t="shared" si="10"/>
        <v>0</v>
      </c>
      <c r="BQ4" s="432">
        <f t="shared" si="10"/>
        <v>0</v>
      </c>
      <c r="BS4" s="256" t="s">
        <v>612</v>
      </c>
      <c r="BT4" s="440">
        <v>1</v>
      </c>
      <c r="BU4" s="441">
        <v>0.46800000000000003</v>
      </c>
      <c r="BV4" s="442">
        <v>0.125</v>
      </c>
      <c r="BW4" s="333">
        <f t="shared" si="2"/>
        <v>1.25</v>
      </c>
      <c r="BX4" s="333">
        <f t="shared" si="3"/>
        <v>1.875</v>
      </c>
    </row>
    <row r="5" spans="1:76" s="254" customFormat="1" ht="18.75" x14ac:dyDescent="0.3">
      <c r="A5" s="384" t="s">
        <v>484</v>
      </c>
      <c r="B5" s="384" t="s">
        <v>1</v>
      </c>
      <c r="C5" s="385">
        <f t="shared" ref="C5:C23" ca="1" si="11">((33*112)-(E5*112)-(F5))/112</f>
        <v>-4.4107142857142856</v>
      </c>
      <c r="D5" s="386" t="s">
        <v>267</v>
      </c>
      <c r="E5" s="387">
        <f>PLANTILLA!E6</f>
        <v>37</v>
      </c>
      <c r="F5" s="387">
        <f ca="1">PLANTILLA!F6</f>
        <v>46</v>
      </c>
      <c r="G5" s="388" t="s">
        <v>502</v>
      </c>
      <c r="H5" s="371">
        <v>4</v>
      </c>
      <c r="I5" s="308">
        <f>PLANTILLA!I6</f>
        <v>8.3000000000000007</v>
      </c>
      <c r="J5" s="485">
        <f>PLANTILLA!X6</f>
        <v>8.9499999999999993</v>
      </c>
      <c r="K5" s="485">
        <f>PLANTILLA!Y6</f>
        <v>8.9499999999999993</v>
      </c>
      <c r="L5" s="485">
        <f>PLANTILLA!Z6</f>
        <v>2.95</v>
      </c>
      <c r="M5" s="485">
        <f>PLANTILLA!AA6</f>
        <v>2.95</v>
      </c>
      <c r="N5" s="485">
        <f>PLANTILLA!AB6</f>
        <v>3.95</v>
      </c>
      <c r="O5" s="485">
        <f>PLANTILLA!AC6</f>
        <v>0.95</v>
      </c>
      <c r="P5" s="485">
        <f>PLANTILLA!AD6</f>
        <v>15.778888888888888</v>
      </c>
      <c r="Q5" s="410">
        <f t="shared" si="4"/>
        <v>37</v>
      </c>
      <c r="R5" s="411">
        <f t="shared" ca="1" si="5"/>
        <v>53</v>
      </c>
      <c r="S5" s="180"/>
      <c r="T5" s="180"/>
      <c r="U5" s="180"/>
      <c r="V5" s="180"/>
      <c r="W5" s="180"/>
      <c r="X5" s="180"/>
      <c r="Y5" s="180"/>
      <c r="Z5" s="180"/>
      <c r="AA5" s="296">
        <f t="shared" si="6"/>
        <v>8.3000000000000007</v>
      </c>
      <c r="AB5" s="505">
        <f>J5+(S5*S$2/6)</f>
        <v>8.9499999999999993</v>
      </c>
      <c r="AC5" s="505">
        <f>K5+(T$2/45)</f>
        <v>8.9499999999999993</v>
      </c>
      <c r="AD5" s="505">
        <f>L5+(U$2/34)</f>
        <v>2.95</v>
      </c>
      <c r="AE5" s="505">
        <f>M5+(V$2/22)</f>
        <v>2.95</v>
      </c>
      <c r="AF5" s="505">
        <f>N5+(W$2/28)</f>
        <v>3.95</v>
      </c>
      <c r="AG5" s="505">
        <f>O5+(X$2/24)+(Y$2/7)</f>
        <v>0.95</v>
      </c>
      <c r="AH5" s="505">
        <f>P5+(Z$2/2.5)+(Y$2/10)</f>
        <v>16.178888888888888</v>
      </c>
      <c r="AI5" s="423">
        <f t="shared" ref="AI5:AI23" si="12">AB5-J5</f>
        <v>0</v>
      </c>
      <c r="AJ5" s="423">
        <f t="shared" ref="AJ5:AJ23" si="13">AC5-K5</f>
        <v>0</v>
      </c>
      <c r="AK5" s="423">
        <f t="shared" ref="AK5:AK23" si="14">AD5-L5</f>
        <v>0</v>
      </c>
      <c r="AL5" s="423">
        <f t="shared" ref="AL5:AL23" si="15">AE5-M5</f>
        <v>0</v>
      </c>
      <c r="AM5" s="423">
        <f t="shared" ref="AM5:AM23" si="16">AF5-N5</f>
        <v>0</v>
      </c>
      <c r="AN5" s="423">
        <f t="shared" ref="AN5:AN23" si="17">AG5-O5</f>
        <v>0</v>
      </c>
      <c r="AO5" s="423">
        <f t="shared" ref="AO5:AO23" si="18">AH5-P5</f>
        <v>0.40000000000000036</v>
      </c>
      <c r="AQ5" s="425" t="s">
        <v>569</v>
      </c>
      <c r="AR5" s="305" t="str">
        <f>D20</f>
        <v>B. Pinczehelyi</v>
      </c>
      <c r="AS5" s="430">
        <f>(AJ20*0.919)</f>
        <v>0</v>
      </c>
      <c r="AT5" s="430">
        <v>0</v>
      </c>
      <c r="AU5" s="430">
        <f>AJ20*0.414</f>
        <v>0</v>
      </c>
      <c r="AV5" s="430">
        <f>AK20*0.167</f>
        <v>0</v>
      </c>
      <c r="AW5" s="430">
        <f>AL20*0.588</f>
        <v>0</v>
      </c>
      <c r="AX5" s="430">
        <v>0</v>
      </c>
      <c r="AY5" s="430">
        <v>0</v>
      </c>
      <c r="AZ5" s="433">
        <f>(0.5*AN20+0.3*AO20)/10</f>
        <v>0.03</v>
      </c>
      <c r="BA5" s="433">
        <f>(0.4*AJ20+0.3*AO20)/10</f>
        <v>0.03</v>
      </c>
      <c r="BB5" s="433">
        <f>((AC20+1)+(AF20+1)*2)/8</f>
        <v>4.5175000000000001</v>
      </c>
      <c r="BC5" s="433">
        <f>((AJ20)+(AM20)*2)/8</f>
        <v>0</v>
      </c>
      <c r="BE5" s="425" t="s">
        <v>569</v>
      </c>
      <c r="BF5" s="305" t="str">
        <f>AR19</f>
        <v>B. Pinczehelyi</v>
      </c>
      <c r="BG5" s="431">
        <f>AS19</f>
        <v>0</v>
      </c>
      <c r="BH5" s="431">
        <f t="shared" ref="BH5:BQ5" si="19">AT19</f>
        <v>0</v>
      </c>
      <c r="BI5" s="431">
        <f t="shared" si="19"/>
        <v>0</v>
      </c>
      <c r="BJ5" s="431">
        <f t="shared" si="19"/>
        <v>0</v>
      </c>
      <c r="BK5" s="431">
        <f t="shared" si="19"/>
        <v>0</v>
      </c>
      <c r="BL5" s="431">
        <f t="shared" si="19"/>
        <v>0</v>
      </c>
      <c r="BM5" s="431">
        <f t="shared" si="19"/>
        <v>0</v>
      </c>
      <c r="BN5" s="434">
        <f t="shared" si="19"/>
        <v>0.03</v>
      </c>
      <c r="BO5" s="434">
        <f t="shared" si="19"/>
        <v>0.03</v>
      </c>
      <c r="BP5" s="434">
        <f t="shared" si="19"/>
        <v>4.5175000000000001</v>
      </c>
      <c r="BQ5" s="434">
        <f t="shared" si="19"/>
        <v>0</v>
      </c>
      <c r="BS5" s="256" t="s">
        <v>613</v>
      </c>
      <c r="BT5" s="440">
        <v>1</v>
      </c>
      <c r="BU5" s="441">
        <v>0.877</v>
      </c>
      <c r="BV5" s="442">
        <v>0.25</v>
      </c>
      <c r="BW5" s="333">
        <f t="shared" si="2"/>
        <v>2.5</v>
      </c>
      <c r="BX5" s="333">
        <f t="shared" si="3"/>
        <v>3.75</v>
      </c>
    </row>
    <row r="6" spans="1:76" s="263" customFormat="1" ht="18.75" x14ac:dyDescent="0.3">
      <c r="A6" s="384" t="s">
        <v>504</v>
      </c>
      <c r="B6" s="260" t="s">
        <v>2</v>
      </c>
      <c r="C6" s="261" t="e">
        <f t="shared" si="11"/>
        <v>#REF!</v>
      </c>
      <c r="D6" s="294" t="s">
        <v>274</v>
      </c>
      <c r="E6" s="387" t="e">
        <f>PLANTILLA!#REF!</f>
        <v>#REF!</v>
      </c>
      <c r="F6" s="387" t="e">
        <f>PLANTILLA!#REF!</f>
        <v>#REF!</v>
      </c>
      <c r="G6" s="388"/>
      <c r="H6" s="393">
        <v>5</v>
      </c>
      <c r="I6" s="308" t="e">
        <f>PLANTILLA!#REF!</f>
        <v>#REF!</v>
      </c>
      <c r="J6" s="485" t="e">
        <f>PLANTILLA!#REF!</f>
        <v>#REF!</v>
      </c>
      <c r="K6" s="485" t="e">
        <f>PLANTILLA!#REF!</f>
        <v>#REF!</v>
      </c>
      <c r="L6" s="485" t="e">
        <f>PLANTILLA!#REF!</f>
        <v>#REF!</v>
      </c>
      <c r="M6" s="485" t="e">
        <f>PLANTILLA!#REF!</f>
        <v>#REF!</v>
      </c>
      <c r="N6" s="485" t="e">
        <f>PLANTILLA!#REF!</f>
        <v>#REF!</v>
      </c>
      <c r="O6" s="485" t="e">
        <f>PLANTILLA!#REF!</f>
        <v>#REF!</v>
      </c>
      <c r="P6" s="485" t="e">
        <f>PLANTILLA!#REF!</f>
        <v>#REF!</v>
      </c>
      <c r="Q6" s="410" t="e">
        <f t="shared" si="4"/>
        <v>#REF!</v>
      </c>
      <c r="R6" s="411" t="e">
        <f t="shared" si="5"/>
        <v>#REF!</v>
      </c>
      <c r="S6" s="180"/>
      <c r="T6" s="180"/>
      <c r="U6" s="180"/>
      <c r="V6" s="180"/>
      <c r="W6" s="180"/>
      <c r="X6" s="180"/>
      <c r="Y6" s="180"/>
      <c r="Z6" s="180"/>
      <c r="AA6" s="296" t="e">
        <f t="shared" si="6"/>
        <v>#REF!</v>
      </c>
      <c r="AB6" s="505" t="e">
        <f t="shared" ref="AB6:AB23" si="20">J6+(S6*S$2/5)</f>
        <v>#REF!</v>
      </c>
      <c r="AC6" s="505" t="e">
        <f>K6+(T$2/53)</f>
        <v>#REF!</v>
      </c>
      <c r="AD6" s="505" t="e">
        <f>L6+(U$2/32)</f>
        <v>#REF!</v>
      </c>
      <c r="AE6" s="505" t="e">
        <f>M6+(V$2/17)</f>
        <v>#REF!</v>
      </c>
      <c r="AF6" s="505" t="e">
        <f>N6+(W$2/23)</f>
        <v>#REF!</v>
      </c>
      <c r="AG6" s="505" t="e">
        <f>O6+(X$2/17)+(Y$2/5)</f>
        <v>#REF!</v>
      </c>
      <c r="AH6" s="505" t="e">
        <f>P6+(Z$2/2)+(Y$2/10)</f>
        <v>#REF!</v>
      </c>
      <c r="AI6" s="423" t="e">
        <f t="shared" si="12"/>
        <v>#REF!</v>
      </c>
      <c r="AJ6" s="423" t="e">
        <f t="shared" si="13"/>
        <v>#REF!</v>
      </c>
      <c r="AK6" s="423" t="e">
        <f t="shared" si="14"/>
        <v>#REF!</v>
      </c>
      <c r="AL6" s="423" t="e">
        <f t="shared" si="15"/>
        <v>#REF!</v>
      </c>
      <c r="AM6" s="423" t="e">
        <f t="shared" si="16"/>
        <v>#REF!</v>
      </c>
      <c r="AN6" s="423" t="e">
        <f t="shared" si="17"/>
        <v>#REF!</v>
      </c>
      <c r="AO6" s="423" t="e">
        <f t="shared" si="18"/>
        <v>#REF!</v>
      </c>
      <c r="AQ6" s="426" t="s">
        <v>601</v>
      </c>
      <c r="AR6" s="305" t="str">
        <f>D16</f>
        <v>E. Gross</v>
      </c>
      <c r="AS6" s="431">
        <f>AJ16*0.378</f>
        <v>0</v>
      </c>
      <c r="AT6" s="431">
        <f>AS6</f>
        <v>0</v>
      </c>
      <c r="AU6" s="431">
        <f>AJ16*1</f>
        <v>0</v>
      </c>
      <c r="AV6" s="431">
        <f>AK16*0.236</f>
        <v>0</v>
      </c>
      <c r="AW6" s="431">
        <v>0</v>
      </c>
      <c r="AX6" s="431">
        <v>0</v>
      </c>
      <c r="AY6" s="431">
        <v>0</v>
      </c>
      <c r="AZ6" s="434">
        <f>(0.5*AN16+0.3*AO16)/10</f>
        <v>1.1999999999999957E-2</v>
      </c>
      <c r="BA6" s="434">
        <f>(0.4*AJ16+0.3*AO16)/10</f>
        <v>1.1999999999999957E-2</v>
      </c>
      <c r="BB6" s="433">
        <f>((AC16+1)+(AF16+1)*2)/8</f>
        <v>4.0037499999999993</v>
      </c>
      <c r="BC6" s="433">
        <f>((AJ16)+(AM16)*2)/8</f>
        <v>0</v>
      </c>
      <c r="BE6" s="426" t="s">
        <v>648</v>
      </c>
      <c r="BF6" s="260" t="str">
        <f>BF20</f>
        <v>D. Toh</v>
      </c>
      <c r="BG6" s="431">
        <f>BG20</f>
        <v>0</v>
      </c>
      <c r="BH6" s="431">
        <f t="shared" ref="BH6:BM6" si="21">BH20</f>
        <v>0</v>
      </c>
      <c r="BI6" s="431">
        <f t="shared" si="21"/>
        <v>0</v>
      </c>
      <c r="BJ6" s="431">
        <f t="shared" si="21"/>
        <v>0</v>
      </c>
      <c r="BK6" s="431">
        <f t="shared" si="21"/>
        <v>0</v>
      </c>
      <c r="BL6" s="431">
        <f t="shared" si="21"/>
        <v>0</v>
      </c>
      <c r="BM6" s="431">
        <f t="shared" si="21"/>
        <v>0</v>
      </c>
      <c r="BN6" s="434">
        <f>(0.5*AN7+0.3*AO7)/10</f>
        <v>1.1999999999999957E-2</v>
      </c>
      <c r="BO6" s="434">
        <f>(0.4*AJ7+0.3*AO7)/10</f>
        <v>1.1999999999999957E-2</v>
      </c>
      <c r="BP6" s="433">
        <f>((AC7+1)+(AF7+1)*2)/8</f>
        <v>3.6744444444444446</v>
      </c>
      <c r="BQ6" s="433">
        <f>((AJ7)+(AM7)*2)/8</f>
        <v>0</v>
      </c>
      <c r="BS6" s="256" t="s">
        <v>614</v>
      </c>
      <c r="BT6" s="440">
        <v>1</v>
      </c>
      <c r="BU6" s="441">
        <v>0.59299999999999997</v>
      </c>
      <c r="BV6" s="442">
        <v>0.19</v>
      </c>
      <c r="BW6" s="333">
        <f t="shared" si="2"/>
        <v>1.9</v>
      </c>
      <c r="BX6" s="333">
        <f t="shared" si="3"/>
        <v>2.85</v>
      </c>
    </row>
    <row r="7" spans="1:76" s="263" customFormat="1" x14ac:dyDescent="0.25">
      <c r="A7" s="305" t="s">
        <v>582</v>
      </c>
      <c r="B7" s="260" t="s">
        <v>2</v>
      </c>
      <c r="C7" s="261">
        <f t="shared" ca="1" si="11"/>
        <v>-1.8392857142857142</v>
      </c>
      <c r="D7" s="294" t="s">
        <v>275</v>
      </c>
      <c r="E7" s="387">
        <f>PLANTILLA!E8</f>
        <v>34</v>
      </c>
      <c r="F7" s="387">
        <f ca="1">PLANTILLA!F8</f>
        <v>94</v>
      </c>
      <c r="G7" s="388" t="s">
        <v>502</v>
      </c>
      <c r="H7" s="393">
        <v>5</v>
      </c>
      <c r="I7" s="308">
        <f>PLANTILLA!I8</f>
        <v>9</v>
      </c>
      <c r="J7" s="485">
        <f>PLANTILLA!X8</f>
        <v>0</v>
      </c>
      <c r="K7" s="485">
        <f>PLANTILLA!Y8</f>
        <v>10.95</v>
      </c>
      <c r="L7" s="485">
        <f>PLANTILLA!Z8</f>
        <v>5.95</v>
      </c>
      <c r="M7" s="485">
        <f>PLANTILLA!AA8</f>
        <v>5.95</v>
      </c>
      <c r="N7" s="485">
        <f>PLANTILLA!AB8</f>
        <v>7.7227777777777789</v>
      </c>
      <c r="O7" s="485">
        <f>PLANTILLA!AC8</f>
        <v>2.99</v>
      </c>
      <c r="P7" s="485">
        <f>PLANTILLA!AD8</f>
        <v>16</v>
      </c>
      <c r="Q7" s="410">
        <f t="shared" si="4"/>
        <v>34</v>
      </c>
      <c r="R7" s="411">
        <f t="shared" ca="1" si="5"/>
        <v>101</v>
      </c>
      <c r="S7" s="180"/>
      <c r="T7" s="180"/>
      <c r="U7" s="180"/>
      <c r="V7" s="180"/>
      <c r="W7" s="180"/>
      <c r="X7" s="180"/>
      <c r="Y7" s="180"/>
      <c r="Z7" s="180"/>
      <c r="AA7" s="296">
        <f t="shared" si="6"/>
        <v>9</v>
      </c>
      <c r="AB7" s="505">
        <f t="shared" si="20"/>
        <v>0</v>
      </c>
      <c r="AC7" s="505">
        <f>K7+(T$2/11)</f>
        <v>10.95</v>
      </c>
      <c r="AD7" s="505">
        <f>L7+(U$2/6.5)</f>
        <v>5.95</v>
      </c>
      <c r="AE7" s="505">
        <f>M7+(V$2/62)</f>
        <v>5.95</v>
      </c>
      <c r="AF7" s="505">
        <f>N7+(W$2/7)</f>
        <v>7.7227777777777789</v>
      </c>
      <c r="AG7" s="505">
        <f>O7+(X$2/21)+(Y$2/7)</f>
        <v>2.99</v>
      </c>
      <c r="AH7" s="505">
        <f>P7+(Z$2/2.5)+(Y$2/10)</f>
        <v>16.399999999999999</v>
      </c>
      <c r="AI7" s="423">
        <f t="shared" si="12"/>
        <v>0</v>
      </c>
      <c r="AJ7" s="423">
        <f t="shared" si="13"/>
        <v>0</v>
      </c>
      <c r="AK7" s="423">
        <f t="shared" si="14"/>
        <v>0</v>
      </c>
      <c r="AL7" s="423">
        <f t="shared" si="15"/>
        <v>0</v>
      </c>
      <c r="AM7" s="423">
        <f t="shared" si="16"/>
        <v>0</v>
      </c>
      <c r="AN7" s="423">
        <f t="shared" si="17"/>
        <v>0</v>
      </c>
      <c r="AO7" s="423">
        <f t="shared" si="18"/>
        <v>0.39999999999999858</v>
      </c>
      <c r="AQ7" s="426" t="s">
        <v>569</v>
      </c>
      <c r="AR7" s="305" t="str">
        <f>D8</f>
        <v>E. Toney</v>
      </c>
      <c r="AS7" s="431">
        <v>0</v>
      </c>
      <c r="AT7" s="431">
        <f>AJ8*0.919</f>
        <v>0</v>
      </c>
      <c r="AU7" s="431">
        <f>AJ8*0.414</f>
        <v>0</v>
      </c>
      <c r="AV7" s="431">
        <f>AK8*0.167</f>
        <v>0</v>
      </c>
      <c r="AW7" s="431">
        <v>0</v>
      </c>
      <c r="AX7" s="431">
        <f>AL8*0.588</f>
        <v>0</v>
      </c>
      <c r="AY7" s="431">
        <v>0</v>
      </c>
      <c r="AZ7" s="434">
        <f>(0.5*AN8+0.3*AO8)/10</f>
        <v>1.1999999999999957E-2</v>
      </c>
      <c r="BA7" s="434">
        <f>(0.4*AJ8+0.3*AO8)/10</f>
        <v>1.1999999999999957E-2</v>
      </c>
      <c r="BB7" s="433">
        <f>((AC8+1)+(AF8+1)*2)/8</f>
        <v>4.3000000000000007</v>
      </c>
      <c r="BC7" s="433">
        <f>((AJ8)+(AM8)*2)/8</f>
        <v>0</v>
      </c>
      <c r="BE7" s="426" t="s">
        <v>569</v>
      </c>
      <c r="BF7" s="260" t="str">
        <f>BF23</f>
        <v>E.Romweber</v>
      </c>
      <c r="BG7" s="431">
        <f>BG23</f>
        <v>0</v>
      </c>
      <c r="BH7" s="431">
        <f t="shared" ref="BH7:BM7" si="22">BH23</f>
        <v>0</v>
      </c>
      <c r="BI7" s="431">
        <f t="shared" si="22"/>
        <v>0</v>
      </c>
      <c r="BJ7" s="431">
        <f t="shared" si="22"/>
        <v>0</v>
      </c>
      <c r="BK7" s="431">
        <f t="shared" si="22"/>
        <v>0</v>
      </c>
      <c r="BL7" s="431">
        <f t="shared" si="22"/>
        <v>0</v>
      </c>
      <c r="BM7" s="431">
        <f t="shared" si="22"/>
        <v>0</v>
      </c>
      <c r="BN7" s="434">
        <f>BN23</f>
        <v>1.1999999999999957E-2</v>
      </c>
      <c r="BO7" s="434">
        <f t="shared" ref="BO7:BQ7" si="23">BO23</f>
        <v>1.1999999999999957E-2</v>
      </c>
      <c r="BP7" s="434">
        <f t="shared" si="23"/>
        <v>4.6062499999999993</v>
      </c>
      <c r="BQ7" s="434">
        <f t="shared" si="23"/>
        <v>0</v>
      </c>
    </row>
    <row r="8" spans="1:76" s="264" customFormat="1" x14ac:dyDescent="0.25">
      <c r="A8" s="384" t="s">
        <v>407</v>
      </c>
      <c r="B8" s="384" t="s">
        <v>2</v>
      </c>
      <c r="C8" s="385">
        <f t="shared" ca="1" si="11"/>
        <v>-1.4285714285714286</v>
      </c>
      <c r="D8" s="386" t="s">
        <v>269</v>
      </c>
      <c r="E8" s="387">
        <f>PLANTILLA!E9</f>
        <v>34</v>
      </c>
      <c r="F8" s="387">
        <f ca="1">PLANTILLA!F9</f>
        <v>48</v>
      </c>
      <c r="G8" s="388"/>
      <c r="H8" s="393">
        <v>5</v>
      </c>
      <c r="I8" s="308">
        <f>PLANTILLA!I9</f>
        <v>16</v>
      </c>
      <c r="J8" s="485">
        <f>PLANTILLA!X9</f>
        <v>0</v>
      </c>
      <c r="K8" s="485">
        <f>PLANTILLA!Y9</f>
        <v>12.200000000000005</v>
      </c>
      <c r="L8" s="485">
        <f>PLANTILLA!Z9</f>
        <v>12.95</v>
      </c>
      <c r="M8" s="485">
        <f>PLANTILLA!AA9</f>
        <v>9.8750000000000053</v>
      </c>
      <c r="N8" s="485">
        <f>PLANTILLA!AB9</f>
        <v>9.6</v>
      </c>
      <c r="O8" s="485">
        <f>PLANTILLA!AC9</f>
        <v>2.99</v>
      </c>
      <c r="P8" s="485">
        <f>PLANTILLA!AD9</f>
        <v>17.177777777777774</v>
      </c>
      <c r="Q8" s="410">
        <f t="shared" si="4"/>
        <v>34</v>
      </c>
      <c r="R8" s="411">
        <f t="shared" ca="1" si="5"/>
        <v>55</v>
      </c>
      <c r="S8" s="180"/>
      <c r="T8" s="180"/>
      <c r="U8" s="180"/>
      <c r="V8" s="180"/>
      <c r="W8" s="180"/>
      <c r="X8" s="180"/>
      <c r="Y8" s="180"/>
      <c r="Z8" s="180"/>
      <c r="AA8" s="296">
        <f t="shared" si="6"/>
        <v>16</v>
      </c>
      <c r="AB8" s="505">
        <f t="shared" si="20"/>
        <v>0</v>
      </c>
      <c r="AC8" s="505">
        <f>K8+(T$2/11)</f>
        <v>12.200000000000005</v>
      </c>
      <c r="AD8" s="505">
        <f>L8+(U$2/29)</f>
        <v>12.95</v>
      </c>
      <c r="AE8" s="505">
        <f>M8+(V$2/13)</f>
        <v>9.8750000000000053</v>
      </c>
      <c r="AF8" s="505">
        <f>N8+(W$2/8)</f>
        <v>9.6</v>
      </c>
      <c r="AG8" s="505">
        <f>O8+(X$2/19)+(Y$2/6)</f>
        <v>2.99</v>
      </c>
      <c r="AH8" s="505">
        <f>P8+(Z$2/2.5)+(Y$2/10)</f>
        <v>17.577777777777772</v>
      </c>
      <c r="AI8" s="423">
        <f t="shared" si="12"/>
        <v>0</v>
      </c>
      <c r="AJ8" s="423">
        <f t="shared" si="13"/>
        <v>0</v>
      </c>
      <c r="AK8" s="423">
        <f t="shared" si="14"/>
        <v>0</v>
      </c>
      <c r="AL8" s="423">
        <f t="shared" si="15"/>
        <v>0</v>
      </c>
      <c r="AM8" s="423">
        <f t="shared" si="16"/>
        <v>0</v>
      </c>
      <c r="AN8" s="423">
        <f t="shared" si="17"/>
        <v>0</v>
      </c>
      <c r="AO8" s="423">
        <f t="shared" si="18"/>
        <v>0.39999999999999858</v>
      </c>
      <c r="AQ8" s="528" t="s">
        <v>649</v>
      </c>
      <c r="AR8" s="304" t="str">
        <f>D11</f>
        <v>E.Romweber</v>
      </c>
      <c r="AS8" s="429">
        <f>AJ11*0.349</f>
        <v>0</v>
      </c>
      <c r="AT8" s="429">
        <v>0</v>
      </c>
      <c r="AU8" s="429">
        <f>AJ11*0.201</f>
        <v>0</v>
      </c>
      <c r="AV8" s="429">
        <f>AK11*0.455</f>
        <v>0</v>
      </c>
      <c r="AW8" s="429">
        <f>(AL11*0.864)+(AM11*0.244)</f>
        <v>0</v>
      </c>
      <c r="AX8" s="429">
        <v>0</v>
      </c>
      <c r="AY8" s="429">
        <f>(AM11*0.121)</f>
        <v>0</v>
      </c>
      <c r="AZ8" s="434">
        <f>(0.5*AN11+0.3*AO11)/10</f>
        <v>1.1999999999999957E-2</v>
      </c>
      <c r="BA8" s="434">
        <f>(0.4*AJ11+0.3*AO11)/10</f>
        <v>1.1999999999999957E-2</v>
      </c>
      <c r="BB8" s="432">
        <v>0</v>
      </c>
      <c r="BC8" s="432">
        <v>0</v>
      </c>
      <c r="BE8" s="528" t="s">
        <v>650</v>
      </c>
      <c r="BF8" s="304" t="str">
        <f>D12</f>
        <v>K. Helms</v>
      </c>
      <c r="BG8" s="431">
        <f>BG24</f>
        <v>0</v>
      </c>
      <c r="BH8" s="431">
        <f t="shared" ref="BH8:BQ8" si="24">BH24</f>
        <v>0</v>
      </c>
      <c r="BI8" s="431">
        <f t="shared" si="24"/>
        <v>0</v>
      </c>
      <c r="BJ8" s="431">
        <f t="shared" si="24"/>
        <v>0</v>
      </c>
      <c r="BK8" s="431">
        <f t="shared" si="24"/>
        <v>0</v>
      </c>
      <c r="BL8" s="431">
        <f t="shared" si="24"/>
        <v>0</v>
      </c>
      <c r="BM8" s="431">
        <f t="shared" si="24"/>
        <v>0</v>
      </c>
      <c r="BN8" s="434">
        <f t="shared" si="24"/>
        <v>1.1999999999999957E-2</v>
      </c>
      <c r="BO8" s="434">
        <f t="shared" si="24"/>
        <v>1.1999999999999957E-2</v>
      </c>
      <c r="BP8" s="434">
        <f t="shared" si="24"/>
        <v>0</v>
      </c>
      <c r="BQ8" s="434">
        <f t="shared" si="24"/>
        <v>0</v>
      </c>
    </row>
    <row r="9" spans="1:76" s="263" customFormat="1" x14ac:dyDescent="0.25">
      <c r="A9" s="384" t="s">
        <v>411</v>
      </c>
      <c r="B9" s="260" t="s">
        <v>2</v>
      </c>
      <c r="C9" s="261">
        <f t="shared" ca="1" si="11"/>
        <v>-1.2946428571428572</v>
      </c>
      <c r="D9" s="294" t="s">
        <v>273</v>
      </c>
      <c r="E9" s="387">
        <f>PLANTILLA!E10</f>
        <v>34</v>
      </c>
      <c r="F9" s="387">
        <f ca="1">PLANTILLA!F10</f>
        <v>33</v>
      </c>
      <c r="G9" s="388"/>
      <c r="H9" s="371">
        <v>4</v>
      </c>
      <c r="I9" s="308">
        <f>PLANTILLA!I10</f>
        <v>11</v>
      </c>
      <c r="J9" s="485">
        <f>PLANTILLA!X10</f>
        <v>0</v>
      </c>
      <c r="K9" s="485">
        <f>PLANTILLA!Y10</f>
        <v>11.95</v>
      </c>
      <c r="L9" s="485">
        <f>PLANTILLA!Z10</f>
        <v>6.95</v>
      </c>
      <c r="M9" s="485">
        <f>PLANTILLA!AA10</f>
        <v>7.5000000000000018</v>
      </c>
      <c r="N9" s="485">
        <f>PLANTILLA!AB10</f>
        <v>8.9</v>
      </c>
      <c r="O9" s="485">
        <f>PLANTILLA!AC10</f>
        <v>3.9</v>
      </c>
      <c r="P9" s="485">
        <f>PLANTILLA!AD10</f>
        <v>16</v>
      </c>
      <c r="Q9" s="410">
        <f t="shared" si="4"/>
        <v>34</v>
      </c>
      <c r="R9" s="411">
        <f t="shared" ca="1" si="5"/>
        <v>40</v>
      </c>
      <c r="S9" s="180"/>
      <c r="T9" s="180"/>
      <c r="U9" s="180"/>
      <c r="V9" s="180"/>
      <c r="W9" s="180"/>
      <c r="X9" s="180"/>
      <c r="Y9" s="180"/>
      <c r="Z9" s="180"/>
      <c r="AA9" s="296">
        <f t="shared" si="6"/>
        <v>11</v>
      </c>
      <c r="AB9" s="505">
        <f t="shared" si="20"/>
        <v>0</v>
      </c>
      <c r="AC9" s="505">
        <f>K9+(T$2/10)</f>
        <v>11.95</v>
      </c>
      <c r="AD9" s="505">
        <f>L9+(U$2/31)</f>
        <v>6.95</v>
      </c>
      <c r="AE9" s="505">
        <f>M9+(V$2/6)</f>
        <v>7.5000000000000018</v>
      </c>
      <c r="AF9" s="505">
        <f>N9+(W$2/7)</f>
        <v>8.9</v>
      </c>
      <c r="AG9" s="505">
        <f>O9+(X$2/21)+(Y$2/7)</f>
        <v>3.9</v>
      </c>
      <c r="AH9" s="505">
        <f>P9+(Z$2/2)+(Y$2/10)</f>
        <v>16.5</v>
      </c>
      <c r="AI9" s="423">
        <f t="shared" si="12"/>
        <v>0</v>
      </c>
      <c r="AJ9" s="423">
        <f t="shared" si="13"/>
        <v>0</v>
      </c>
      <c r="AK9" s="423">
        <f t="shared" si="14"/>
        <v>0</v>
      </c>
      <c r="AL9" s="423">
        <f t="shared" si="15"/>
        <v>0</v>
      </c>
      <c r="AM9" s="423">
        <f t="shared" si="16"/>
        <v>0</v>
      </c>
      <c r="AN9" s="423">
        <f t="shared" si="17"/>
        <v>0</v>
      </c>
      <c r="AO9" s="423">
        <f t="shared" si="18"/>
        <v>0.5</v>
      </c>
      <c r="AQ9" s="426" t="s">
        <v>503</v>
      </c>
      <c r="AR9" s="260" t="str">
        <f>D14</f>
        <v>S. Buscleman</v>
      </c>
      <c r="AS9" s="431">
        <f>AJ14*0.291</f>
        <v>0</v>
      </c>
      <c r="AT9" s="431">
        <v>0</v>
      </c>
      <c r="AU9" s="431">
        <f>AJ14*0.348</f>
        <v>0</v>
      </c>
      <c r="AV9" s="431">
        <f>AK14*0.881</f>
        <v>0</v>
      </c>
      <c r="AW9" s="431">
        <f>(AL14*0.574)+(AM14*0.315)</f>
        <v>0</v>
      </c>
      <c r="AX9" s="431">
        <v>0</v>
      </c>
      <c r="AY9" s="431">
        <f>AM14*0.241</f>
        <v>0</v>
      </c>
      <c r="AZ9" s="434">
        <f>(0.5*AN14+0.3*AO14)/10</f>
        <v>0.03</v>
      </c>
      <c r="BA9" s="434">
        <f>(0.4*AJ14+0.3*AO14)/10</f>
        <v>0.03</v>
      </c>
      <c r="BB9" s="434">
        <v>0</v>
      </c>
      <c r="BC9" s="434">
        <v>0</v>
      </c>
      <c r="BE9" s="426" t="s">
        <v>503</v>
      </c>
      <c r="BF9" s="260" t="str">
        <f>D14</f>
        <v>S. Buscleman</v>
      </c>
      <c r="BG9" s="431">
        <f t="shared" ref="BG9:BM9" si="25">AS9</f>
        <v>0</v>
      </c>
      <c r="BH9" s="431">
        <f t="shared" si="25"/>
        <v>0</v>
      </c>
      <c r="BI9" s="431">
        <f t="shared" si="25"/>
        <v>0</v>
      </c>
      <c r="BJ9" s="431">
        <f t="shared" si="25"/>
        <v>0</v>
      </c>
      <c r="BK9" s="431">
        <f t="shared" si="25"/>
        <v>0</v>
      </c>
      <c r="BL9" s="431">
        <f t="shared" si="25"/>
        <v>0</v>
      </c>
      <c r="BM9" s="431">
        <f t="shared" si="25"/>
        <v>0</v>
      </c>
      <c r="BN9" s="434">
        <f t="shared" ref="BN9" si="26">AZ9</f>
        <v>0.03</v>
      </c>
      <c r="BO9" s="434">
        <f>BA9</f>
        <v>0.03</v>
      </c>
      <c r="BP9" s="434">
        <f>BB9</f>
        <v>0</v>
      </c>
      <c r="BQ9" s="434">
        <f>BC9</f>
        <v>0</v>
      </c>
    </row>
    <row r="10" spans="1:76" s="4" customFormat="1" x14ac:dyDescent="0.25">
      <c r="A10" s="304" t="s">
        <v>568</v>
      </c>
      <c r="B10" s="260" t="s">
        <v>2</v>
      </c>
      <c r="C10" s="261">
        <f t="shared" ca="1" si="11"/>
        <v>2.5</v>
      </c>
      <c r="D10" s="294" t="s">
        <v>567</v>
      </c>
      <c r="E10" s="387">
        <f>PLANTILLA!E11</f>
        <v>30</v>
      </c>
      <c r="F10" s="387">
        <f ca="1">PLANTILLA!F11</f>
        <v>56</v>
      </c>
      <c r="G10" s="388"/>
      <c r="H10" s="393">
        <v>5</v>
      </c>
      <c r="I10" s="308">
        <f>PLANTILLA!I11</f>
        <v>5.5</v>
      </c>
      <c r="J10" s="485">
        <f>PLANTILLA!X11</f>
        <v>0</v>
      </c>
      <c r="K10" s="485">
        <f>PLANTILLA!Y11</f>
        <v>9.6046666666666667</v>
      </c>
      <c r="L10" s="485">
        <f>PLANTILLA!Z11</f>
        <v>7.7607222222222223</v>
      </c>
      <c r="M10" s="485">
        <f>PLANTILLA!AA11</f>
        <v>6.1599999999999984</v>
      </c>
      <c r="N10" s="485">
        <f>PLANTILLA!AB11</f>
        <v>8.8633333333333315</v>
      </c>
      <c r="O10" s="485">
        <f>PLANTILLA!AC11</f>
        <v>3.2566666666666673</v>
      </c>
      <c r="P10" s="485">
        <f>PLANTILLA!AD11</f>
        <v>13.33611111111111</v>
      </c>
      <c r="Q10" s="410">
        <f t="shared" si="4"/>
        <v>30</v>
      </c>
      <c r="R10" s="411">
        <f t="shared" ca="1" si="5"/>
        <v>63</v>
      </c>
      <c r="S10" s="180"/>
      <c r="T10" s="180"/>
      <c r="U10" s="180"/>
      <c r="V10" s="180"/>
      <c r="W10" s="180"/>
      <c r="X10" s="180"/>
      <c r="Y10" s="180"/>
      <c r="Z10" s="180"/>
      <c r="AA10" s="296">
        <f t="shared" si="6"/>
        <v>5.5</v>
      </c>
      <c r="AB10" s="505">
        <f t="shared" si="20"/>
        <v>0</v>
      </c>
      <c r="AC10" s="505">
        <f>K10+(T$2/25)</f>
        <v>9.6046666666666667</v>
      </c>
      <c r="AD10" s="505">
        <f>L10+(U$2/37)</f>
        <v>7.7607222222222223</v>
      </c>
      <c r="AE10" s="505">
        <f>M10+(V$2/20)</f>
        <v>6.1599999999999984</v>
      </c>
      <c r="AF10" s="505">
        <f>N10+(W$2/8)</f>
        <v>8.8633333333333315</v>
      </c>
      <c r="AG10" s="505">
        <f>O10+(X$2/18)+(Y$2/5)</f>
        <v>3.2566666666666673</v>
      </c>
      <c r="AH10" s="505">
        <f>P10+(Z$2/1.2)+(Y$2/10)</f>
        <v>14.169444444444444</v>
      </c>
      <c r="AI10" s="423">
        <f t="shared" si="12"/>
        <v>0</v>
      </c>
      <c r="AJ10" s="423">
        <f t="shared" si="13"/>
        <v>0</v>
      </c>
      <c r="AK10" s="423">
        <f t="shared" si="14"/>
        <v>0</v>
      </c>
      <c r="AL10" s="423">
        <f t="shared" si="15"/>
        <v>0</v>
      </c>
      <c r="AM10" s="423">
        <f t="shared" si="16"/>
        <v>0</v>
      </c>
      <c r="AN10" s="423">
        <f t="shared" si="17"/>
        <v>0</v>
      </c>
      <c r="AO10" s="423">
        <f t="shared" si="18"/>
        <v>0.83333333333333393</v>
      </c>
      <c r="AQ10" s="426" t="s">
        <v>651</v>
      </c>
      <c r="AR10" s="260" t="str">
        <f>D17</f>
        <v>L. Bauman</v>
      </c>
      <c r="AS10" s="431">
        <f>AJ17*0.057</f>
        <v>0</v>
      </c>
      <c r="AT10" s="431">
        <f>AS10</f>
        <v>0</v>
      </c>
      <c r="AU10" s="431">
        <f>AJ17*0.162</f>
        <v>0</v>
      </c>
      <c r="AV10" s="431">
        <f>AK17*0.944</f>
        <v>0</v>
      </c>
      <c r="AW10" s="431">
        <f>AM17*0.188</f>
        <v>0</v>
      </c>
      <c r="AX10" s="431">
        <f>AW10</f>
        <v>0</v>
      </c>
      <c r="AY10" s="431">
        <f>AM17*0.507+AN17*0.31</f>
        <v>0</v>
      </c>
      <c r="AZ10" s="434">
        <f>(0.5*AN17+0.3*AO17)/10</f>
        <v>1.1999999999999957E-2</v>
      </c>
      <c r="BA10" s="434">
        <f>(0.4*AJ17+0.3*AO17)/10</f>
        <v>1.1999999999999957E-2</v>
      </c>
      <c r="BB10" s="434">
        <v>0</v>
      </c>
      <c r="BC10" s="434">
        <v>0</v>
      </c>
      <c r="BE10" s="426" t="s">
        <v>648</v>
      </c>
      <c r="BF10" s="260" t="str">
        <f>BF22</f>
        <v>B. Bartolache</v>
      </c>
      <c r="BG10" s="431">
        <f>BG22</f>
        <v>0</v>
      </c>
      <c r="BH10" s="431">
        <f t="shared" ref="BH10:BM10" si="27">BH22</f>
        <v>0</v>
      </c>
      <c r="BI10" s="431">
        <f t="shared" si="27"/>
        <v>0</v>
      </c>
      <c r="BJ10" s="431">
        <f t="shared" si="27"/>
        <v>0</v>
      </c>
      <c r="BK10" s="431">
        <f t="shared" si="27"/>
        <v>0</v>
      </c>
      <c r="BL10" s="431">
        <f t="shared" si="27"/>
        <v>0</v>
      </c>
      <c r="BM10" s="431">
        <f t="shared" si="27"/>
        <v>0</v>
      </c>
      <c r="BN10" s="434">
        <f>AZ7</f>
        <v>1.1999999999999957E-2</v>
      </c>
      <c r="BO10" s="434">
        <f>BA7</f>
        <v>1.1999999999999957E-2</v>
      </c>
      <c r="BP10" s="434">
        <f t="shared" ref="BP10:BQ10" si="28">BP22</f>
        <v>4.3000000000000007</v>
      </c>
      <c r="BQ10" s="434">
        <f t="shared" si="28"/>
        <v>0</v>
      </c>
    </row>
    <row r="11" spans="1:76" x14ac:dyDescent="0.25">
      <c r="A11" s="384" t="s">
        <v>405</v>
      </c>
      <c r="B11" s="384" t="s">
        <v>65</v>
      </c>
      <c r="C11" s="385">
        <f t="shared" ca="1" si="11"/>
        <v>-1.0892857142857142</v>
      </c>
      <c r="D11" s="386" t="s">
        <v>270</v>
      </c>
      <c r="E11" s="387">
        <f>PLANTILLA!E12</f>
        <v>34</v>
      </c>
      <c r="F11" s="387">
        <f ca="1">PLANTILLA!F12</f>
        <v>10</v>
      </c>
      <c r="G11" s="388" t="s">
        <v>271</v>
      </c>
      <c r="H11" s="371">
        <v>1</v>
      </c>
      <c r="I11" s="308">
        <f>PLANTILLA!I12</f>
        <v>15</v>
      </c>
      <c r="J11" s="485">
        <f>PLANTILLA!X12</f>
        <v>0</v>
      </c>
      <c r="K11" s="485">
        <f>PLANTILLA!Y12</f>
        <v>11.95</v>
      </c>
      <c r="L11" s="485">
        <f>PLANTILLA!Z12</f>
        <v>12.614111111111114</v>
      </c>
      <c r="M11" s="485">
        <f>PLANTILLA!AA12</f>
        <v>12.95</v>
      </c>
      <c r="N11" s="485">
        <f>PLANTILLA!AB12</f>
        <v>10.95</v>
      </c>
      <c r="O11" s="485">
        <f>PLANTILLA!AC12</f>
        <v>6.99</v>
      </c>
      <c r="P11" s="485">
        <f>PLANTILLA!AD12</f>
        <v>17.529999999999998</v>
      </c>
      <c r="Q11" s="410">
        <f t="shared" si="4"/>
        <v>34</v>
      </c>
      <c r="R11" s="411">
        <f t="shared" ca="1" si="5"/>
        <v>17</v>
      </c>
      <c r="S11" s="180"/>
      <c r="T11" s="180"/>
      <c r="U11" s="180"/>
      <c r="V11" s="180"/>
      <c r="W11" s="180"/>
      <c r="X11" s="180"/>
      <c r="Y11" s="180"/>
      <c r="Z11" s="180"/>
      <c r="AA11" s="296">
        <f t="shared" si="6"/>
        <v>15</v>
      </c>
      <c r="AB11" s="505">
        <f t="shared" si="20"/>
        <v>0</v>
      </c>
      <c r="AC11" s="505">
        <f>K11+(T$2/10)</f>
        <v>11.95</v>
      </c>
      <c r="AD11" s="505">
        <f>L11+(U$2/18)</f>
        <v>12.614111111111114</v>
      </c>
      <c r="AE11" s="505">
        <f>M11+(V$2/15)</f>
        <v>12.95</v>
      </c>
      <c r="AF11" s="505">
        <f>N11+(W$2/8)</f>
        <v>10.95</v>
      </c>
      <c r="AG11" s="505">
        <f>O11+(X$2/5)+(Y$2/4)/2</f>
        <v>6.99</v>
      </c>
      <c r="AH11" s="505">
        <f>P11+(Z$2/2.5)+(Y$2/10)</f>
        <v>17.929999999999996</v>
      </c>
      <c r="AI11" s="423">
        <f t="shared" si="12"/>
        <v>0</v>
      </c>
      <c r="AJ11" s="423">
        <f t="shared" si="13"/>
        <v>0</v>
      </c>
      <c r="AK11" s="423">
        <f t="shared" si="14"/>
        <v>0</v>
      </c>
      <c r="AL11" s="423">
        <f t="shared" si="15"/>
        <v>0</v>
      </c>
      <c r="AM11" s="423">
        <f t="shared" si="16"/>
        <v>0</v>
      </c>
      <c r="AN11" s="423">
        <f t="shared" si="17"/>
        <v>0</v>
      </c>
      <c r="AO11" s="423">
        <f t="shared" si="18"/>
        <v>0.39999999999999858</v>
      </c>
      <c r="AQ11" s="426" t="s">
        <v>503</v>
      </c>
      <c r="AR11" s="260" t="str">
        <f>D15</f>
        <v>C. Rojas</v>
      </c>
      <c r="AS11" s="431">
        <v>0</v>
      </c>
      <c r="AT11" s="431">
        <f>AJ15*0.291</f>
        <v>0</v>
      </c>
      <c r="AU11" s="431">
        <f>AJ15*0.348</f>
        <v>0</v>
      </c>
      <c r="AV11" s="431">
        <f>AK15*0.881</f>
        <v>0</v>
      </c>
      <c r="AW11" s="431">
        <v>0</v>
      </c>
      <c r="AX11" s="431">
        <f>(AL15*0.574)+(AM15*0.314)</f>
        <v>0</v>
      </c>
      <c r="AY11" s="431">
        <f>AM15*0.241</f>
        <v>0</v>
      </c>
      <c r="AZ11" s="434">
        <f>(0.5*AN15+0.3*AO15)/10</f>
        <v>1.4999999999999999E-2</v>
      </c>
      <c r="BA11" s="434">
        <f>(0.4*AJ15+0.3*AO15)/10</f>
        <v>1.4999999999999999E-2</v>
      </c>
      <c r="BB11" s="434">
        <v>0</v>
      </c>
      <c r="BC11" s="434">
        <v>0</v>
      </c>
      <c r="BE11" s="426" t="s">
        <v>503</v>
      </c>
      <c r="BF11" s="260" t="str">
        <f>D15</f>
        <v>C. Rojas</v>
      </c>
      <c r="BG11" s="431">
        <f>BG26</f>
        <v>0</v>
      </c>
      <c r="BH11" s="431">
        <f t="shared" ref="BH11:BM11" si="29">BH26</f>
        <v>0</v>
      </c>
      <c r="BI11" s="431">
        <f t="shared" si="29"/>
        <v>0</v>
      </c>
      <c r="BJ11" s="431">
        <f t="shared" si="29"/>
        <v>0</v>
      </c>
      <c r="BK11" s="431">
        <f t="shared" si="29"/>
        <v>0</v>
      </c>
      <c r="BL11" s="431">
        <f t="shared" si="29"/>
        <v>0</v>
      </c>
      <c r="BM11" s="431">
        <f t="shared" si="29"/>
        <v>0</v>
      </c>
      <c r="BN11" s="434">
        <f>BN26</f>
        <v>1.4999999999999999E-2</v>
      </c>
      <c r="BO11" s="434">
        <f t="shared" ref="BO11:BQ11" si="30">BO26</f>
        <v>1.4999999999999999E-2</v>
      </c>
      <c r="BP11" s="434">
        <f t="shared" si="30"/>
        <v>0</v>
      </c>
      <c r="BQ11" s="434">
        <f t="shared" si="30"/>
        <v>0</v>
      </c>
    </row>
    <row r="12" spans="1:76" s="263" customFormat="1" x14ac:dyDescent="0.25">
      <c r="A12" s="384" t="s">
        <v>412</v>
      </c>
      <c r="B12" s="384" t="s">
        <v>65</v>
      </c>
      <c r="C12" s="385">
        <f t="shared" ca="1" si="11"/>
        <v>-0.6160714285714286</v>
      </c>
      <c r="D12" s="386" t="s">
        <v>298</v>
      </c>
      <c r="E12" s="387">
        <f>PLANTILLA!E13</f>
        <v>33</v>
      </c>
      <c r="F12" s="387">
        <f ca="1">PLANTILLA!F13</f>
        <v>69</v>
      </c>
      <c r="G12" s="388" t="s">
        <v>268</v>
      </c>
      <c r="H12" s="371">
        <v>3</v>
      </c>
      <c r="I12" s="308">
        <f>PLANTILLA!I13</f>
        <v>12.1</v>
      </c>
      <c r="J12" s="485">
        <f>PLANTILLA!X13</f>
        <v>0</v>
      </c>
      <c r="K12" s="485">
        <f>PLANTILLA!Y13</f>
        <v>7.2503030303030309</v>
      </c>
      <c r="L12" s="485">
        <f>PLANTILLA!Z13</f>
        <v>10.600000000000005</v>
      </c>
      <c r="M12" s="485">
        <f>PLANTILLA!AA13</f>
        <v>13.471666666666668</v>
      </c>
      <c r="N12" s="485">
        <f>PLANTILLA!AB13</f>
        <v>10.359999999999998</v>
      </c>
      <c r="O12" s="485">
        <f>PLANTILLA!AC13</f>
        <v>4.99</v>
      </c>
      <c r="P12" s="485">
        <f>PLANTILLA!AD13</f>
        <v>18</v>
      </c>
      <c r="Q12" s="410">
        <f t="shared" si="4"/>
        <v>33</v>
      </c>
      <c r="R12" s="411">
        <f t="shared" ca="1" si="5"/>
        <v>76</v>
      </c>
      <c r="S12" s="180"/>
      <c r="T12" s="180"/>
      <c r="U12" s="180"/>
      <c r="V12" s="180"/>
      <c r="W12" s="180"/>
      <c r="X12" s="180"/>
      <c r="Y12" s="180"/>
      <c r="Z12" s="180"/>
      <c r="AA12" s="296">
        <f t="shared" si="6"/>
        <v>12.1</v>
      </c>
      <c r="AB12" s="505">
        <f t="shared" si="20"/>
        <v>0</v>
      </c>
      <c r="AC12" s="505">
        <f>K12+(T$2/7)</f>
        <v>7.2503030303030309</v>
      </c>
      <c r="AD12" s="505">
        <f>L12+(U$2/7)</f>
        <v>10.600000000000005</v>
      </c>
      <c r="AE12" s="505">
        <f>M12+(V$2/8)</f>
        <v>13.471666666666668</v>
      </c>
      <c r="AF12" s="505">
        <f>N12+(W$2/8)</f>
        <v>10.359999999999998</v>
      </c>
      <c r="AG12" s="505">
        <f>O12+(X$2/4)+(Y$2/6)</f>
        <v>4.99</v>
      </c>
      <c r="AH12" s="505">
        <f>P12+(Z$2/2.5)+(Y$2/10)</f>
        <v>18.399999999999999</v>
      </c>
      <c r="AI12" s="423">
        <f t="shared" si="12"/>
        <v>0</v>
      </c>
      <c r="AJ12" s="423">
        <f t="shared" si="13"/>
        <v>0</v>
      </c>
      <c r="AK12" s="423">
        <f t="shared" si="14"/>
        <v>0</v>
      </c>
      <c r="AL12" s="423">
        <f t="shared" si="15"/>
        <v>0</v>
      </c>
      <c r="AM12" s="423">
        <f t="shared" si="16"/>
        <v>0</v>
      </c>
      <c r="AN12" s="423">
        <f t="shared" si="17"/>
        <v>0</v>
      </c>
      <c r="AO12" s="423">
        <f t="shared" si="18"/>
        <v>0.39999999999999858</v>
      </c>
      <c r="AQ12" s="529" t="s">
        <v>650</v>
      </c>
      <c r="AR12" s="260" t="str">
        <f>D12</f>
        <v>K. Helms</v>
      </c>
      <c r="AS12" s="431">
        <v>0</v>
      </c>
      <c r="AT12" s="431">
        <f>AJ12*0.18</f>
        <v>0</v>
      </c>
      <c r="AU12" s="431">
        <f>AJ12*0.068</f>
        <v>0</v>
      </c>
      <c r="AV12" s="431">
        <f>AK12*0.305</f>
        <v>0</v>
      </c>
      <c r="AW12" s="431">
        <v>0</v>
      </c>
      <c r="AX12" s="431">
        <f>(AL12*1)+(AM12*0.286)</f>
        <v>0</v>
      </c>
      <c r="AY12" s="431">
        <f>AM12*0.135</f>
        <v>0</v>
      </c>
      <c r="AZ12" s="434">
        <f>(0.5*AN12+0.3*AO12)/10</f>
        <v>1.1999999999999957E-2</v>
      </c>
      <c r="BA12" s="434">
        <f>(0.4*AJ12+0.3*AO12)/10</f>
        <v>1.1999999999999957E-2</v>
      </c>
      <c r="BB12" s="434">
        <v>0</v>
      </c>
      <c r="BC12" s="434">
        <v>0</v>
      </c>
      <c r="BE12" s="529" t="s">
        <v>650</v>
      </c>
      <c r="BF12" s="260" t="str">
        <f>BF27</f>
        <v>S. Zobbe</v>
      </c>
      <c r="BG12" s="431">
        <f>BG27</f>
        <v>0</v>
      </c>
      <c r="BH12" s="431">
        <f t="shared" ref="BH12:BM12" si="31">BH27</f>
        <v>0</v>
      </c>
      <c r="BI12" s="431">
        <f t="shared" si="31"/>
        <v>0</v>
      </c>
      <c r="BJ12" s="431">
        <f t="shared" si="31"/>
        <v>0</v>
      </c>
      <c r="BK12" s="431">
        <f t="shared" si="31"/>
        <v>0</v>
      </c>
      <c r="BL12" s="431">
        <f t="shared" si="31"/>
        <v>0</v>
      </c>
      <c r="BM12" s="431">
        <f t="shared" si="31"/>
        <v>0</v>
      </c>
      <c r="BN12" s="434">
        <f>BN27</f>
        <v>1.4999999999999999E-2</v>
      </c>
      <c r="BO12" s="434">
        <f t="shared" ref="BO12:BQ12" si="32">BO27</f>
        <v>1.4999999999999999E-2</v>
      </c>
      <c r="BP12" s="434">
        <f t="shared" si="32"/>
        <v>0</v>
      </c>
      <c r="BQ12" s="434">
        <f t="shared" si="32"/>
        <v>0</v>
      </c>
    </row>
    <row r="13" spans="1:76" s="264" customFormat="1" x14ac:dyDescent="0.25">
      <c r="A13" s="384" t="s">
        <v>506</v>
      </c>
      <c r="B13" s="384" t="s">
        <v>65</v>
      </c>
      <c r="C13" s="385">
        <f t="shared" ca="1" si="11"/>
        <v>2.25</v>
      </c>
      <c r="D13" s="386" t="s">
        <v>507</v>
      </c>
      <c r="E13" s="387">
        <f>PLANTILLA!E14</f>
        <v>30</v>
      </c>
      <c r="F13" s="387">
        <f ca="1">PLANTILLA!F14</f>
        <v>84</v>
      </c>
      <c r="G13" s="388" t="s">
        <v>502</v>
      </c>
      <c r="H13" s="371">
        <v>3</v>
      </c>
      <c r="I13" s="308">
        <f>PLANTILLA!I14</f>
        <v>11.4</v>
      </c>
      <c r="J13" s="485">
        <f>PLANTILLA!X14</f>
        <v>0</v>
      </c>
      <c r="K13" s="485">
        <f>PLANTILLA!Y14</f>
        <v>8.3599999999999977</v>
      </c>
      <c r="L13" s="485">
        <f>PLANTILLA!Z14</f>
        <v>12.253412698412699</v>
      </c>
      <c r="M13" s="485">
        <f>PLANTILLA!AA14</f>
        <v>12.45</v>
      </c>
      <c r="N13" s="485">
        <f>PLANTILLA!AB14</f>
        <v>10.24</v>
      </c>
      <c r="O13" s="485">
        <f>PLANTILLA!AC14</f>
        <v>7.4766666666666666</v>
      </c>
      <c r="P13" s="485">
        <f>PLANTILLA!AD14</f>
        <v>16</v>
      </c>
      <c r="Q13" s="410">
        <f t="shared" si="4"/>
        <v>30</v>
      </c>
      <c r="R13" s="411">
        <f t="shared" ca="1" si="5"/>
        <v>91</v>
      </c>
      <c r="S13" s="180"/>
      <c r="T13" s="180"/>
      <c r="U13" s="180"/>
      <c r="V13" s="180"/>
      <c r="W13" s="180"/>
      <c r="X13" s="180"/>
      <c r="Y13" s="180"/>
      <c r="Z13" s="180"/>
      <c r="AA13" s="296">
        <f t="shared" si="6"/>
        <v>11.4</v>
      </c>
      <c r="AB13" s="505">
        <f t="shared" si="20"/>
        <v>0</v>
      </c>
      <c r="AC13" s="505">
        <f>K13+(T$2/6.5)</f>
        <v>8.3599999999999977</v>
      </c>
      <c r="AD13" s="505">
        <f>L13+(U$2/8)</f>
        <v>12.253412698412699</v>
      </c>
      <c r="AE13" s="505">
        <f>M13+(V$2/6)</f>
        <v>12.45</v>
      </c>
      <c r="AF13" s="505">
        <f>N13+(W$2/8)</f>
        <v>10.24</v>
      </c>
      <c r="AG13" s="505">
        <f>O13+(X$2/4.5)+(Y$2/3.5)/2</f>
        <v>7.4766666666666666</v>
      </c>
      <c r="AH13" s="505">
        <f>P13+(Z$2/2)+(Y$2/10)</f>
        <v>16.5</v>
      </c>
      <c r="AI13" s="423">
        <f t="shared" si="12"/>
        <v>0</v>
      </c>
      <c r="AJ13" s="423">
        <f t="shared" si="13"/>
        <v>0</v>
      </c>
      <c r="AK13" s="423">
        <f t="shared" si="14"/>
        <v>0</v>
      </c>
      <c r="AL13" s="423">
        <f t="shared" si="15"/>
        <v>0</v>
      </c>
      <c r="AM13" s="423">
        <f t="shared" si="16"/>
        <v>0</v>
      </c>
      <c r="AN13" s="423">
        <f t="shared" si="17"/>
        <v>0</v>
      </c>
      <c r="AO13" s="423">
        <f t="shared" si="18"/>
        <v>0.5</v>
      </c>
      <c r="AQ13" s="528" t="s">
        <v>66</v>
      </c>
      <c r="AR13" s="304" t="str">
        <f>D21</f>
        <v>J. Limon</v>
      </c>
      <c r="AS13" s="429">
        <v>0</v>
      </c>
      <c r="AT13" s="429">
        <v>0</v>
      </c>
      <c r="AU13" s="429">
        <v>0</v>
      </c>
      <c r="AV13" s="429">
        <f>AK21*0.25</f>
        <v>0</v>
      </c>
      <c r="AW13" s="429">
        <f>(AM21*0.142)+(AL21*0.221)+(AN21*0.26)</f>
        <v>0</v>
      </c>
      <c r="AX13" s="429">
        <f>AW13</f>
        <v>0</v>
      </c>
      <c r="AY13" s="429">
        <f>(AM21*0.369)+(AN21*1)</f>
        <v>0</v>
      </c>
      <c r="AZ13" s="552">
        <f>((0.5*AN21+0.3*AO21)/10)+0.09*AO21</f>
        <v>0.06</v>
      </c>
      <c r="BA13" s="552">
        <f>(0.4*AJ21+0.3*AO21)/10</f>
        <v>1.4999999999999999E-2</v>
      </c>
      <c r="BB13" s="432">
        <v>0</v>
      </c>
      <c r="BC13" s="432">
        <v>0</v>
      </c>
      <c r="BE13" s="528" t="s">
        <v>647</v>
      </c>
      <c r="BF13" s="304" t="str">
        <f>D21</f>
        <v>J. Limon</v>
      </c>
      <c r="BG13" s="429">
        <v>0</v>
      </c>
      <c r="BH13" s="429">
        <v>0</v>
      </c>
      <c r="BI13" s="429">
        <v>0</v>
      </c>
      <c r="BJ13" s="429">
        <f>AK21*0.25</f>
        <v>0</v>
      </c>
      <c r="BK13" s="429">
        <f>(AM21*0.209)+(AL21*0.607)+(AN21*0.524)</f>
        <v>0</v>
      </c>
      <c r="BL13" s="429">
        <v>0</v>
      </c>
      <c r="BM13" s="429">
        <f>(AM21*0.261)+(AN21*0.607)</f>
        <v>0</v>
      </c>
      <c r="BN13" s="553">
        <f>AZ13</f>
        <v>0.06</v>
      </c>
      <c r="BO13" s="553">
        <f>BA13</f>
        <v>1.4999999999999999E-2</v>
      </c>
      <c r="BP13" s="432">
        <v>0</v>
      </c>
      <c r="BQ13" s="432">
        <v>0</v>
      </c>
    </row>
    <row r="14" spans="1:76" s="263" customFormat="1" x14ac:dyDescent="0.25">
      <c r="A14" s="384" t="s">
        <v>408</v>
      </c>
      <c r="B14" s="260" t="s">
        <v>64</v>
      </c>
      <c r="C14" s="261">
        <f t="shared" ca="1" si="11"/>
        <v>0.2767857142857143</v>
      </c>
      <c r="D14" s="294" t="s">
        <v>415</v>
      </c>
      <c r="E14" s="387">
        <f>PLANTILLA!E15</f>
        <v>32</v>
      </c>
      <c r="F14" s="387">
        <f ca="1">PLANTILLA!F15</f>
        <v>81</v>
      </c>
      <c r="G14" s="388" t="s">
        <v>268</v>
      </c>
      <c r="H14" s="371">
        <v>4</v>
      </c>
      <c r="I14" s="308">
        <f>PLANTILLA!I15</f>
        <v>13</v>
      </c>
      <c r="J14" s="485">
        <f>PLANTILLA!X15</f>
        <v>0</v>
      </c>
      <c r="K14" s="485">
        <f>PLANTILLA!Y15</f>
        <v>9.3036666666666648</v>
      </c>
      <c r="L14" s="485">
        <f>PLANTILLA!Z15</f>
        <v>14</v>
      </c>
      <c r="M14" s="485">
        <f>PLANTILLA!AA15</f>
        <v>12.945</v>
      </c>
      <c r="N14" s="485">
        <f>PLANTILLA!AB15</f>
        <v>10</v>
      </c>
      <c r="O14" s="485">
        <f>PLANTILLA!AC15</f>
        <v>4.99</v>
      </c>
      <c r="P14" s="485">
        <f>PLANTILLA!AD15</f>
        <v>16</v>
      </c>
      <c r="Q14" s="410">
        <f t="shared" si="4"/>
        <v>32</v>
      </c>
      <c r="R14" s="411">
        <f t="shared" ca="1" si="5"/>
        <v>88</v>
      </c>
      <c r="S14" s="180"/>
      <c r="T14" s="180"/>
      <c r="U14" s="180"/>
      <c r="V14" s="180"/>
      <c r="W14" s="180"/>
      <c r="X14" s="180"/>
      <c r="Y14" s="180"/>
      <c r="Z14" s="180"/>
      <c r="AA14" s="296">
        <f t="shared" si="6"/>
        <v>13</v>
      </c>
      <c r="AB14" s="505">
        <f t="shared" si="20"/>
        <v>0</v>
      </c>
      <c r="AC14" s="505">
        <f>K14+(T$2/50)</f>
        <v>9.3036666666666648</v>
      </c>
      <c r="AD14" s="505">
        <f>L14+(U$2/10)</f>
        <v>14</v>
      </c>
      <c r="AE14" s="505">
        <f>M14+(V$2/15)</f>
        <v>12.945</v>
      </c>
      <c r="AF14" s="505">
        <f>N14+(W$2/7.5)</f>
        <v>10</v>
      </c>
      <c r="AG14" s="505">
        <f>O14+(X$2/3.5)+(Y$2/6)</f>
        <v>4.99</v>
      </c>
      <c r="AH14" s="505">
        <f>P14+(Z$2/1)+(Y$2/10)</f>
        <v>17</v>
      </c>
      <c r="AI14" s="423">
        <f t="shared" si="12"/>
        <v>0</v>
      </c>
      <c r="AJ14" s="423">
        <f t="shared" si="13"/>
        <v>0</v>
      </c>
      <c r="AK14" s="423">
        <f t="shared" si="14"/>
        <v>0</v>
      </c>
      <c r="AL14" s="423">
        <f t="shared" si="15"/>
        <v>0</v>
      </c>
      <c r="AM14" s="423">
        <f t="shared" si="16"/>
        <v>0</v>
      </c>
      <c r="AN14" s="423">
        <f t="shared" si="17"/>
        <v>0</v>
      </c>
      <c r="AO14" s="423">
        <f t="shared" si="18"/>
        <v>1</v>
      </c>
      <c r="AQ14" s="529" t="s">
        <v>66</v>
      </c>
      <c r="AR14" s="260" t="str">
        <f>D13</f>
        <v>S. Zobbe</v>
      </c>
      <c r="AS14" s="431">
        <v>0</v>
      </c>
      <c r="AT14" s="431">
        <v>0</v>
      </c>
      <c r="AU14" s="431">
        <v>0</v>
      </c>
      <c r="AV14" s="429">
        <f>AK13*0.25</f>
        <v>0</v>
      </c>
      <c r="AW14" s="429">
        <f>(AM13*0.142)+(AL13*0.221)+(AN13*0.26)</f>
        <v>0</v>
      </c>
      <c r="AX14" s="429">
        <f>AW14</f>
        <v>0</v>
      </c>
      <c r="AY14" s="429">
        <f>(AM13*0.369)+(AN13*1)</f>
        <v>0</v>
      </c>
      <c r="AZ14" s="434">
        <f>(0.5*AN13+0.3*AO13)/10</f>
        <v>1.4999999999999999E-2</v>
      </c>
      <c r="BA14" s="434">
        <f>(0.4*AJ13+0.3*AO13)/10</f>
        <v>1.4999999999999999E-2</v>
      </c>
      <c r="BB14" s="432">
        <v>0</v>
      </c>
      <c r="BC14" s="432">
        <v>0</v>
      </c>
      <c r="BE14" s="529" t="s">
        <v>647</v>
      </c>
      <c r="BF14" s="260" t="s">
        <v>722</v>
      </c>
      <c r="BG14" s="431">
        <v>0</v>
      </c>
      <c r="BH14" s="431">
        <v>0</v>
      </c>
      <c r="BI14" s="431">
        <v>0</v>
      </c>
      <c r="BJ14" s="429">
        <f>AK23*0.25</f>
        <v>0</v>
      </c>
      <c r="BK14" s="429">
        <v>0</v>
      </c>
      <c r="BL14" s="429">
        <f>(AM23*0.209)+(AL23*0.607)+(AN23*0.524)</f>
        <v>0</v>
      </c>
      <c r="BM14" s="429">
        <f>(AM23*0.261)+(AN23*0.607)</f>
        <v>0</v>
      </c>
      <c r="BN14" s="432">
        <f>AZ20</f>
        <v>1.9999999999999983E-2</v>
      </c>
      <c r="BO14" s="432">
        <f>BA20</f>
        <v>1.9999999999999983E-2</v>
      </c>
      <c r="BP14" s="432">
        <v>0</v>
      </c>
      <c r="BQ14" s="432">
        <v>0</v>
      </c>
    </row>
    <row r="15" spans="1:76" s="254" customFormat="1" x14ac:dyDescent="0.25">
      <c r="A15" s="305" t="s">
        <v>409</v>
      </c>
      <c r="B15" s="384" t="s">
        <v>64</v>
      </c>
      <c r="C15" s="385">
        <f t="shared" ca="1" si="11"/>
        <v>-2.0267857142857144</v>
      </c>
      <c r="D15" s="386" t="s">
        <v>285</v>
      </c>
      <c r="E15" s="387">
        <f>PLANTILLA!E16</f>
        <v>35</v>
      </c>
      <c r="F15" s="387">
        <f ca="1">PLANTILLA!F16</f>
        <v>3</v>
      </c>
      <c r="G15" s="388" t="s">
        <v>268</v>
      </c>
      <c r="H15" s="393">
        <v>5</v>
      </c>
      <c r="I15" s="308">
        <f>PLANTILLA!I16</f>
        <v>13.2</v>
      </c>
      <c r="J15" s="485">
        <f>PLANTILLA!X16</f>
        <v>0</v>
      </c>
      <c r="K15" s="485">
        <f>PLANTILLA!Y16</f>
        <v>8.6275555555555581</v>
      </c>
      <c r="L15" s="485">
        <f>PLANTILLA!Z16</f>
        <v>13.95</v>
      </c>
      <c r="M15" s="485">
        <f>PLANTILLA!AA16</f>
        <v>9.9499999999999993</v>
      </c>
      <c r="N15" s="485">
        <f>PLANTILLA!AB16</f>
        <v>9.9499999999999993</v>
      </c>
      <c r="O15" s="485">
        <f>PLANTILLA!AC16</f>
        <v>2.95</v>
      </c>
      <c r="P15" s="485">
        <f>PLANTILLA!AD16</f>
        <v>17.144444444444439</v>
      </c>
      <c r="Q15" s="410">
        <f t="shared" si="4"/>
        <v>35</v>
      </c>
      <c r="R15" s="411">
        <f t="shared" ca="1" si="5"/>
        <v>10</v>
      </c>
      <c r="S15" s="180"/>
      <c r="T15" s="180"/>
      <c r="U15" s="180"/>
      <c r="V15" s="180"/>
      <c r="W15" s="180"/>
      <c r="X15" s="180"/>
      <c r="Y15" s="180"/>
      <c r="Z15" s="180"/>
      <c r="AA15" s="296">
        <f t="shared" si="6"/>
        <v>13.2</v>
      </c>
      <c r="AB15" s="505">
        <f t="shared" si="20"/>
        <v>0</v>
      </c>
      <c r="AC15" s="505">
        <f>K15+(T$2/50)</f>
        <v>8.6275555555555581</v>
      </c>
      <c r="AD15" s="505">
        <f>L15+(U$2/11)</f>
        <v>13.95</v>
      </c>
      <c r="AE15" s="505">
        <f>M15+(V$2/15)</f>
        <v>9.9499999999999993</v>
      </c>
      <c r="AF15" s="505">
        <f>N15+(W$2/8)</f>
        <v>9.9499999999999993</v>
      </c>
      <c r="AG15" s="505">
        <f>O15+(X$2/22)+(Y$2/7)</f>
        <v>2.95</v>
      </c>
      <c r="AH15" s="505">
        <f>P15+(Z$2/2)+(Y$2/10)</f>
        <v>17.644444444444439</v>
      </c>
      <c r="AI15" s="423">
        <f t="shared" si="12"/>
        <v>0</v>
      </c>
      <c r="AJ15" s="423">
        <f t="shared" si="13"/>
        <v>0</v>
      </c>
      <c r="AK15" s="423">
        <f t="shared" si="14"/>
        <v>0</v>
      </c>
      <c r="AL15" s="423">
        <f t="shared" si="15"/>
        <v>0</v>
      </c>
      <c r="AM15" s="423">
        <f t="shared" si="16"/>
        <v>0</v>
      </c>
      <c r="AN15" s="423">
        <f t="shared" si="17"/>
        <v>0</v>
      </c>
      <c r="AO15" s="423">
        <f t="shared" si="18"/>
        <v>0.5</v>
      </c>
      <c r="AQ15" s="427"/>
      <c r="AR15" s="428"/>
      <c r="AS15" s="428"/>
      <c r="AT15" s="428"/>
      <c r="AU15" s="428"/>
      <c r="AV15" s="428"/>
      <c r="AW15" s="428"/>
      <c r="AX15" s="428"/>
      <c r="AY15" s="428"/>
      <c r="AZ15" s="428"/>
      <c r="BA15" s="428"/>
      <c r="BB15" s="428"/>
      <c r="BC15" s="428"/>
      <c r="BE15"/>
      <c r="BF15"/>
      <c r="BG15"/>
      <c r="BH15"/>
      <c r="BI15"/>
      <c r="BJ15"/>
      <c r="BK15"/>
      <c r="BL15"/>
      <c r="BM15"/>
      <c r="BN15"/>
      <c r="BO15"/>
      <c r="BP15"/>
      <c r="BQ15"/>
    </row>
    <row r="16" spans="1:76" s="264" customFormat="1" x14ac:dyDescent="0.25">
      <c r="A16" s="384" t="s">
        <v>406</v>
      </c>
      <c r="B16" s="384" t="s">
        <v>64</v>
      </c>
      <c r="C16" s="385">
        <f t="shared" ca="1" si="11"/>
        <v>-0.9732142857142857</v>
      </c>
      <c r="D16" s="386" t="s">
        <v>272</v>
      </c>
      <c r="E16" s="387">
        <f>PLANTILLA!E17</f>
        <v>33</v>
      </c>
      <c r="F16" s="387">
        <f ca="1">PLANTILLA!F17</f>
        <v>109</v>
      </c>
      <c r="G16" s="388"/>
      <c r="H16" s="371">
        <v>4</v>
      </c>
      <c r="I16" s="308">
        <f>PLANTILLA!I17</f>
        <v>12</v>
      </c>
      <c r="J16" s="485">
        <f>PLANTILLA!X17</f>
        <v>0</v>
      </c>
      <c r="K16" s="485">
        <f>PLANTILLA!Y17</f>
        <v>10.549999999999995</v>
      </c>
      <c r="L16" s="485">
        <f>PLANTILLA!Z17</f>
        <v>13</v>
      </c>
      <c r="M16" s="485">
        <f>PLANTILLA!AA17</f>
        <v>4.95</v>
      </c>
      <c r="N16" s="485">
        <f>PLANTILLA!AB17</f>
        <v>9.24</v>
      </c>
      <c r="O16" s="485">
        <f>PLANTILLA!AC17</f>
        <v>1.95</v>
      </c>
      <c r="P16" s="485">
        <f>PLANTILLA!AD17</f>
        <v>17.459999999999997</v>
      </c>
      <c r="Q16" s="410">
        <f t="shared" si="4"/>
        <v>33</v>
      </c>
      <c r="R16" s="411">
        <f t="shared" ca="1" si="5"/>
        <v>116</v>
      </c>
      <c r="S16" s="180"/>
      <c r="T16" s="180"/>
      <c r="U16" s="180"/>
      <c r="V16" s="180"/>
      <c r="W16" s="180"/>
      <c r="X16" s="180"/>
      <c r="Y16" s="180"/>
      <c r="Z16" s="180"/>
      <c r="AA16" s="296">
        <f t="shared" si="6"/>
        <v>12</v>
      </c>
      <c r="AB16" s="505">
        <f t="shared" si="20"/>
        <v>0</v>
      </c>
      <c r="AC16" s="505">
        <f>K16+(T$2/7)</f>
        <v>10.549999999999995</v>
      </c>
      <c r="AD16" s="505">
        <f>L16+(U$2/11)</f>
        <v>13</v>
      </c>
      <c r="AE16" s="505">
        <f>M16+(V$2/19)</f>
        <v>4.95</v>
      </c>
      <c r="AF16" s="505">
        <f>N16+(W$2/7)</f>
        <v>9.24</v>
      </c>
      <c r="AG16" s="505">
        <f>O16+(X$2/16)+(Y$2/5)</f>
        <v>1.95</v>
      </c>
      <c r="AH16" s="505">
        <f>P16+(Z$2/2.5)+(Y$2/10)</f>
        <v>17.859999999999996</v>
      </c>
      <c r="AI16" s="423">
        <f t="shared" si="12"/>
        <v>0</v>
      </c>
      <c r="AJ16" s="423">
        <f t="shared" si="13"/>
        <v>0</v>
      </c>
      <c r="AK16" s="423">
        <f t="shared" si="14"/>
        <v>0</v>
      </c>
      <c r="AL16" s="423">
        <f t="shared" si="15"/>
        <v>0</v>
      </c>
      <c r="AM16" s="423">
        <f t="shared" si="16"/>
        <v>0</v>
      </c>
      <c r="AN16" s="423">
        <f t="shared" si="17"/>
        <v>0</v>
      </c>
      <c r="AO16" s="423">
        <f t="shared" si="18"/>
        <v>0.39999999999999858</v>
      </c>
      <c r="AQ16" s="249"/>
      <c r="AR16" s="249"/>
      <c r="AS16" s="435">
        <f>SUM(AS18:AS28)*$BV$3</f>
        <v>0</v>
      </c>
      <c r="AT16" s="435">
        <f>SUM(AT18:AT28)*$BV$3</f>
        <v>0</v>
      </c>
      <c r="AU16" s="435">
        <f>SUM(AU18:AU28)*$BV$2</f>
        <v>0</v>
      </c>
      <c r="AV16" s="435">
        <f>SUM(AV18:AV28)*$BV$4</f>
        <v>0</v>
      </c>
      <c r="AW16" s="435">
        <f>SUM(AW18:AW28)*$BV$5</f>
        <v>0</v>
      </c>
      <c r="AX16" s="435">
        <f>SUM(AX18:AX28)*$BV$5</f>
        <v>0</v>
      </c>
      <c r="AY16" s="435">
        <f>SUM(AY18:AY28)*$BV$6</f>
        <v>0</v>
      </c>
      <c r="AZ16" s="436">
        <f>SUM(AZ18:AZ28)</f>
        <v>0.23599999999999988</v>
      </c>
      <c r="BA16" s="436">
        <f>SUM(BA18:BA28)</f>
        <v>0.24099999999999988</v>
      </c>
      <c r="BB16" s="436">
        <f t="shared" ref="BB16:BC16" si="33">SUM(BB18:BB28)</f>
        <v>12.6625</v>
      </c>
      <c r="BC16" s="436">
        <f t="shared" si="33"/>
        <v>0</v>
      </c>
      <c r="BE16" s="249"/>
      <c r="BF16" s="249"/>
      <c r="BG16" s="435">
        <f>SUM(BG18:BG28)*$BV$3</f>
        <v>0</v>
      </c>
      <c r="BH16" s="435">
        <f>SUM(BH18:BH28)*$BV$3</f>
        <v>0</v>
      </c>
      <c r="BI16" s="435">
        <f>SUM(BI18:BI28)*$BV$2</f>
        <v>0</v>
      </c>
      <c r="BJ16" s="435">
        <f>SUM(BJ18:BJ28)*$BV$4</f>
        <v>0</v>
      </c>
      <c r="BK16" s="435">
        <f>SUM(BK18:BK28)*$BV$5</f>
        <v>0</v>
      </c>
      <c r="BL16" s="435">
        <f>SUM(BL18:BL28)*$BV$5</f>
        <v>0</v>
      </c>
      <c r="BM16" s="435">
        <f>SUM(BM18:BM28)*$BV$6</f>
        <v>0</v>
      </c>
      <c r="BN16" s="436">
        <f>SUM(BN18:BN28)</f>
        <v>0.2099999999999998</v>
      </c>
      <c r="BO16" s="436">
        <f>SUM(BO18:BO28)</f>
        <v>0.2149999999999998</v>
      </c>
      <c r="BP16" s="436">
        <f t="shared" ref="BP16:BQ16" si="34">SUM(BP18:BP28)</f>
        <v>21.101944444444445</v>
      </c>
      <c r="BQ16" s="436">
        <f t="shared" si="34"/>
        <v>0</v>
      </c>
    </row>
    <row r="17" spans="1:69" s="254" customFormat="1" x14ac:dyDescent="0.25">
      <c r="A17" s="305" t="s">
        <v>410</v>
      </c>
      <c r="B17" s="260" t="s">
        <v>64</v>
      </c>
      <c r="C17" s="261">
        <f t="shared" ca="1" si="11"/>
        <v>-0.75</v>
      </c>
      <c r="D17" s="294" t="s">
        <v>400</v>
      </c>
      <c r="E17" s="387">
        <f>PLANTILLA!E18</f>
        <v>33</v>
      </c>
      <c r="F17" s="387">
        <f ca="1">PLANTILLA!F18</f>
        <v>84</v>
      </c>
      <c r="G17" s="388"/>
      <c r="H17" s="371">
        <v>1</v>
      </c>
      <c r="I17" s="308">
        <f>PLANTILLA!I18</f>
        <v>10.3</v>
      </c>
      <c r="J17" s="485">
        <f>PLANTILLA!X18</f>
        <v>0</v>
      </c>
      <c r="K17" s="485">
        <f>PLANTILLA!Y18</f>
        <v>6</v>
      </c>
      <c r="L17" s="485">
        <f>PLANTILLA!Z18</f>
        <v>14.1</v>
      </c>
      <c r="M17" s="485">
        <f>PLANTILLA!AA18</f>
        <v>3.5124999999999993</v>
      </c>
      <c r="N17" s="485">
        <f>PLANTILLA!AB18</f>
        <v>9.1400000000000041</v>
      </c>
      <c r="O17" s="485">
        <f>PLANTILLA!AC18</f>
        <v>6.95</v>
      </c>
      <c r="P17" s="485">
        <f>PLANTILLA!AD18</f>
        <v>17</v>
      </c>
      <c r="Q17" s="410">
        <f t="shared" si="4"/>
        <v>33</v>
      </c>
      <c r="R17" s="411">
        <f t="shared" ca="1" si="5"/>
        <v>91</v>
      </c>
      <c r="S17" s="180"/>
      <c r="T17" s="180"/>
      <c r="U17" s="180"/>
      <c r="V17" s="180"/>
      <c r="W17" s="180"/>
      <c r="X17" s="180"/>
      <c r="Y17" s="180"/>
      <c r="Z17" s="180"/>
      <c r="AA17" s="296">
        <f t="shared" si="6"/>
        <v>10.3</v>
      </c>
      <c r="AB17" s="505">
        <f t="shared" si="20"/>
        <v>0</v>
      </c>
      <c r="AC17" s="505">
        <f>K17+(T$2/6.5)</f>
        <v>6</v>
      </c>
      <c r="AD17" s="505">
        <f>L17+(U$2/11)</f>
        <v>14.1</v>
      </c>
      <c r="AE17" s="505">
        <f>M17+(V$2/17)</f>
        <v>3.5124999999999993</v>
      </c>
      <c r="AF17" s="505">
        <f>N17+(W$2/7)</f>
        <v>9.1400000000000041</v>
      </c>
      <c r="AG17" s="505">
        <f>O17+(X$2/30)+(Y$2/4.5)/2</f>
        <v>6.95</v>
      </c>
      <c r="AH17" s="505">
        <f>P17+(Z$2/2.5)+(Y$2/10)</f>
        <v>17.399999999999999</v>
      </c>
      <c r="AI17" s="423">
        <f t="shared" si="12"/>
        <v>0</v>
      </c>
      <c r="AJ17" s="423">
        <f t="shared" si="13"/>
        <v>0</v>
      </c>
      <c r="AK17" s="423">
        <f t="shared" si="14"/>
        <v>0</v>
      </c>
      <c r="AL17" s="423">
        <f t="shared" si="15"/>
        <v>0</v>
      </c>
      <c r="AM17" s="423">
        <f t="shared" si="16"/>
        <v>0</v>
      </c>
      <c r="AN17" s="423">
        <f t="shared" si="17"/>
        <v>0</v>
      </c>
      <c r="AO17" s="423">
        <f t="shared" si="18"/>
        <v>0.39999999999999858</v>
      </c>
      <c r="AQ17" s="699" t="s">
        <v>720</v>
      </c>
      <c r="AR17" s="700"/>
      <c r="AS17" s="331" t="s">
        <v>467</v>
      </c>
      <c r="AT17" s="331" t="s">
        <v>468</v>
      </c>
      <c r="AU17" s="331" t="s">
        <v>489</v>
      </c>
      <c r="AV17" s="331" t="s">
        <v>469</v>
      </c>
      <c r="AW17" s="331" t="s">
        <v>470</v>
      </c>
      <c r="AX17" s="331" t="s">
        <v>471</v>
      </c>
      <c r="AY17" s="331" t="s">
        <v>472</v>
      </c>
      <c r="AZ17" s="331" t="s">
        <v>734</v>
      </c>
      <c r="BA17" s="331" t="s">
        <v>735</v>
      </c>
      <c r="BB17" s="331" t="s">
        <v>565</v>
      </c>
      <c r="BC17" s="331" t="s">
        <v>604</v>
      </c>
      <c r="BE17" s="699" t="s">
        <v>646</v>
      </c>
      <c r="BF17" s="700"/>
      <c r="BG17" s="331" t="s">
        <v>467</v>
      </c>
      <c r="BH17" s="331" t="s">
        <v>468</v>
      </c>
      <c r="BI17" s="331" t="s">
        <v>489</v>
      </c>
      <c r="BJ17" s="331" t="s">
        <v>469</v>
      </c>
      <c r="BK17" s="331" t="s">
        <v>470</v>
      </c>
      <c r="BL17" s="331" t="s">
        <v>471</v>
      </c>
      <c r="BM17" s="331" t="s">
        <v>472</v>
      </c>
      <c r="BN17" s="331" t="s">
        <v>734</v>
      </c>
      <c r="BO17" s="331" t="s">
        <v>735</v>
      </c>
      <c r="BP17" s="331" t="s">
        <v>565</v>
      </c>
      <c r="BQ17" s="331" t="s">
        <v>604</v>
      </c>
    </row>
    <row r="18" spans="1:69" s="247" customFormat="1" x14ac:dyDescent="0.25">
      <c r="A18" s="305" t="s">
        <v>505</v>
      </c>
      <c r="B18" s="260" t="s">
        <v>64</v>
      </c>
      <c r="C18" s="261">
        <f t="shared" ca="1" si="11"/>
        <v>0.6964285714285714</v>
      </c>
      <c r="D18" s="294" t="s">
        <v>414</v>
      </c>
      <c r="E18" s="387">
        <f>PLANTILLA!E19</f>
        <v>32</v>
      </c>
      <c r="F18" s="387">
        <f ca="1">PLANTILLA!F19</f>
        <v>34</v>
      </c>
      <c r="G18" s="388"/>
      <c r="H18" s="371">
        <v>3</v>
      </c>
      <c r="I18" s="308">
        <f>PLANTILLA!I19</f>
        <v>4.5</v>
      </c>
      <c r="J18" s="485">
        <f>PLANTILLA!X19</f>
        <v>0</v>
      </c>
      <c r="K18" s="485">
        <f>PLANTILLA!Y19</f>
        <v>5.6515555555555519</v>
      </c>
      <c r="L18" s="485">
        <f>PLANTILLA!Z19</f>
        <v>9.9499999999999993</v>
      </c>
      <c r="M18" s="485">
        <f>PLANTILLA!AA19</f>
        <v>6.95</v>
      </c>
      <c r="N18" s="485">
        <f>PLANTILLA!AB19</f>
        <v>9.2666666666666639</v>
      </c>
      <c r="O18" s="485">
        <f>PLANTILLA!AC19</f>
        <v>3.5417777777777766</v>
      </c>
      <c r="P18" s="485">
        <f>PLANTILLA!AD19</f>
        <v>12.847222222222223</v>
      </c>
      <c r="Q18" s="410">
        <f t="shared" si="4"/>
        <v>32</v>
      </c>
      <c r="R18" s="411">
        <f t="shared" ca="1" si="5"/>
        <v>41</v>
      </c>
      <c r="S18" s="180"/>
      <c r="T18" s="180"/>
      <c r="U18" s="180"/>
      <c r="V18" s="180"/>
      <c r="W18" s="180"/>
      <c r="X18" s="180"/>
      <c r="Y18" s="180"/>
      <c r="Z18" s="180"/>
      <c r="AA18" s="296">
        <f t="shared" si="6"/>
        <v>4.5</v>
      </c>
      <c r="AB18" s="505">
        <f t="shared" si="20"/>
        <v>0</v>
      </c>
      <c r="AC18" s="505">
        <f>K18+(T$2/26)</f>
        <v>5.6515555555555519</v>
      </c>
      <c r="AD18" s="505">
        <f>L18+(U$2/55)</f>
        <v>9.9499999999999993</v>
      </c>
      <c r="AE18" s="505">
        <f>M18+(V$2/24)</f>
        <v>6.95</v>
      </c>
      <c r="AF18" s="505">
        <f>N18+(W$2/7)</f>
        <v>9.2666666666666639</v>
      </c>
      <c r="AG18" s="505">
        <f>O18+(X$2/18)+(Y$2/6)</f>
        <v>3.5417777777777766</v>
      </c>
      <c r="AH18" s="505">
        <f>P18+(Z$2/2)+(Y$2/10)</f>
        <v>13.347222222222223</v>
      </c>
      <c r="AI18" s="423">
        <f t="shared" si="12"/>
        <v>0</v>
      </c>
      <c r="AJ18" s="423">
        <f t="shared" si="13"/>
        <v>0</v>
      </c>
      <c r="AK18" s="423">
        <f t="shared" si="14"/>
        <v>0</v>
      </c>
      <c r="AL18" s="423">
        <f t="shared" si="15"/>
        <v>0</v>
      </c>
      <c r="AM18" s="423">
        <f t="shared" si="16"/>
        <v>0</v>
      </c>
      <c r="AN18" s="423">
        <f t="shared" si="17"/>
        <v>0</v>
      </c>
      <c r="AO18" s="423">
        <f t="shared" si="18"/>
        <v>0.5</v>
      </c>
      <c r="AQ18" s="424" t="s">
        <v>1</v>
      </c>
      <c r="AR18" s="304" t="str">
        <f>D4</f>
        <v>D. Gehmacher</v>
      </c>
      <c r="AS18" s="429">
        <f>AS4</f>
        <v>0</v>
      </c>
      <c r="AT18" s="429">
        <f t="shared" ref="AT18:BC18" si="35">AT4</f>
        <v>0</v>
      </c>
      <c r="AU18" s="429">
        <f t="shared" si="35"/>
        <v>0</v>
      </c>
      <c r="AV18" s="429">
        <f t="shared" si="35"/>
        <v>0</v>
      </c>
      <c r="AW18" s="429">
        <f t="shared" si="35"/>
        <v>0</v>
      </c>
      <c r="AX18" s="429">
        <f t="shared" si="35"/>
        <v>0</v>
      </c>
      <c r="AY18" s="429">
        <f t="shared" si="35"/>
        <v>0</v>
      </c>
      <c r="AZ18" s="553">
        <f t="shared" si="35"/>
        <v>0</v>
      </c>
      <c r="BA18" s="553">
        <f t="shared" si="35"/>
        <v>0.05</v>
      </c>
      <c r="BB18" s="432">
        <f t="shared" si="35"/>
        <v>0</v>
      </c>
      <c r="BC18" s="432">
        <f t="shared" si="35"/>
        <v>0</v>
      </c>
      <c r="BE18" s="424" t="s">
        <v>1</v>
      </c>
      <c r="BF18" s="304" t="str">
        <f>D4</f>
        <v>D. Gehmacher</v>
      </c>
      <c r="BG18" s="429">
        <f>BG4</f>
        <v>0</v>
      </c>
      <c r="BH18" s="429">
        <f t="shared" ref="BH18:BQ18" si="36">BH4</f>
        <v>0</v>
      </c>
      <c r="BI18" s="429">
        <f t="shared" si="36"/>
        <v>0</v>
      </c>
      <c r="BJ18" s="429">
        <f t="shared" si="36"/>
        <v>0</v>
      </c>
      <c r="BK18" s="429">
        <f t="shared" si="36"/>
        <v>0</v>
      </c>
      <c r="BL18" s="429">
        <f t="shared" si="36"/>
        <v>0</v>
      </c>
      <c r="BM18" s="429">
        <f t="shared" si="36"/>
        <v>0</v>
      </c>
      <c r="BN18" s="553">
        <f t="shared" si="36"/>
        <v>0</v>
      </c>
      <c r="BO18" s="553">
        <f t="shared" si="36"/>
        <v>0.05</v>
      </c>
      <c r="BP18" s="432">
        <f t="shared" si="36"/>
        <v>0</v>
      </c>
      <c r="BQ18" s="432">
        <f t="shared" si="36"/>
        <v>0</v>
      </c>
    </row>
    <row r="19" spans="1:69" s="247" customFormat="1" x14ac:dyDescent="0.25">
      <c r="A19" s="305" t="s">
        <v>623</v>
      </c>
      <c r="B19" s="260" t="s">
        <v>64</v>
      </c>
      <c r="C19" s="261" t="e">
        <f t="shared" si="11"/>
        <v>#REF!</v>
      </c>
      <c r="D19" s="294" t="s">
        <v>624</v>
      </c>
      <c r="E19" s="387" t="e">
        <f>PLANTILLA!#REF!</f>
        <v>#REF!</v>
      </c>
      <c r="F19" s="387" t="e">
        <f>PLANTILLA!#REF!</f>
        <v>#REF!</v>
      </c>
      <c r="G19" s="388" t="s">
        <v>502</v>
      </c>
      <c r="H19" s="371">
        <v>4</v>
      </c>
      <c r="I19" s="308" t="e">
        <f>PLANTILLA!#REF!</f>
        <v>#REF!</v>
      </c>
      <c r="J19" s="485" t="e">
        <f>PLANTILLA!#REF!</f>
        <v>#REF!</v>
      </c>
      <c r="K19" s="485" t="e">
        <f>PLANTILLA!#REF!</f>
        <v>#REF!</v>
      </c>
      <c r="L19" s="485" t="e">
        <f>PLANTILLA!#REF!</f>
        <v>#REF!</v>
      </c>
      <c r="M19" s="485" t="e">
        <f>PLANTILLA!#REF!</f>
        <v>#REF!</v>
      </c>
      <c r="N19" s="485" t="e">
        <f>PLANTILLA!#REF!</f>
        <v>#REF!</v>
      </c>
      <c r="O19" s="485" t="e">
        <f>PLANTILLA!#REF!</f>
        <v>#REF!</v>
      </c>
      <c r="P19" s="485" t="e">
        <f>PLANTILLA!#REF!</f>
        <v>#REF!</v>
      </c>
      <c r="Q19" s="410" t="e">
        <f t="shared" si="4"/>
        <v>#REF!</v>
      </c>
      <c r="R19" s="411" t="e">
        <f t="shared" si="5"/>
        <v>#REF!</v>
      </c>
      <c r="S19" s="180"/>
      <c r="T19" s="180"/>
      <c r="U19" s="180"/>
      <c r="V19" s="180"/>
      <c r="W19" s="180"/>
      <c r="X19" s="180"/>
      <c r="Y19" s="180"/>
      <c r="Z19" s="180"/>
      <c r="AA19" s="296" t="e">
        <f t="shared" si="6"/>
        <v>#REF!</v>
      </c>
      <c r="AB19" s="505" t="e">
        <f>J19</f>
        <v>#REF!</v>
      </c>
      <c r="AC19" s="505" t="e">
        <f>K19+(T2/25)</f>
        <v>#REF!</v>
      </c>
      <c r="AD19" s="505" t="e">
        <f>L19+(U2/38)</f>
        <v>#REF!</v>
      </c>
      <c r="AE19" s="505" t="e">
        <f>M19+(V2/12)</f>
        <v>#REF!</v>
      </c>
      <c r="AF19" s="505" t="e">
        <f>N19+(W2/4)</f>
        <v>#REF!</v>
      </c>
      <c r="AG19" s="505" t="e">
        <f>O19+(X2/14)+(Y2/5)</f>
        <v>#REF!</v>
      </c>
      <c r="AH19" s="505" t="e">
        <f>P19+(Z2/1)+(Y$2/10)</f>
        <v>#REF!</v>
      </c>
      <c r="AI19" s="423" t="e">
        <f t="shared" si="12"/>
        <v>#REF!</v>
      </c>
      <c r="AJ19" s="423" t="e">
        <f t="shared" si="13"/>
        <v>#REF!</v>
      </c>
      <c r="AK19" s="423" t="e">
        <f t="shared" si="14"/>
        <v>#REF!</v>
      </c>
      <c r="AL19" s="423" t="e">
        <f t="shared" si="15"/>
        <v>#REF!</v>
      </c>
      <c r="AM19" s="423" t="e">
        <f t="shared" si="16"/>
        <v>#REF!</v>
      </c>
      <c r="AN19" s="423" t="e">
        <f t="shared" si="17"/>
        <v>#REF!</v>
      </c>
      <c r="AO19" s="423" t="e">
        <f t="shared" si="18"/>
        <v>#REF!</v>
      </c>
      <c r="AQ19" s="425" t="s">
        <v>569</v>
      </c>
      <c r="AR19" s="305" t="str">
        <f>D20</f>
        <v>B. Pinczehelyi</v>
      </c>
      <c r="AS19" s="430">
        <f>(AJ20*0.919)</f>
        <v>0</v>
      </c>
      <c r="AT19" s="430">
        <v>0</v>
      </c>
      <c r="AU19" s="430">
        <f>AJ20*0.414</f>
        <v>0</v>
      </c>
      <c r="AV19" s="430">
        <f>AK20*0.167</f>
        <v>0</v>
      </c>
      <c r="AW19" s="430">
        <f>AL20*0.588</f>
        <v>0</v>
      </c>
      <c r="AX19" s="430">
        <v>0</v>
      </c>
      <c r="AY19" s="430">
        <v>0</v>
      </c>
      <c r="AZ19" s="433">
        <f>AZ5</f>
        <v>0.03</v>
      </c>
      <c r="BA19" s="433">
        <f>BA5</f>
        <v>0.03</v>
      </c>
      <c r="BB19" s="433">
        <f>((AC20+1)+(AF20+1)*2)/8</f>
        <v>4.5175000000000001</v>
      </c>
      <c r="BC19" s="433">
        <f>((AJ20)+(AM20)*2)/8</f>
        <v>0</v>
      </c>
      <c r="BE19" s="425" t="s">
        <v>569</v>
      </c>
      <c r="BF19" s="305" t="str">
        <f>D8</f>
        <v>E. Toney</v>
      </c>
      <c r="BG19" s="430">
        <f t="shared" ref="BG19:BM19" si="37">AS5</f>
        <v>0</v>
      </c>
      <c r="BH19" s="430">
        <f t="shared" si="37"/>
        <v>0</v>
      </c>
      <c r="BI19" s="430">
        <f t="shared" si="37"/>
        <v>0</v>
      </c>
      <c r="BJ19" s="430">
        <f t="shared" si="37"/>
        <v>0</v>
      </c>
      <c r="BK19" s="430">
        <f t="shared" si="37"/>
        <v>0</v>
      </c>
      <c r="BL19" s="430">
        <f t="shared" si="37"/>
        <v>0</v>
      </c>
      <c r="BM19" s="430">
        <f t="shared" si="37"/>
        <v>0</v>
      </c>
      <c r="BN19" s="433">
        <f t="shared" ref="BN19" si="38">AZ5</f>
        <v>0.03</v>
      </c>
      <c r="BO19" s="433">
        <f>BA5</f>
        <v>0.03</v>
      </c>
      <c r="BP19" s="433">
        <f>BB5</f>
        <v>4.5175000000000001</v>
      </c>
      <c r="BQ19" s="433">
        <f>BC5</f>
        <v>0</v>
      </c>
    </row>
    <row r="20" spans="1:69" s="246" customFormat="1" x14ac:dyDescent="0.25">
      <c r="A20" s="304" t="s">
        <v>582</v>
      </c>
      <c r="B20" s="260" t="s">
        <v>2</v>
      </c>
      <c r="C20" s="261">
        <f t="shared" ca="1" si="11"/>
        <v>-0.4375</v>
      </c>
      <c r="D20" s="294" t="str">
        <f>PLANTILLA!D7</f>
        <v>B. Pinczehelyi</v>
      </c>
      <c r="E20" s="387">
        <f>PLANTILLA!E7</f>
        <v>33</v>
      </c>
      <c r="F20" s="394">
        <f ca="1">PLANTILLA!F7</f>
        <v>49</v>
      </c>
      <c r="G20" s="388" t="s">
        <v>502</v>
      </c>
      <c r="H20" s="371">
        <v>2</v>
      </c>
      <c r="I20" s="308">
        <f>PLANTILLA!I7</f>
        <v>17</v>
      </c>
      <c r="J20" s="485">
        <f>PLANTILLA!X7</f>
        <v>0</v>
      </c>
      <c r="K20" s="485">
        <f>PLANTILLA!Y7</f>
        <v>14.300000000000004</v>
      </c>
      <c r="L20" s="485">
        <f>PLANTILLA!Z7</f>
        <v>9.3793333333333351</v>
      </c>
      <c r="M20" s="485">
        <f>PLANTILLA!AA7</f>
        <v>13.95</v>
      </c>
      <c r="N20" s="485">
        <f>PLANTILLA!AB7</f>
        <v>9.4199999999999982</v>
      </c>
      <c r="O20" s="485">
        <f>PLANTILLA!AC7</f>
        <v>0.95</v>
      </c>
      <c r="P20" s="485">
        <f>PLANTILLA!AD7</f>
        <v>11.25</v>
      </c>
      <c r="Q20" s="410">
        <f t="shared" si="4"/>
        <v>33</v>
      </c>
      <c r="R20" s="411">
        <f t="shared" ca="1" si="5"/>
        <v>56</v>
      </c>
      <c r="S20" s="180"/>
      <c r="T20" s="180"/>
      <c r="U20" s="180"/>
      <c r="V20" s="180"/>
      <c r="W20" s="180"/>
      <c r="X20" s="180"/>
      <c r="Y20" s="180"/>
      <c r="Z20" s="180"/>
      <c r="AA20" s="296">
        <f t="shared" si="6"/>
        <v>17</v>
      </c>
      <c r="AB20" s="505">
        <f t="shared" si="20"/>
        <v>0</v>
      </c>
      <c r="AC20" s="505">
        <f>K20+(T$2/20)</f>
        <v>14.300000000000004</v>
      </c>
      <c r="AD20" s="505">
        <f>L20+(U$2/50)</f>
        <v>9.3793333333333351</v>
      </c>
      <c r="AE20" s="505">
        <f>M20+(V$2/35)</f>
        <v>13.95</v>
      </c>
      <c r="AF20" s="505">
        <f>N20+(W$2/7)</f>
        <v>9.4199999999999982</v>
      </c>
      <c r="AG20" s="505">
        <f>O20+(X$2/3)+(Y$2/7)</f>
        <v>0.95</v>
      </c>
      <c r="AH20" s="505">
        <f>P20+(Z$2/1)+(Y$2/10)</f>
        <v>12.25</v>
      </c>
      <c r="AI20" s="423">
        <f t="shared" si="12"/>
        <v>0</v>
      </c>
      <c r="AJ20" s="423">
        <f t="shared" si="13"/>
        <v>0</v>
      </c>
      <c r="AK20" s="423">
        <f t="shared" si="14"/>
        <v>0</v>
      </c>
      <c r="AL20" s="423">
        <f t="shared" si="15"/>
        <v>0</v>
      </c>
      <c r="AM20" s="423">
        <f t="shared" si="16"/>
        <v>0</v>
      </c>
      <c r="AN20" s="423">
        <f t="shared" si="17"/>
        <v>0</v>
      </c>
      <c r="AO20" s="423">
        <f t="shared" si="18"/>
        <v>1</v>
      </c>
      <c r="AQ20" s="529" t="s">
        <v>66</v>
      </c>
      <c r="AR20" s="260" t="str">
        <f>D23</f>
        <v>P .Trivadi</v>
      </c>
      <c r="AS20" s="429">
        <v>0</v>
      </c>
      <c r="AT20" s="429">
        <v>0</v>
      </c>
      <c r="AU20" s="429">
        <v>0</v>
      </c>
      <c r="AV20" s="431">
        <f>AK23*0.25</f>
        <v>0</v>
      </c>
      <c r="AW20" s="431">
        <f>(AM23*0.142)+(AL23*0.221)+(AN23*0.26)</f>
        <v>0</v>
      </c>
      <c r="AX20" s="429">
        <f>AW20</f>
        <v>0</v>
      </c>
      <c r="AY20" s="431">
        <f>(AM23*0.369)+(AN23*1)</f>
        <v>0</v>
      </c>
      <c r="AZ20" s="434">
        <f>(0.5*AN23+0.3*AO23)/10</f>
        <v>1.9999999999999983E-2</v>
      </c>
      <c r="BA20" s="434">
        <f>(0.4*AJ23+0.3*AO23)/10</f>
        <v>1.9999999999999983E-2</v>
      </c>
      <c r="BB20" s="433">
        <f>((AC23+1)+(AF23+1)*2)/8</f>
        <v>3.6274999999999999</v>
      </c>
      <c r="BC20" s="433">
        <f>((AJ23)+(AM23)*2)/8</f>
        <v>0</v>
      </c>
      <c r="BE20" s="426" t="s">
        <v>648</v>
      </c>
      <c r="BF20" s="260" t="str">
        <f>D7</f>
        <v>D. Toh</v>
      </c>
      <c r="BG20" s="431">
        <f>AJ7*0.754</f>
        <v>0</v>
      </c>
      <c r="BH20" s="431">
        <v>0</v>
      </c>
      <c r="BI20" s="431">
        <f>AJ7*0.708</f>
        <v>0</v>
      </c>
      <c r="BJ20" s="431">
        <f>AK7*0.165</f>
        <v>0</v>
      </c>
      <c r="BK20" s="431">
        <f>AL7*0.286</f>
        <v>0</v>
      </c>
      <c r="BL20" s="431">
        <v>0</v>
      </c>
      <c r="BM20" s="431">
        <v>0</v>
      </c>
      <c r="BN20" s="434">
        <f>BN6</f>
        <v>1.1999999999999957E-2</v>
      </c>
      <c r="BO20" s="434">
        <f>BO6</f>
        <v>1.1999999999999957E-2</v>
      </c>
      <c r="BP20" s="433">
        <f>((AC7+1)+(AF7+1)*2)/8</f>
        <v>3.6744444444444446</v>
      </c>
      <c r="BQ20" s="433">
        <f>((AJ7)+(AM7)*2)/8</f>
        <v>0</v>
      </c>
    </row>
    <row r="21" spans="1:69" s="259" customFormat="1" x14ac:dyDescent="0.25">
      <c r="A21" s="384" t="s">
        <v>484</v>
      </c>
      <c r="B21" s="384" t="s">
        <v>66</v>
      </c>
      <c r="C21" s="385">
        <f t="shared" ca="1" si="11"/>
        <v>-8.0357142857142863E-2</v>
      </c>
      <c r="D21" s="386" t="s">
        <v>287</v>
      </c>
      <c r="E21" s="387">
        <f>PLANTILLA!E21</f>
        <v>33</v>
      </c>
      <c r="F21" s="387">
        <f ca="1">PLANTILLA!F21</f>
        <v>9</v>
      </c>
      <c r="G21" s="388" t="s">
        <v>296</v>
      </c>
      <c r="H21" s="371">
        <v>4</v>
      </c>
      <c r="I21" s="308">
        <f>PLANTILLA!I21</f>
        <v>13</v>
      </c>
      <c r="J21" s="485">
        <f>PLANTILLA!X21</f>
        <v>0</v>
      </c>
      <c r="K21" s="485">
        <f>PLANTILLA!Y21</f>
        <v>6.8376190476190493</v>
      </c>
      <c r="L21" s="485">
        <f>PLANTILLA!Z21</f>
        <v>9</v>
      </c>
      <c r="M21" s="485">
        <f>PLANTILLA!AA21</f>
        <v>8.7399999999999967</v>
      </c>
      <c r="N21" s="485">
        <f>PLANTILLA!AB21</f>
        <v>9.9499999999999993</v>
      </c>
      <c r="O21" s="485">
        <f>PLANTILLA!AC21</f>
        <v>7.95</v>
      </c>
      <c r="P21" s="485">
        <f>PLANTILLA!AD21</f>
        <v>18.999999999999993</v>
      </c>
      <c r="Q21" s="410">
        <f t="shared" si="4"/>
        <v>33</v>
      </c>
      <c r="R21" s="411">
        <f t="shared" ca="1" si="5"/>
        <v>16</v>
      </c>
      <c r="S21" s="180"/>
      <c r="T21" s="180"/>
      <c r="U21" s="180"/>
      <c r="V21" s="180"/>
      <c r="W21" s="180"/>
      <c r="X21" s="180"/>
      <c r="Y21" s="180"/>
      <c r="Z21" s="180"/>
      <c r="AA21" s="296">
        <f t="shared" si="6"/>
        <v>13</v>
      </c>
      <c r="AB21" s="505">
        <f t="shared" si="20"/>
        <v>0</v>
      </c>
      <c r="AC21" s="505">
        <f>K21+(T$2/32)</f>
        <v>6.8376190476190493</v>
      </c>
      <c r="AD21" s="505">
        <f>L21+(U$2/7)</f>
        <v>9</v>
      </c>
      <c r="AE21" s="505">
        <f>M21+(V$2/25)</f>
        <v>8.7399999999999967</v>
      </c>
      <c r="AF21" s="505">
        <f>N21+(W$2/8)</f>
        <v>9.9499999999999993</v>
      </c>
      <c r="AG21" s="505">
        <f>O21+(X$2/6)+(Y$2/5)/2</f>
        <v>7.95</v>
      </c>
      <c r="AH21" s="505">
        <f>P21+(Z$2/2)+(Y$2/10)</f>
        <v>19.499999999999993</v>
      </c>
      <c r="AI21" s="423">
        <f t="shared" si="12"/>
        <v>0</v>
      </c>
      <c r="AJ21" s="423">
        <f t="shared" si="13"/>
        <v>0</v>
      </c>
      <c r="AK21" s="423">
        <f t="shared" si="14"/>
        <v>0</v>
      </c>
      <c r="AL21" s="423">
        <f t="shared" si="15"/>
        <v>0</v>
      </c>
      <c r="AM21" s="423">
        <f t="shared" si="16"/>
        <v>0</v>
      </c>
      <c r="AN21" s="423">
        <f t="shared" si="17"/>
        <v>0</v>
      </c>
      <c r="AO21" s="423">
        <f t="shared" si="18"/>
        <v>0.5</v>
      </c>
      <c r="AQ21" s="426" t="s">
        <v>569</v>
      </c>
      <c r="AR21" s="260" t="str">
        <f>D8</f>
        <v>E. Toney</v>
      </c>
      <c r="AS21" s="431">
        <v>0</v>
      </c>
      <c r="AT21" s="431">
        <f>AJ17*0.919</f>
        <v>0</v>
      </c>
      <c r="AU21" s="431">
        <f>AJ8*0.414</f>
        <v>0</v>
      </c>
      <c r="AV21" s="431">
        <f>AK8*0.167</f>
        <v>0</v>
      </c>
      <c r="AW21" s="431">
        <v>0</v>
      </c>
      <c r="AX21" s="431">
        <f>AL8*0.588</f>
        <v>0</v>
      </c>
      <c r="AY21" s="431">
        <v>0</v>
      </c>
      <c r="AZ21" s="434">
        <f>AZ5</f>
        <v>0.03</v>
      </c>
      <c r="BA21" s="434">
        <f>BA5</f>
        <v>0.03</v>
      </c>
      <c r="BB21" s="434">
        <f>BB5</f>
        <v>4.5175000000000001</v>
      </c>
      <c r="BC21" s="434">
        <f>BC5</f>
        <v>0</v>
      </c>
      <c r="BE21" s="426" t="s">
        <v>601</v>
      </c>
      <c r="BF21" s="260" t="str">
        <f>D16</f>
        <v>E. Gross</v>
      </c>
      <c r="BG21" s="431">
        <f t="shared" ref="BG21:BM21" si="39">AS6</f>
        <v>0</v>
      </c>
      <c r="BH21" s="431">
        <f t="shared" si="39"/>
        <v>0</v>
      </c>
      <c r="BI21" s="431">
        <f t="shared" si="39"/>
        <v>0</v>
      </c>
      <c r="BJ21" s="431">
        <f t="shared" si="39"/>
        <v>0</v>
      </c>
      <c r="BK21" s="431">
        <f t="shared" si="39"/>
        <v>0</v>
      </c>
      <c r="BL21" s="431">
        <f t="shared" si="39"/>
        <v>0</v>
      </c>
      <c r="BM21" s="431">
        <f t="shared" si="39"/>
        <v>0</v>
      </c>
      <c r="BN21" s="434">
        <f t="shared" ref="BN21" si="40">AZ6</f>
        <v>1.1999999999999957E-2</v>
      </c>
      <c r="BO21" s="434">
        <f t="shared" ref="BO21:BQ22" si="41">BA6</f>
        <v>1.1999999999999957E-2</v>
      </c>
      <c r="BP21" s="433">
        <f t="shared" si="41"/>
        <v>4.0037499999999993</v>
      </c>
      <c r="BQ21" s="433">
        <f t="shared" si="41"/>
        <v>0</v>
      </c>
    </row>
    <row r="22" spans="1:69" s="254" customFormat="1" x14ac:dyDescent="0.25">
      <c r="A22" s="384" t="s">
        <v>495</v>
      </c>
      <c r="B22" s="384" t="s">
        <v>66</v>
      </c>
      <c r="C22" s="385">
        <f t="shared" ca="1" si="11"/>
        <v>-0.6964285714285714</v>
      </c>
      <c r="D22" s="386" t="str">
        <f>PLANTILLA!D22</f>
        <v>L. Calosso</v>
      </c>
      <c r="E22" s="387">
        <f>PLANTILLA!E22</f>
        <v>33</v>
      </c>
      <c r="F22" s="387">
        <f ca="1">PLANTILLA!F22</f>
        <v>78</v>
      </c>
      <c r="G22" s="388"/>
      <c r="H22" s="371">
        <v>4</v>
      </c>
      <c r="I22" s="308">
        <f>PLANTILLA!I22</f>
        <v>13.3</v>
      </c>
      <c r="J22" s="485">
        <f>PLANTILLA!X22</f>
        <v>0</v>
      </c>
      <c r="K22" s="485">
        <f>PLANTILLA!Y22</f>
        <v>2.95</v>
      </c>
      <c r="L22" s="485">
        <f>PLANTILLA!Z22</f>
        <v>13.95</v>
      </c>
      <c r="M22" s="485">
        <f>PLANTILLA!AA22</f>
        <v>3.04</v>
      </c>
      <c r="N22" s="485">
        <f>PLANTILLA!AB22</f>
        <v>15.02</v>
      </c>
      <c r="O22" s="485">
        <f>PLANTILLA!AC22</f>
        <v>9.9499999999999993</v>
      </c>
      <c r="P22" s="485">
        <f>PLANTILLA!AD22</f>
        <v>11.25</v>
      </c>
      <c r="Q22" s="410">
        <f t="shared" si="4"/>
        <v>33</v>
      </c>
      <c r="R22" s="411">
        <f t="shared" ca="1" si="5"/>
        <v>85</v>
      </c>
      <c r="S22" s="180"/>
      <c r="T22" s="180"/>
      <c r="U22" s="180"/>
      <c r="V22" s="180"/>
      <c r="W22" s="180"/>
      <c r="X22" s="180"/>
      <c r="Y22" s="180"/>
      <c r="Z22" s="180"/>
      <c r="AA22" s="296">
        <f t="shared" si="6"/>
        <v>13.3</v>
      </c>
      <c r="AB22" s="505">
        <f t="shared" si="20"/>
        <v>0</v>
      </c>
      <c r="AC22" s="505">
        <f>K22+(T$2/21)</f>
        <v>2.95</v>
      </c>
      <c r="AD22" s="505">
        <f>L22+(U$2/21)</f>
        <v>13.95</v>
      </c>
      <c r="AE22" s="505">
        <f>M22+(V$2/22)</f>
        <v>3.04</v>
      </c>
      <c r="AF22" s="505">
        <f>N22+(W$2/17)</f>
        <v>15.02</v>
      </c>
      <c r="AG22" s="505">
        <f>O22+(X$2/25)+(Y$2/8)</f>
        <v>9.9499999999999993</v>
      </c>
      <c r="AH22" s="505">
        <f>P22+(Z$2/1)+(Y$2/10)</f>
        <v>12.25</v>
      </c>
      <c r="AI22" s="423">
        <f t="shared" si="12"/>
        <v>0</v>
      </c>
      <c r="AJ22" s="423">
        <f t="shared" si="13"/>
        <v>0</v>
      </c>
      <c r="AK22" s="423">
        <f t="shared" si="14"/>
        <v>0</v>
      </c>
      <c r="AL22" s="423">
        <f t="shared" si="15"/>
        <v>0</v>
      </c>
      <c r="AM22" s="423">
        <f t="shared" si="16"/>
        <v>0</v>
      </c>
      <c r="AN22" s="423">
        <f t="shared" si="17"/>
        <v>0</v>
      </c>
      <c r="AO22" s="423">
        <f t="shared" si="18"/>
        <v>1</v>
      </c>
      <c r="AQ22" s="528" t="s">
        <v>649</v>
      </c>
      <c r="AR22" s="304" t="str">
        <f>AR8</f>
        <v>E.Romweber</v>
      </c>
      <c r="AS22" s="429">
        <f>AS8</f>
        <v>0</v>
      </c>
      <c r="AT22" s="429">
        <f t="shared" ref="AT22:AY22" si="42">AT8</f>
        <v>0</v>
      </c>
      <c r="AU22" s="429">
        <f t="shared" si="42"/>
        <v>0</v>
      </c>
      <c r="AV22" s="429">
        <f t="shared" si="42"/>
        <v>0</v>
      </c>
      <c r="AW22" s="429">
        <f>AW8</f>
        <v>0</v>
      </c>
      <c r="AX22" s="429">
        <f t="shared" si="42"/>
        <v>0</v>
      </c>
      <c r="AY22" s="429">
        <f t="shared" si="42"/>
        <v>0</v>
      </c>
      <c r="AZ22" s="432">
        <f>AZ8</f>
        <v>1.1999999999999957E-2</v>
      </c>
      <c r="BA22" s="432">
        <f t="shared" ref="BA22:BC22" si="43">BA8</f>
        <v>1.1999999999999957E-2</v>
      </c>
      <c r="BB22" s="432">
        <f t="shared" si="43"/>
        <v>0</v>
      </c>
      <c r="BC22" s="432">
        <f t="shared" si="43"/>
        <v>0</v>
      </c>
      <c r="BE22" s="426" t="s">
        <v>648</v>
      </c>
      <c r="BF22" s="304" t="str">
        <f>D9</f>
        <v>B. Bartolache</v>
      </c>
      <c r="BG22" s="429">
        <v>0</v>
      </c>
      <c r="BH22" s="429">
        <f>AJ9*0.754</f>
        <v>0</v>
      </c>
      <c r="BI22" s="429">
        <f>AJ9*0.708</f>
        <v>0</v>
      </c>
      <c r="BJ22" s="429">
        <f>AK9*0.165</f>
        <v>0</v>
      </c>
      <c r="BK22" s="429">
        <v>0</v>
      </c>
      <c r="BL22" s="429">
        <f>AL9*0.286</f>
        <v>0</v>
      </c>
      <c r="BM22" s="429">
        <v>0</v>
      </c>
      <c r="BN22" s="432">
        <f>AZ7</f>
        <v>1.1999999999999957E-2</v>
      </c>
      <c r="BO22" s="432">
        <f t="shared" si="41"/>
        <v>1.1999999999999957E-2</v>
      </c>
      <c r="BP22" s="432">
        <f t="shared" si="41"/>
        <v>4.3000000000000007</v>
      </c>
      <c r="BQ22" s="432">
        <f t="shared" si="41"/>
        <v>0</v>
      </c>
    </row>
    <row r="23" spans="1:69" s="264" customFormat="1" x14ac:dyDescent="0.25">
      <c r="A23" s="384" t="s">
        <v>540</v>
      </c>
      <c r="B23" s="384" t="s">
        <v>66</v>
      </c>
      <c r="C23" s="261">
        <f t="shared" ca="1" si="11"/>
        <v>2.6428571428571428</v>
      </c>
      <c r="D23" s="294" t="s">
        <v>541</v>
      </c>
      <c r="E23" s="387">
        <f>PLANTILLA!E23</f>
        <v>30</v>
      </c>
      <c r="F23" s="387">
        <f ca="1">PLANTILLA!F23</f>
        <v>40</v>
      </c>
      <c r="G23" s="388"/>
      <c r="H23" s="395">
        <v>6</v>
      </c>
      <c r="I23" s="308">
        <f>PLANTILLA!I23</f>
        <v>6.1</v>
      </c>
      <c r="J23" s="485">
        <f>PLANTILLA!X23</f>
        <v>0</v>
      </c>
      <c r="K23" s="485">
        <f>PLANTILLA!Y23</f>
        <v>4.0199999999999996</v>
      </c>
      <c r="L23" s="485">
        <f>PLANTILLA!Z23</f>
        <v>6</v>
      </c>
      <c r="M23" s="485">
        <f>PLANTILLA!AA23</f>
        <v>5.5099999999999989</v>
      </c>
      <c r="N23" s="485">
        <f>PLANTILLA!AB23</f>
        <v>11</v>
      </c>
      <c r="O23" s="485">
        <f>PLANTILLA!AC23</f>
        <v>8.384500000000001</v>
      </c>
      <c r="P23" s="485">
        <f>PLANTILLA!AD23</f>
        <v>13.566666666666668</v>
      </c>
      <c r="Q23" s="410">
        <f t="shared" si="4"/>
        <v>30</v>
      </c>
      <c r="R23" s="411">
        <f t="shared" ca="1" si="5"/>
        <v>47</v>
      </c>
      <c r="S23" s="180"/>
      <c r="T23" s="180"/>
      <c r="U23" s="180"/>
      <c r="V23" s="180"/>
      <c r="W23" s="180"/>
      <c r="X23" s="180"/>
      <c r="Y23" s="180"/>
      <c r="Z23" s="180"/>
      <c r="AA23" s="296">
        <f t="shared" si="6"/>
        <v>6.1</v>
      </c>
      <c r="AB23" s="505">
        <f t="shared" si="20"/>
        <v>0</v>
      </c>
      <c r="AC23" s="505">
        <f>K23+(T$2/20)</f>
        <v>4.0199999999999996</v>
      </c>
      <c r="AD23" s="505">
        <f>L23+(U$2/27)</f>
        <v>6</v>
      </c>
      <c r="AE23" s="505">
        <f>M23+(V$2/21)</f>
        <v>5.5099999999999989</v>
      </c>
      <c r="AF23" s="505">
        <f>N23+(W$2/8)</f>
        <v>11</v>
      </c>
      <c r="AG23" s="505">
        <f>O23+(X$2/5)+(Y$2/5)/2</f>
        <v>8.384500000000001</v>
      </c>
      <c r="AH23" s="505">
        <f>P23+(Z$2/1.5)+(Y$2/10)</f>
        <v>14.233333333333334</v>
      </c>
      <c r="AI23" s="423">
        <f t="shared" si="12"/>
        <v>0</v>
      </c>
      <c r="AJ23" s="423">
        <f t="shared" si="13"/>
        <v>0</v>
      </c>
      <c r="AK23" s="423">
        <f t="shared" si="14"/>
        <v>0</v>
      </c>
      <c r="AL23" s="423">
        <f t="shared" si="15"/>
        <v>0</v>
      </c>
      <c r="AM23" s="423">
        <f t="shared" si="16"/>
        <v>0</v>
      </c>
      <c r="AN23" s="423">
        <f t="shared" si="17"/>
        <v>0</v>
      </c>
      <c r="AO23" s="423">
        <f t="shared" si="18"/>
        <v>0.66666666666666607</v>
      </c>
      <c r="AQ23" s="426" t="s">
        <v>503</v>
      </c>
      <c r="AR23" s="260" t="str">
        <f>D14</f>
        <v>S. Buscleman</v>
      </c>
      <c r="AS23" s="431">
        <f t="shared" ref="AS23:AS28" si="44">AS9</f>
        <v>0</v>
      </c>
      <c r="AT23" s="431">
        <f t="shared" ref="AT23:BC23" si="45">AT9</f>
        <v>0</v>
      </c>
      <c r="AU23" s="431">
        <f t="shared" si="45"/>
        <v>0</v>
      </c>
      <c r="AV23" s="431">
        <f t="shared" si="45"/>
        <v>0</v>
      </c>
      <c r="AW23" s="431">
        <f t="shared" si="45"/>
        <v>0</v>
      </c>
      <c r="AX23" s="431">
        <f t="shared" si="45"/>
        <v>0</v>
      </c>
      <c r="AY23" s="431">
        <f t="shared" si="45"/>
        <v>0</v>
      </c>
      <c r="AZ23" s="434">
        <f t="shared" si="45"/>
        <v>0.03</v>
      </c>
      <c r="BA23" s="434">
        <f t="shared" si="45"/>
        <v>0.03</v>
      </c>
      <c r="BB23" s="434">
        <f t="shared" si="45"/>
        <v>0</v>
      </c>
      <c r="BC23" s="434">
        <f t="shared" si="45"/>
        <v>0</v>
      </c>
      <c r="BE23" s="426" t="s">
        <v>569</v>
      </c>
      <c r="BF23" s="260" t="str">
        <f>D11</f>
        <v>E.Romweber</v>
      </c>
      <c r="BG23" s="431">
        <v>0</v>
      </c>
      <c r="BH23" s="431">
        <f>AJ11*0.919</f>
        <v>0</v>
      </c>
      <c r="BI23" s="431">
        <f>AJ11*0.414</f>
        <v>0</v>
      </c>
      <c r="BJ23" s="431">
        <f>AK11*0.167</f>
        <v>0</v>
      </c>
      <c r="BK23" s="431">
        <v>0</v>
      </c>
      <c r="BL23" s="431">
        <f>AL11*0.588</f>
        <v>0</v>
      </c>
      <c r="BM23" s="431">
        <v>0</v>
      </c>
      <c r="BN23" s="434">
        <f>AZ8</f>
        <v>1.1999999999999957E-2</v>
      </c>
      <c r="BO23" s="434">
        <f>BA8</f>
        <v>1.1999999999999957E-2</v>
      </c>
      <c r="BP23" s="434">
        <f>((AC11+1)+(AF11+1)*2)/8</f>
        <v>4.6062499999999993</v>
      </c>
      <c r="BQ23" s="434">
        <f>((AJ11)+(AM11)*2)/8</f>
        <v>0</v>
      </c>
    </row>
    <row r="24" spans="1:69" s="248" customFormat="1" x14ac:dyDescent="0.25">
      <c r="A24"/>
      <c r="B24"/>
      <c r="C24" s="218"/>
      <c r="D24" s="179"/>
      <c r="E24"/>
      <c r="F24"/>
      <c r="G24" s="421"/>
      <c r="H24" s="4"/>
      <c r="I24"/>
      <c r="J24" s="156"/>
      <c r="K24"/>
      <c r="L24"/>
      <c r="M24"/>
      <c r="N24"/>
      <c r="O24"/>
      <c r="P24"/>
      <c r="Q24" s="451"/>
      <c r="R24" s="451"/>
      <c r="S24" s="341">
        <f t="shared" ref="S24:Z24" si="46">SUM(S21:S23)</f>
        <v>0</v>
      </c>
      <c r="T24" s="341">
        <f t="shared" si="46"/>
        <v>0</v>
      </c>
      <c r="U24" s="341">
        <f t="shared" si="46"/>
        <v>0</v>
      </c>
      <c r="V24" s="341">
        <f t="shared" si="46"/>
        <v>0</v>
      </c>
      <c r="W24" s="341">
        <f t="shared" si="46"/>
        <v>0</v>
      </c>
      <c r="X24" s="341">
        <f t="shared" si="46"/>
        <v>0</v>
      </c>
      <c r="Y24" s="341"/>
      <c r="Z24" s="341">
        <f t="shared" si="46"/>
        <v>0</v>
      </c>
      <c r="AA24" s="421"/>
      <c r="AB24" s="421"/>
      <c r="AC24" s="421"/>
      <c r="AD24" s="421"/>
      <c r="AE24" s="421"/>
      <c r="AF24" s="421"/>
      <c r="AG24" s="421"/>
      <c r="AH24" s="421"/>
      <c r="AI24"/>
      <c r="AJ24"/>
      <c r="AK24"/>
      <c r="AL24"/>
      <c r="AM24"/>
      <c r="AN24"/>
      <c r="AO24"/>
      <c r="AQ24" s="426" t="s">
        <v>651</v>
      </c>
      <c r="AR24" s="260" t="str">
        <f>AR10</f>
        <v>L. Bauman</v>
      </c>
      <c r="AS24" s="431">
        <f t="shared" si="44"/>
        <v>0</v>
      </c>
      <c r="AT24" s="431">
        <f t="shared" ref="AT24:AY24" si="47">AT10</f>
        <v>0</v>
      </c>
      <c r="AU24" s="431">
        <f t="shared" si="47"/>
        <v>0</v>
      </c>
      <c r="AV24" s="431">
        <f t="shared" si="47"/>
        <v>0</v>
      </c>
      <c r="AW24" s="431">
        <f t="shared" si="47"/>
        <v>0</v>
      </c>
      <c r="AX24" s="431">
        <f t="shared" si="47"/>
        <v>0</v>
      </c>
      <c r="AY24" s="431">
        <f t="shared" si="47"/>
        <v>0</v>
      </c>
      <c r="AZ24" s="434">
        <f>AZ10</f>
        <v>1.1999999999999957E-2</v>
      </c>
      <c r="BA24" s="434">
        <f t="shared" ref="BA24:BC24" si="48">BA10</f>
        <v>1.1999999999999957E-2</v>
      </c>
      <c r="BB24" s="434">
        <f t="shared" si="48"/>
        <v>0</v>
      </c>
      <c r="BC24" s="434">
        <f t="shared" si="48"/>
        <v>0</v>
      </c>
      <c r="BE24" s="529" t="s">
        <v>650</v>
      </c>
      <c r="BF24" s="260" t="str">
        <f>D12</f>
        <v>K. Helms</v>
      </c>
      <c r="BG24" s="429">
        <f>AT12</f>
        <v>0</v>
      </c>
      <c r="BH24" s="429">
        <f>AS12</f>
        <v>0</v>
      </c>
      <c r="BI24" s="429">
        <f>AU12</f>
        <v>0</v>
      </c>
      <c r="BJ24" s="429">
        <f>AV12</f>
        <v>0</v>
      </c>
      <c r="BK24" s="429">
        <f>AX12</f>
        <v>0</v>
      </c>
      <c r="BL24" s="429">
        <v>0</v>
      </c>
      <c r="BM24" s="429">
        <f>AY12</f>
        <v>0</v>
      </c>
      <c r="BN24" s="432">
        <f>AZ12</f>
        <v>1.1999999999999957E-2</v>
      </c>
      <c r="BO24" s="432">
        <f t="shared" ref="BO24:BQ24" si="49">BA12</f>
        <v>1.1999999999999957E-2</v>
      </c>
      <c r="BP24" s="432">
        <f t="shared" si="49"/>
        <v>0</v>
      </c>
      <c r="BQ24" s="432">
        <f t="shared" si="49"/>
        <v>0</v>
      </c>
    </row>
    <row r="25" spans="1:69" s="246" customFormat="1" x14ac:dyDescent="0.25">
      <c r="A25"/>
      <c r="B25"/>
      <c r="C25" s="218"/>
      <c r="D25" s="179"/>
      <c r="E25"/>
      <c r="F25"/>
      <c r="G25" s="421"/>
      <c r="H25" s="4"/>
      <c r="I25"/>
      <c r="J25" s="156"/>
      <c r="K25"/>
      <c r="L25"/>
      <c r="M25"/>
      <c r="N25"/>
      <c r="O25"/>
      <c r="P25"/>
      <c r="Q25" s="451"/>
      <c r="R25" s="451"/>
      <c r="S25" s="421"/>
      <c r="T25" s="421"/>
      <c r="U25" s="421"/>
      <c r="V25" s="421"/>
      <c r="W25" s="421"/>
      <c r="X25" s="421"/>
      <c r="Y25" s="527"/>
      <c r="Z25" s="421"/>
      <c r="AA25" s="421"/>
      <c r="AB25" s="421"/>
      <c r="AC25" s="421"/>
      <c r="AD25" s="421"/>
      <c r="AE25" s="421"/>
      <c r="AF25" s="421"/>
      <c r="AG25" s="421"/>
      <c r="AH25" s="421"/>
      <c r="AI25"/>
      <c r="AJ25"/>
      <c r="AK25"/>
      <c r="AL25"/>
      <c r="AM25"/>
      <c r="AN25"/>
      <c r="AO25"/>
      <c r="AQ25" s="426" t="s">
        <v>503</v>
      </c>
      <c r="AR25" s="260" t="str">
        <f>D15</f>
        <v>C. Rojas</v>
      </c>
      <c r="AS25" s="431">
        <f t="shared" si="44"/>
        <v>0</v>
      </c>
      <c r="AT25" s="431">
        <f t="shared" ref="AT25:BC25" si="50">AT11</f>
        <v>0</v>
      </c>
      <c r="AU25" s="431">
        <f t="shared" si="50"/>
        <v>0</v>
      </c>
      <c r="AV25" s="431">
        <f t="shared" si="50"/>
        <v>0</v>
      </c>
      <c r="AW25" s="431">
        <f t="shared" si="50"/>
        <v>0</v>
      </c>
      <c r="AX25" s="431">
        <f t="shared" si="50"/>
        <v>0</v>
      </c>
      <c r="AY25" s="431">
        <f t="shared" si="50"/>
        <v>0</v>
      </c>
      <c r="AZ25" s="434">
        <f t="shared" si="50"/>
        <v>1.4999999999999999E-2</v>
      </c>
      <c r="BA25" s="434">
        <f t="shared" si="50"/>
        <v>1.4999999999999999E-2</v>
      </c>
      <c r="BB25" s="434">
        <f t="shared" si="50"/>
        <v>0</v>
      </c>
      <c r="BC25" s="434">
        <f t="shared" si="50"/>
        <v>0</v>
      </c>
      <c r="BE25" s="426" t="s">
        <v>503</v>
      </c>
      <c r="BF25" s="260" t="str">
        <f>D14</f>
        <v>S. Buscleman</v>
      </c>
      <c r="BG25" s="431">
        <f t="shared" ref="BG25:BM25" si="51">AS9</f>
        <v>0</v>
      </c>
      <c r="BH25" s="431">
        <f t="shared" si="51"/>
        <v>0</v>
      </c>
      <c r="BI25" s="431">
        <f t="shared" si="51"/>
        <v>0</v>
      </c>
      <c r="BJ25" s="431">
        <f t="shared" si="51"/>
        <v>0</v>
      </c>
      <c r="BK25" s="431">
        <f t="shared" si="51"/>
        <v>0</v>
      </c>
      <c r="BL25" s="431">
        <f t="shared" si="51"/>
        <v>0</v>
      </c>
      <c r="BM25" s="431">
        <f t="shared" si="51"/>
        <v>0</v>
      </c>
      <c r="BN25" s="434">
        <f t="shared" ref="BN25" si="52">AZ9</f>
        <v>0.03</v>
      </c>
      <c r="BO25" s="434">
        <f>BA9</f>
        <v>0.03</v>
      </c>
      <c r="BP25" s="434">
        <f>BB9</f>
        <v>0</v>
      </c>
      <c r="BQ25" s="434">
        <f>BC9</f>
        <v>0</v>
      </c>
    </row>
    <row r="26" spans="1:69" s="264" customFormat="1" ht="14.25" customHeight="1" x14ac:dyDescent="0.25">
      <c r="A26"/>
      <c r="B26"/>
      <c r="C26" s="218"/>
      <c r="D26" s="179"/>
      <c r="E26"/>
      <c r="F26"/>
      <c r="G26" s="421"/>
      <c r="H26" s="4"/>
      <c r="I26"/>
      <c r="J26" s="156"/>
      <c r="K26"/>
      <c r="L26"/>
      <c r="M26"/>
      <c r="N26"/>
      <c r="O26"/>
      <c r="P26"/>
      <c r="Q26" s="451"/>
      <c r="R26" s="451"/>
      <c r="S26" s="421"/>
      <c r="T26" s="421"/>
      <c r="U26" s="421"/>
      <c r="V26" s="421"/>
      <c r="W26" s="421"/>
      <c r="X26" s="421"/>
      <c r="Y26" s="527"/>
      <c r="Z26" s="421"/>
      <c r="AA26" s="421"/>
      <c r="AB26" s="421"/>
      <c r="AC26" s="421"/>
      <c r="AD26" s="421"/>
      <c r="AE26" s="421"/>
      <c r="AF26" s="421"/>
      <c r="AG26" s="421"/>
      <c r="AH26" s="421"/>
      <c r="AI26"/>
      <c r="AJ26"/>
      <c r="AK26"/>
      <c r="AL26"/>
      <c r="AM26"/>
      <c r="AN26"/>
      <c r="AO26"/>
      <c r="AQ26" s="529" t="s">
        <v>650</v>
      </c>
      <c r="AR26" s="260" t="str">
        <f>AR12</f>
        <v>K. Helms</v>
      </c>
      <c r="AS26" s="431">
        <f t="shared" si="44"/>
        <v>0</v>
      </c>
      <c r="AT26" s="431">
        <f t="shared" ref="AT26:AY26" si="53">AT12</f>
        <v>0</v>
      </c>
      <c r="AU26" s="431">
        <f t="shared" si="53"/>
        <v>0</v>
      </c>
      <c r="AV26" s="431">
        <f t="shared" si="53"/>
        <v>0</v>
      </c>
      <c r="AW26" s="431">
        <f t="shared" si="53"/>
        <v>0</v>
      </c>
      <c r="AX26" s="431">
        <f t="shared" si="53"/>
        <v>0</v>
      </c>
      <c r="AY26" s="431">
        <f t="shared" si="53"/>
        <v>0</v>
      </c>
      <c r="AZ26" s="434">
        <f>AZ12</f>
        <v>1.1999999999999957E-2</v>
      </c>
      <c r="BA26" s="434">
        <f t="shared" ref="BA26:BC26" si="54">BA12</f>
        <v>1.1999999999999957E-2</v>
      </c>
      <c r="BB26" s="434">
        <f t="shared" si="54"/>
        <v>0</v>
      </c>
      <c r="BC26" s="434">
        <f t="shared" si="54"/>
        <v>0</v>
      </c>
      <c r="BE26" s="426" t="s">
        <v>503</v>
      </c>
      <c r="BF26" s="260" t="str">
        <f>D15</f>
        <v>C. Rojas</v>
      </c>
      <c r="BG26" s="431">
        <f t="shared" ref="BG26:BM26" si="55">AS11</f>
        <v>0</v>
      </c>
      <c r="BH26" s="431">
        <f t="shared" si="55"/>
        <v>0</v>
      </c>
      <c r="BI26" s="431">
        <f t="shared" si="55"/>
        <v>0</v>
      </c>
      <c r="BJ26" s="431">
        <f t="shared" si="55"/>
        <v>0</v>
      </c>
      <c r="BK26" s="431">
        <f t="shared" si="55"/>
        <v>0</v>
      </c>
      <c r="BL26" s="431">
        <f t="shared" si="55"/>
        <v>0</v>
      </c>
      <c r="BM26" s="431">
        <f t="shared" si="55"/>
        <v>0</v>
      </c>
      <c r="BN26" s="434">
        <f t="shared" ref="BN26" si="56">AZ11</f>
        <v>1.4999999999999999E-2</v>
      </c>
      <c r="BO26" s="434">
        <f>BA11</f>
        <v>1.4999999999999999E-2</v>
      </c>
      <c r="BP26" s="434">
        <f>BB11</f>
        <v>0</v>
      </c>
      <c r="BQ26" s="434">
        <f>BC11</f>
        <v>0</v>
      </c>
    </row>
    <row r="27" spans="1:69" x14ac:dyDescent="0.25">
      <c r="W27" s="421">
        <v>1</v>
      </c>
      <c r="AQ27" s="528" t="s">
        <v>66</v>
      </c>
      <c r="AR27" s="304" t="str">
        <f>D21</f>
        <v>J. Limon</v>
      </c>
      <c r="AS27" s="429">
        <f t="shared" si="44"/>
        <v>0</v>
      </c>
      <c r="AT27" s="429">
        <f t="shared" ref="AT27:BC27" si="57">AT13</f>
        <v>0</v>
      </c>
      <c r="AU27" s="429">
        <f t="shared" si="57"/>
        <v>0</v>
      </c>
      <c r="AV27" s="429">
        <f t="shared" si="57"/>
        <v>0</v>
      </c>
      <c r="AW27" s="429">
        <f t="shared" si="57"/>
        <v>0</v>
      </c>
      <c r="AX27" s="429">
        <f t="shared" si="57"/>
        <v>0</v>
      </c>
      <c r="AY27" s="429">
        <f t="shared" si="57"/>
        <v>0</v>
      </c>
      <c r="AZ27" s="553">
        <f t="shared" si="57"/>
        <v>0.06</v>
      </c>
      <c r="BA27" s="553">
        <f t="shared" si="57"/>
        <v>1.4999999999999999E-2</v>
      </c>
      <c r="BB27" s="432">
        <f t="shared" si="57"/>
        <v>0</v>
      </c>
      <c r="BC27" s="432">
        <f t="shared" si="57"/>
        <v>0</v>
      </c>
      <c r="BE27" s="528" t="s">
        <v>650</v>
      </c>
      <c r="BF27" s="304" t="str">
        <f>D13</f>
        <v>S. Zobbe</v>
      </c>
      <c r="BG27" s="431">
        <v>0</v>
      </c>
      <c r="BH27" s="431">
        <f>AJ13*0.18</f>
        <v>0</v>
      </c>
      <c r="BI27" s="431">
        <f>AJ13*0.068</f>
        <v>0</v>
      </c>
      <c r="BJ27" s="431">
        <f>AK13*0.305</f>
        <v>0</v>
      </c>
      <c r="BK27" s="431">
        <v>0</v>
      </c>
      <c r="BL27" s="431">
        <f>(AL13*1)+(AM13*0.286)</f>
        <v>0</v>
      </c>
      <c r="BM27" s="431">
        <f>AM13*0.135</f>
        <v>0</v>
      </c>
      <c r="BN27" s="434">
        <f>AZ14</f>
        <v>1.4999999999999999E-2</v>
      </c>
      <c r="BO27" s="434">
        <f t="shared" ref="BO27:BQ27" si="58">BA14</f>
        <v>1.4999999999999999E-2</v>
      </c>
      <c r="BP27" s="434">
        <f t="shared" si="58"/>
        <v>0</v>
      </c>
      <c r="BQ27" s="434">
        <f t="shared" si="58"/>
        <v>0</v>
      </c>
    </row>
    <row r="28" spans="1:69" x14ac:dyDescent="0.25">
      <c r="Q28" s="163"/>
      <c r="W28" s="421">
        <v>0.8</v>
      </c>
      <c r="AQ28" s="529" t="s">
        <v>66</v>
      </c>
      <c r="AR28" s="260" t="str">
        <f>AR14</f>
        <v>S. Zobbe</v>
      </c>
      <c r="AS28" s="431">
        <f t="shared" si="44"/>
        <v>0</v>
      </c>
      <c r="AT28" s="431">
        <f t="shared" ref="AT28:AY28" si="59">AT14</f>
        <v>0</v>
      </c>
      <c r="AU28" s="431">
        <f t="shared" si="59"/>
        <v>0</v>
      </c>
      <c r="AV28" s="431">
        <f t="shared" si="59"/>
        <v>0</v>
      </c>
      <c r="AW28" s="431">
        <f t="shared" si="59"/>
        <v>0</v>
      </c>
      <c r="AX28" s="431">
        <f t="shared" si="59"/>
        <v>0</v>
      </c>
      <c r="AY28" s="431">
        <f t="shared" si="59"/>
        <v>0</v>
      </c>
      <c r="AZ28" s="432">
        <f>AZ14</f>
        <v>1.4999999999999999E-2</v>
      </c>
      <c r="BA28" s="432">
        <f t="shared" ref="BA28:BC28" si="60">BA14</f>
        <v>1.4999999999999999E-2</v>
      </c>
      <c r="BB28" s="432">
        <f t="shared" si="60"/>
        <v>0</v>
      </c>
      <c r="BC28" s="432">
        <f t="shared" si="60"/>
        <v>0</v>
      </c>
      <c r="BE28" s="529" t="s">
        <v>66</v>
      </c>
      <c r="BF28" s="260" t="str">
        <f>D21</f>
        <v>J. Limon</v>
      </c>
      <c r="BG28" s="429">
        <f t="shared" ref="BG28:BM28" si="61">AS13</f>
        <v>0</v>
      </c>
      <c r="BH28" s="429">
        <f t="shared" si="61"/>
        <v>0</v>
      </c>
      <c r="BI28" s="429">
        <f t="shared" si="61"/>
        <v>0</v>
      </c>
      <c r="BJ28" s="429">
        <f t="shared" si="61"/>
        <v>0</v>
      </c>
      <c r="BK28" s="429">
        <f t="shared" si="61"/>
        <v>0</v>
      </c>
      <c r="BL28" s="429">
        <f t="shared" si="61"/>
        <v>0</v>
      </c>
      <c r="BM28" s="429">
        <f t="shared" si="61"/>
        <v>0</v>
      </c>
      <c r="BN28" s="553">
        <f t="shared" ref="BN28" si="62">AZ13</f>
        <v>0.06</v>
      </c>
      <c r="BO28" s="553">
        <f>BA13</f>
        <v>1.4999999999999999E-2</v>
      </c>
      <c r="BP28" s="432">
        <f>BB13</f>
        <v>0</v>
      </c>
      <c r="BQ28" s="432">
        <f>BC13</f>
        <v>0</v>
      </c>
    </row>
    <row r="29" spans="1:69" x14ac:dyDescent="0.25">
      <c r="K29">
        <v>0.8</v>
      </c>
      <c r="W29" s="421">
        <f>W27-W28</f>
        <v>0.19999999999999996</v>
      </c>
      <c r="X29" s="421">
        <v>3</v>
      </c>
      <c r="AB29" s="163"/>
      <c r="AC29" s="163"/>
      <c r="AD29" s="163"/>
      <c r="AE29" s="163"/>
      <c r="AF29" s="163"/>
      <c r="AG29" s="163"/>
      <c r="AH29" s="163"/>
      <c r="AQ29" s="427"/>
      <c r="AR29" s="428"/>
      <c r="AS29" s="428"/>
      <c r="AT29" s="428"/>
      <c r="AU29" s="428"/>
      <c r="AV29" s="428"/>
      <c r="AW29" s="428"/>
      <c r="AX29" s="428"/>
      <c r="AY29" s="428"/>
      <c r="AZ29" s="428"/>
      <c r="BA29" s="428"/>
      <c r="BB29" s="428"/>
      <c r="BC29" s="428"/>
    </row>
    <row r="30" spans="1:69" x14ac:dyDescent="0.25">
      <c r="K30">
        <f>1-K29</f>
        <v>0.19999999999999996</v>
      </c>
      <c r="W30" s="421">
        <v>1</v>
      </c>
      <c r="X30" s="421">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xr:uid="{00000000-0009-0000-0000-000009000000}"/>
  <mergeCells count="8">
    <mergeCell ref="E2:G2"/>
    <mergeCell ref="AQ1:BC1"/>
    <mergeCell ref="AQ3:AR3"/>
    <mergeCell ref="AQ17:AR17"/>
    <mergeCell ref="BE3:BF3"/>
    <mergeCell ref="BE17:BF17"/>
    <mergeCell ref="S1:U1"/>
    <mergeCell ref="W1:X1"/>
  </mergeCells>
  <conditionalFormatting sqref="AI4:AO23">
    <cfRule type="cellIs" dxfId="334" priority="91" operator="greaterThan">
      <formula>0</formula>
    </cfRule>
  </conditionalFormatting>
  <conditionalFormatting sqref="AS4:AY13 AS14:AU14">
    <cfRule type="cellIs" dxfId="33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32" priority="48" operator="lessThan">
      <formula>0.2</formula>
    </cfRule>
    <cfRule type="cellIs" dxfId="33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30" priority="42" operator="greaterThan">
      <formula>0</formula>
    </cfRule>
  </conditionalFormatting>
  <conditionalFormatting sqref="AS19:AY19 AS24:AY24 AS21:AY22 AV20:AW20 AY20">
    <cfRule type="cellIs" dxfId="329" priority="47" operator="greaterThan">
      <formula>0</formula>
    </cfRule>
  </conditionalFormatting>
  <conditionalFormatting sqref="BG6:BM7 BG12:BM13">
    <cfRule type="cellIs" dxfId="328" priority="45" operator="greaterThan">
      <formula>0</formula>
    </cfRule>
  </conditionalFormatting>
  <conditionalFormatting sqref="AS18:AY18">
    <cfRule type="cellIs" dxfId="327" priority="41" operator="greaterThan">
      <formula>0</formula>
    </cfRule>
  </conditionalFormatting>
  <conditionalFormatting sqref="BG20:BM20 BG22:BM22">
    <cfRule type="cellIs" dxfId="326" priority="43" operator="greaterThan">
      <formula>0</formula>
    </cfRule>
  </conditionalFormatting>
  <conditionalFormatting sqref="BG4:BM4">
    <cfRule type="cellIs" dxfId="325" priority="40" operator="greaterThan">
      <formula>0</formula>
    </cfRule>
  </conditionalFormatting>
  <conditionalFormatting sqref="BG18:BM18">
    <cfRule type="cellIs" dxfId="324" priority="39" operator="greaterThan">
      <formula>0</formula>
    </cfRule>
  </conditionalFormatting>
  <conditionalFormatting sqref="BG21:BM21">
    <cfRule type="cellIs" dxfId="323" priority="36" operator="greaterThan">
      <formula>0</formula>
    </cfRule>
  </conditionalFormatting>
  <conditionalFormatting sqref="BG19:BM19">
    <cfRule type="cellIs" dxfId="322" priority="37" operator="greaterThan">
      <formula>0</formula>
    </cfRule>
  </conditionalFormatting>
  <conditionalFormatting sqref="AS23:AY23">
    <cfRule type="cellIs" dxfId="321" priority="34" operator="greaterThan">
      <formula>0</formula>
    </cfRule>
  </conditionalFormatting>
  <conditionalFormatting sqref="BG9:BM9">
    <cfRule type="cellIs" dxfId="320" priority="33" operator="greaterThan">
      <formula>0</formula>
    </cfRule>
  </conditionalFormatting>
  <conditionalFormatting sqref="BG23:BM23">
    <cfRule type="cellIs" dxfId="319" priority="32" operator="greaterThan">
      <formula>0</formula>
    </cfRule>
  </conditionalFormatting>
  <conditionalFormatting sqref="BG10:BM10">
    <cfRule type="cellIs" dxfId="318" priority="31" operator="greaterThan">
      <formula>0</formula>
    </cfRule>
  </conditionalFormatting>
  <conditionalFormatting sqref="BG24:BM24">
    <cfRule type="cellIs" dxfId="317" priority="30" operator="greaterThan">
      <formula>0</formula>
    </cfRule>
  </conditionalFormatting>
  <conditionalFormatting sqref="AS25:AY25">
    <cfRule type="cellIs" dxfId="316" priority="29" operator="greaterThan">
      <formula>0</formula>
    </cfRule>
  </conditionalFormatting>
  <conditionalFormatting sqref="BG11:BM11">
    <cfRule type="cellIs" dxfId="315" priority="28" operator="greaterThan">
      <formula>0</formula>
    </cfRule>
  </conditionalFormatting>
  <conditionalFormatting sqref="AS26:AY26">
    <cfRule type="cellIs" dxfId="314" priority="26" operator="greaterThan">
      <formula>0</formula>
    </cfRule>
  </conditionalFormatting>
  <conditionalFormatting sqref="BG26:BM26">
    <cfRule type="cellIs" dxfId="313" priority="25" operator="greaterThan">
      <formula>0</formula>
    </cfRule>
  </conditionalFormatting>
  <conditionalFormatting sqref="AS27:AY27">
    <cfRule type="cellIs" dxfId="312" priority="24" operator="greaterThan">
      <formula>0</formula>
    </cfRule>
  </conditionalFormatting>
  <conditionalFormatting sqref="BG27:BM27">
    <cfRule type="cellIs" dxfId="311" priority="23" operator="greaterThan">
      <formula>0</formula>
    </cfRule>
  </conditionalFormatting>
  <conditionalFormatting sqref="AV14:AY14">
    <cfRule type="cellIs" dxfId="310" priority="22" operator="greaterThan">
      <formula>0</formula>
    </cfRule>
  </conditionalFormatting>
  <conditionalFormatting sqref="AS28:AY28">
    <cfRule type="cellIs" dxfId="309" priority="21" operator="greaterThan">
      <formula>0</formula>
    </cfRule>
  </conditionalFormatting>
  <conditionalFormatting sqref="BG14:BI14">
    <cfRule type="cellIs" dxfId="308" priority="19" operator="greaterThan">
      <formula>0</formula>
    </cfRule>
  </conditionalFormatting>
  <conditionalFormatting sqref="BG28:BM28">
    <cfRule type="cellIs" dxfId="307" priority="17" operator="greaterThan">
      <formula>0</formula>
    </cfRule>
  </conditionalFormatting>
  <conditionalFormatting sqref="BG25:BM25">
    <cfRule type="cellIs" dxfId="306" priority="16" operator="greaterThan">
      <formula>0</formula>
    </cfRule>
  </conditionalFormatting>
  <conditionalFormatting sqref="AS20:AU20">
    <cfRule type="cellIs" dxfId="305" priority="8" operator="greaterThan">
      <formula>0</formula>
    </cfRule>
  </conditionalFormatting>
  <conditionalFormatting sqref="AX20">
    <cfRule type="cellIs" dxfId="304" priority="7" operator="greaterThan">
      <formula>0</formula>
    </cfRule>
  </conditionalFormatting>
  <conditionalFormatting sqref="BJ14:BM14">
    <cfRule type="cellIs" dxfId="303" priority="6" operator="greaterThan">
      <formula>0</formula>
    </cfRule>
  </conditionalFormatting>
  <conditionalFormatting sqref="BG2:BM2">
    <cfRule type="cellIs" dxfId="302" priority="5" operator="greaterThan">
      <formula>0</formula>
    </cfRule>
  </conditionalFormatting>
  <conditionalFormatting sqref="AS2:AY2">
    <cfRule type="cellIs" dxfId="301" priority="4" operator="greaterThan">
      <formula>0</formula>
    </cfRule>
  </conditionalFormatting>
  <conditionalFormatting sqref="AS16:AY16">
    <cfRule type="cellIs" dxfId="300" priority="3" operator="greaterThan">
      <formula>0</formula>
    </cfRule>
  </conditionalFormatting>
  <conditionalFormatting sqref="J4:P23">
    <cfRule type="cellIs" dxfId="29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98" priority="1" operator="greaterThan">
      <formula>0</formula>
    </cfRule>
  </conditionalFormatting>
  <conditionalFormatting sqref="BG5:BM5">
    <cfRule type="cellIs" dxfId="29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27" customWidth="1"/>
    <col min="2" max="2" width="14.28515625" style="527" bestFit="1" customWidth="1"/>
    <col min="3" max="9" width="8.28515625" style="527" bestFit="1" customWidth="1"/>
    <col min="10" max="10" width="8.28515625" style="550" bestFit="1" customWidth="1"/>
    <col min="11" max="11" width="9.28515625" style="550" bestFit="1" customWidth="1"/>
    <col min="12" max="12" width="8.28515625" style="527"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70"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733</v>
      </c>
      <c r="C1" s="579">
        <f t="shared" ref="C1:L1" si="0">MAX(C3:C27)</f>
        <v>7.6541020779221203E-2</v>
      </c>
      <c r="D1" s="579">
        <f t="shared" si="0"/>
        <v>9.516709370629349E-2</v>
      </c>
      <c r="E1" s="579">
        <f t="shared" si="0"/>
        <v>0.10114897692307692</v>
      </c>
      <c r="F1" s="579">
        <f t="shared" si="0"/>
        <v>5.254696863959811E-2</v>
      </c>
      <c r="G1" s="579">
        <f t="shared" si="0"/>
        <v>5.2239892473118138E-2</v>
      </c>
      <c r="H1" s="579">
        <f t="shared" si="0"/>
        <v>8.0176190476190248E-2</v>
      </c>
      <c r="I1" s="579">
        <f t="shared" si="0"/>
        <v>5.7961761904761842E-2</v>
      </c>
      <c r="J1" s="579">
        <f t="shared" si="0"/>
        <v>0</v>
      </c>
      <c r="K1" s="579">
        <f t="shared" si="0"/>
        <v>3.6222627372627408E-2</v>
      </c>
      <c r="L1" s="579">
        <f t="shared" si="0"/>
        <v>0.16964285714285698</v>
      </c>
      <c r="N1" s="527"/>
      <c r="O1" s="527"/>
      <c r="P1" s="530"/>
      <c r="Q1" s="530"/>
      <c r="R1" s="530"/>
      <c r="S1" s="530"/>
      <c r="T1" s="530"/>
      <c r="U1" s="530"/>
      <c r="V1" s="530"/>
      <c r="W1" s="530"/>
      <c r="X1" s="530"/>
      <c r="Y1" s="641"/>
      <c r="Z1" s="530"/>
      <c r="AA1" s="530"/>
      <c r="AB1" s="530"/>
      <c r="AC1" s="530"/>
      <c r="AD1" s="530"/>
      <c r="AE1" s="530"/>
      <c r="AF1" s="530"/>
      <c r="AG1" s="530"/>
    </row>
    <row r="2" spans="1:33" x14ac:dyDescent="0.25">
      <c r="A2" s="636" t="s">
        <v>725</v>
      </c>
      <c r="B2" s="637" t="s">
        <v>724</v>
      </c>
      <c r="C2" s="331" t="s">
        <v>467</v>
      </c>
      <c r="D2" s="533" t="s">
        <v>468</v>
      </c>
      <c r="E2" s="533" t="s">
        <v>489</v>
      </c>
      <c r="F2" s="533" t="s">
        <v>469</v>
      </c>
      <c r="G2" s="533" t="s">
        <v>470</v>
      </c>
      <c r="H2" s="533" t="s">
        <v>471</v>
      </c>
      <c r="I2" s="533" t="s">
        <v>472</v>
      </c>
      <c r="J2" s="533" t="s">
        <v>734</v>
      </c>
      <c r="K2" s="533" t="s">
        <v>735</v>
      </c>
      <c r="L2" s="533" t="s">
        <v>579</v>
      </c>
      <c r="N2" s="636" t="s">
        <v>725</v>
      </c>
      <c r="O2" s="637" t="s">
        <v>724</v>
      </c>
      <c r="P2" s="331" t="s">
        <v>467</v>
      </c>
      <c r="Q2" s="533" t="s">
        <v>857</v>
      </c>
      <c r="R2" s="533" t="s">
        <v>468</v>
      </c>
      <c r="S2" s="533" t="s">
        <v>857</v>
      </c>
      <c r="T2" s="533" t="s">
        <v>489</v>
      </c>
      <c r="U2" s="533" t="s">
        <v>857</v>
      </c>
      <c r="V2" s="533" t="s">
        <v>469</v>
      </c>
      <c r="W2" s="533" t="s">
        <v>857</v>
      </c>
      <c r="X2" s="533" t="s">
        <v>470</v>
      </c>
      <c r="Y2" s="533" t="s">
        <v>857</v>
      </c>
      <c r="Z2" s="533" t="s">
        <v>471</v>
      </c>
      <c r="AA2" s="533" t="s">
        <v>857</v>
      </c>
      <c r="AB2" s="533" t="s">
        <v>472</v>
      </c>
      <c r="AC2" s="533" t="s">
        <v>857</v>
      </c>
      <c r="AD2" s="576" t="s">
        <v>734</v>
      </c>
      <c r="AE2" s="576" t="s">
        <v>857</v>
      </c>
      <c r="AF2" s="576" t="s">
        <v>735</v>
      </c>
      <c r="AG2" s="576" t="s">
        <v>857</v>
      </c>
    </row>
    <row r="3" spans="1:33" x14ac:dyDescent="0.25">
      <c r="A3" s="532" t="s">
        <v>726</v>
      </c>
      <c r="B3" s="531" t="s">
        <v>178</v>
      </c>
      <c r="C3" s="541"/>
      <c r="D3" s="542"/>
      <c r="E3" s="542"/>
      <c r="F3" s="542"/>
      <c r="G3" s="542"/>
      <c r="H3" s="542"/>
      <c r="I3" s="542"/>
      <c r="J3" s="542"/>
      <c r="K3" s="542"/>
      <c r="L3" s="542"/>
      <c r="M3" s="9"/>
      <c r="N3" s="580" t="s">
        <v>726</v>
      </c>
      <c r="O3" s="581" t="s">
        <v>178</v>
      </c>
      <c r="P3" s="544">
        <f>C3/$C$4</f>
        <v>0</v>
      </c>
      <c r="Q3" s="649" t="e">
        <f>1/C3</f>
        <v>#DIV/0!</v>
      </c>
      <c r="R3" s="544">
        <f>D3/D1</f>
        <v>0</v>
      </c>
      <c r="S3" s="649" t="e">
        <f>1/D3</f>
        <v>#DIV/0!</v>
      </c>
      <c r="T3" s="544">
        <f>E3/E1</f>
        <v>0</v>
      </c>
      <c r="U3" s="649" t="e">
        <f>1/E3</f>
        <v>#DIV/0!</v>
      </c>
      <c r="V3" s="545"/>
      <c r="W3" s="545"/>
      <c r="X3" s="545"/>
      <c r="Y3" s="642"/>
      <c r="Z3" s="545"/>
      <c r="AA3" s="545"/>
      <c r="AB3" s="545"/>
      <c r="AC3" s="545"/>
      <c r="AD3" s="545"/>
      <c r="AE3" s="545"/>
      <c r="AF3" s="545">
        <f>K3/K1</f>
        <v>0</v>
      </c>
      <c r="AG3" s="642"/>
    </row>
    <row r="4" spans="1:33" x14ac:dyDescent="0.25">
      <c r="A4" s="701" t="s">
        <v>727</v>
      </c>
      <c r="B4" s="539" t="s">
        <v>680</v>
      </c>
      <c r="C4" s="582">
        <v>5.9340247552447711E-2</v>
      </c>
      <c r="D4" s="556">
        <v>6.8999559240759498E-2</v>
      </c>
      <c r="E4" s="556">
        <v>7.5579372027972075E-2</v>
      </c>
      <c r="F4" s="556"/>
      <c r="G4" s="556"/>
      <c r="H4" s="556"/>
      <c r="I4" s="556"/>
      <c r="J4" s="556">
        <v>0</v>
      </c>
      <c r="K4" s="556">
        <v>3.6222627372627408E-2</v>
      </c>
      <c r="L4" s="556"/>
      <c r="M4" s="9"/>
      <c r="N4" s="703" t="s">
        <v>727</v>
      </c>
      <c r="O4" s="583" t="s">
        <v>680</v>
      </c>
      <c r="P4" s="546">
        <f>C4/$C$1</f>
        <v>0.77527379369046734</v>
      </c>
      <c r="Q4" s="643">
        <f>1/C4</f>
        <v>16.851968794301925</v>
      </c>
      <c r="R4" s="547">
        <f>D4/$D$1</f>
        <v>0.72503589795131562</v>
      </c>
      <c r="S4" s="643">
        <f>1/D4</f>
        <v>14.492846200809916</v>
      </c>
      <c r="T4" s="547">
        <f>E4/$E$1</f>
        <v>0.74720846742176794</v>
      </c>
      <c r="U4" s="643">
        <f>1/E4</f>
        <v>13.231123429153367</v>
      </c>
      <c r="V4" s="547"/>
      <c r="W4" s="547"/>
      <c r="X4" s="546"/>
      <c r="Y4" s="643"/>
      <c r="Z4" s="547"/>
      <c r="AA4" s="547"/>
      <c r="AB4" s="547"/>
      <c r="AC4" s="547"/>
      <c r="AD4" s="546"/>
      <c r="AE4" s="546"/>
      <c r="AF4" s="546">
        <f>K4/K1</f>
        <v>1</v>
      </c>
      <c r="AG4" s="647"/>
    </row>
    <row r="5" spans="1:33" x14ac:dyDescent="0.25">
      <c r="A5" s="701"/>
      <c r="B5" s="539" t="s">
        <v>679</v>
      </c>
      <c r="C5" s="577"/>
      <c r="D5" s="543"/>
      <c r="E5" s="543"/>
      <c r="F5" s="543">
        <v>5.254696863959811E-2</v>
      </c>
      <c r="G5" s="543"/>
      <c r="H5" s="543"/>
      <c r="I5" s="543"/>
      <c r="J5" s="543"/>
      <c r="K5" s="543"/>
      <c r="L5" s="543"/>
      <c r="M5" s="9"/>
      <c r="N5" s="703"/>
      <c r="O5" s="583" t="s">
        <v>679</v>
      </c>
      <c r="P5" s="548"/>
      <c r="Q5" s="644"/>
      <c r="R5" s="535"/>
      <c r="S5" s="644"/>
      <c r="T5" s="535"/>
      <c r="U5" s="644"/>
      <c r="V5" s="535">
        <f>F5/F1</f>
        <v>1</v>
      </c>
      <c r="W5" s="644">
        <f>1/F5</f>
        <v>19.03059350309362</v>
      </c>
      <c r="X5" s="548"/>
      <c r="Y5" s="644"/>
      <c r="Z5" s="535"/>
      <c r="AA5" s="535"/>
      <c r="AB5" s="535"/>
      <c r="AC5" s="535"/>
      <c r="AD5" s="548"/>
      <c r="AE5" s="548"/>
      <c r="AF5" s="548"/>
      <c r="AG5" s="646"/>
    </row>
    <row r="6" spans="1:33" x14ac:dyDescent="0.25">
      <c r="A6" s="701"/>
      <c r="B6" s="539" t="s">
        <v>731</v>
      </c>
      <c r="C6" s="577"/>
      <c r="D6" s="543"/>
      <c r="E6" s="543"/>
      <c r="F6" s="543"/>
      <c r="G6" s="543">
        <v>3.9584999999999822E-2</v>
      </c>
      <c r="H6" s="543">
        <v>6.3542692307692147E-2</v>
      </c>
      <c r="I6" s="543">
        <v>0</v>
      </c>
      <c r="J6" s="543"/>
      <c r="K6" s="543"/>
      <c r="L6" s="543"/>
      <c r="M6" s="9"/>
      <c r="N6" s="703"/>
      <c r="O6" s="583" t="s">
        <v>731</v>
      </c>
      <c r="P6" s="548"/>
      <c r="Q6" s="644"/>
      <c r="R6" s="535"/>
      <c r="S6" s="644"/>
      <c r="T6" s="535"/>
      <c r="U6" s="644"/>
      <c r="V6" s="535"/>
      <c r="W6" s="644"/>
      <c r="X6" s="548">
        <f>G6/$G$1</f>
        <v>0.75775423964300204</v>
      </c>
      <c r="Y6" s="644">
        <f>1/G6</f>
        <v>25.262094227611584</v>
      </c>
      <c r="Z6" s="535">
        <f>H6/$H$1</f>
        <v>0.79253818284821453</v>
      </c>
      <c r="AA6" s="644">
        <f>1/H6</f>
        <v>15.737450896126811</v>
      </c>
      <c r="AB6" s="535">
        <f>I6/$I$1</f>
        <v>0</v>
      </c>
      <c r="AC6" s="535"/>
      <c r="AD6" s="548"/>
      <c r="AE6" s="548"/>
      <c r="AF6" s="548"/>
      <c r="AG6" s="646"/>
    </row>
    <row r="7" spans="1:33" x14ac:dyDescent="0.25">
      <c r="A7" s="701"/>
      <c r="B7" s="539" t="s">
        <v>732</v>
      </c>
      <c r="C7" s="577"/>
      <c r="D7" s="543"/>
      <c r="E7" s="543"/>
      <c r="F7" s="543"/>
      <c r="G7" s="543">
        <v>3.3714285714285648E-2</v>
      </c>
      <c r="H7" s="543">
        <v>3.433928571428569E-2</v>
      </c>
      <c r="I7" s="543">
        <v>4.9198011904761828E-2</v>
      </c>
      <c r="J7" s="543"/>
      <c r="K7" s="543"/>
      <c r="L7" s="543"/>
      <c r="M7" s="9"/>
      <c r="N7" s="703"/>
      <c r="O7" s="583" t="s">
        <v>732</v>
      </c>
      <c r="P7" s="548"/>
      <c r="Q7" s="644"/>
      <c r="R7" s="535"/>
      <c r="S7" s="644"/>
      <c r="T7" s="535"/>
      <c r="U7" s="644"/>
      <c r="V7" s="535"/>
      <c r="W7" s="644"/>
      <c r="X7" s="548">
        <f t="shared" ref="X7" si="1">G7/$G$1</f>
        <v>0.64537433210902018</v>
      </c>
      <c r="Y7" s="644">
        <f t="shared" ref="Y7" si="2">1/G7</f>
        <v>29.6610169491526</v>
      </c>
      <c r="Z7" s="535">
        <f t="shared" ref="Z7" si="3">H7/$H$1</f>
        <v>0.42829779651957089</v>
      </c>
      <c r="AA7" s="644">
        <f t="shared" ref="AA7" si="4">1/H7</f>
        <v>29.121164846593885</v>
      </c>
      <c r="AB7" s="535">
        <f t="shared" ref="AB7" si="5">I7/$I$1</f>
        <v>0.84880118008835015</v>
      </c>
      <c r="AC7" s="644">
        <f t="shared" ref="AC7" si="6">1/I7</f>
        <v>20.326024594973745</v>
      </c>
      <c r="AD7" s="548"/>
      <c r="AE7" s="548"/>
      <c r="AF7" s="548"/>
      <c r="AG7" s="646"/>
    </row>
    <row r="8" spans="1:33" x14ac:dyDescent="0.25">
      <c r="A8" s="701"/>
      <c r="B8" s="539" t="s">
        <v>698</v>
      </c>
      <c r="C8" s="577"/>
      <c r="D8" s="543"/>
      <c r="E8" s="543"/>
      <c r="F8" s="543"/>
      <c r="G8" s="543"/>
      <c r="H8" s="543"/>
      <c r="I8" s="543"/>
      <c r="J8" s="543"/>
      <c r="K8" s="543"/>
      <c r="L8" s="543"/>
      <c r="M8" s="9"/>
      <c r="N8" s="703"/>
      <c r="O8" s="583" t="s">
        <v>698</v>
      </c>
      <c r="P8" s="548"/>
      <c r="Q8" s="644"/>
      <c r="R8" s="535"/>
      <c r="S8" s="644"/>
      <c r="T8" s="535"/>
      <c r="U8" s="644"/>
      <c r="V8" s="535"/>
      <c r="W8" s="644"/>
      <c r="X8" s="548"/>
      <c r="Y8" s="644"/>
      <c r="Z8" s="535"/>
      <c r="AA8" s="644"/>
      <c r="AB8" s="535"/>
      <c r="AC8" s="644"/>
      <c r="AD8" s="548"/>
      <c r="AE8" s="646"/>
      <c r="AF8" s="548"/>
      <c r="AG8" s="646"/>
    </row>
    <row r="9" spans="1:33" x14ac:dyDescent="0.25">
      <c r="A9" s="701"/>
      <c r="B9" s="551" t="s">
        <v>0</v>
      </c>
      <c r="C9" s="578"/>
      <c r="D9" s="534"/>
      <c r="E9" s="534"/>
      <c r="F9" s="534"/>
      <c r="G9" s="534"/>
      <c r="H9" s="534"/>
      <c r="I9" s="534"/>
      <c r="J9" s="534"/>
      <c r="K9" s="534"/>
      <c r="L9" s="534"/>
      <c r="M9" s="9"/>
      <c r="N9" s="703"/>
      <c r="O9" s="583" t="s">
        <v>0</v>
      </c>
      <c r="P9" s="549"/>
      <c r="Q9" s="645"/>
      <c r="R9" s="536"/>
      <c r="S9" s="645"/>
      <c r="T9" s="536"/>
      <c r="U9" s="645"/>
      <c r="V9" s="536"/>
      <c r="W9" s="645"/>
      <c r="X9" s="549"/>
      <c r="Y9" s="645"/>
      <c r="Z9" s="536"/>
      <c r="AA9" s="536"/>
      <c r="AB9" s="536"/>
      <c r="AC9" s="536"/>
      <c r="AD9" s="549" t="e">
        <f>J9/$J$1</f>
        <v>#DIV/0!</v>
      </c>
      <c r="AE9" s="648" t="e">
        <f>1/J9</f>
        <v>#DIV/0!</v>
      </c>
      <c r="AF9" s="549">
        <f>K9/$K$1</f>
        <v>0</v>
      </c>
      <c r="AG9" s="648" t="e">
        <f>1/K9</f>
        <v>#DIV/0!</v>
      </c>
    </row>
    <row r="10" spans="1:33" x14ac:dyDescent="0.25">
      <c r="A10" s="702" t="s">
        <v>728</v>
      </c>
      <c r="B10" s="540" t="s">
        <v>680</v>
      </c>
      <c r="C10" s="582">
        <v>4.0980247552447779E-2</v>
      </c>
      <c r="D10" s="556">
        <v>7.0304873926074096E-2</v>
      </c>
      <c r="E10" s="556">
        <v>4.0579372027972196E-2</v>
      </c>
      <c r="F10" s="556"/>
      <c r="G10" s="556"/>
      <c r="H10" s="556"/>
      <c r="I10" s="556"/>
      <c r="J10" s="556">
        <v>0</v>
      </c>
      <c r="K10" s="556">
        <v>3.0871978021978067E-2</v>
      </c>
      <c r="L10" s="556"/>
      <c r="M10" s="9"/>
      <c r="N10" s="704" t="s">
        <v>728</v>
      </c>
      <c r="O10" s="584" t="s">
        <v>680</v>
      </c>
      <c r="P10" s="548">
        <f>C10/$C$1</f>
        <v>0.53540241736066307</v>
      </c>
      <c r="Q10" s="643">
        <f>1/C10</f>
        <v>24.40199998109258</v>
      </c>
      <c r="R10" s="547">
        <f>D10/$D$1</f>
        <v>0.73875192766788012</v>
      </c>
      <c r="S10" s="643">
        <f>1/D10</f>
        <v>14.223764927755999</v>
      </c>
      <c r="T10" s="547">
        <f>E10/$E$1</f>
        <v>0.40118420632996138</v>
      </c>
      <c r="U10" s="643">
        <f>1/E10</f>
        <v>24.643062472989463</v>
      </c>
      <c r="V10" s="535"/>
      <c r="W10" s="644"/>
      <c r="X10" s="548"/>
      <c r="Y10" s="644"/>
      <c r="Z10" s="535"/>
      <c r="AA10" s="535"/>
      <c r="AB10" s="535"/>
      <c r="AC10" s="535"/>
      <c r="AD10" s="548"/>
      <c r="AE10" s="535"/>
      <c r="AF10" s="535">
        <f>K10/K1</f>
        <v>0.85228433885796195</v>
      </c>
      <c r="AG10" s="644"/>
    </row>
    <row r="11" spans="1:33" x14ac:dyDescent="0.25">
      <c r="A11" s="701"/>
      <c r="B11" s="539" t="s">
        <v>679</v>
      </c>
      <c r="C11" s="577"/>
      <c r="D11" s="543"/>
      <c r="E11" s="543"/>
      <c r="F11" s="543">
        <v>5.1022557865187314E-2</v>
      </c>
      <c r="G11" s="543"/>
      <c r="H11" s="543"/>
      <c r="I11" s="543"/>
      <c r="J11" s="543"/>
      <c r="K11" s="543"/>
      <c r="L11" s="543"/>
      <c r="M11" s="9"/>
      <c r="N11" s="703"/>
      <c r="O11" s="583" t="s">
        <v>679</v>
      </c>
      <c r="P11" s="548"/>
      <c r="Q11" s="644"/>
      <c r="R11" s="535"/>
      <c r="S11" s="644"/>
      <c r="T11" s="535"/>
      <c r="U11" s="644"/>
      <c r="V11" s="535">
        <f>F11/F1</f>
        <v>0.97098955822045196</v>
      </c>
      <c r="W11" s="644">
        <f>1/F11</f>
        <v>19.599174205303804</v>
      </c>
      <c r="X11" s="548"/>
      <c r="Y11" s="644"/>
      <c r="Z11" s="535"/>
      <c r="AA11" s="535"/>
      <c r="AB11" s="535"/>
      <c r="AC11" s="535"/>
      <c r="AD11" s="548"/>
      <c r="AE11" s="535"/>
      <c r="AF11" s="535"/>
      <c r="AG11" s="644"/>
    </row>
    <row r="12" spans="1:33" x14ac:dyDescent="0.25">
      <c r="A12" s="701"/>
      <c r="B12" s="539" t="s">
        <v>731</v>
      </c>
      <c r="C12" s="577"/>
      <c r="D12" s="543"/>
      <c r="E12" s="543"/>
      <c r="F12" s="543"/>
      <c r="G12" s="543">
        <v>4.2215952380952187E-2</v>
      </c>
      <c r="H12" s="543">
        <v>6.617364468864452E-2</v>
      </c>
      <c r="I12" s="543">
        <v>0</v>
      </c>
      <c r="J12" s="543"/>
      <c r="K12" s="543"/>
      <c r="L12" s="543"/>
      <c r="M12" s="9"/>
      <c r="N12" s="703"/>
      <c r="O12" s="583" t="s">
        <v>731</v>
      </c>
      <c r="P12" s="548"/>
      <c r="Q12" s="644"/>
      <c r="R12" s="535"/>
      <c r="S12" s="644"/>
      <c r="T12" s="535"/>
      <c r="U12" s="644"/>
      <c r="V12" s="535"/>
      <c r="W12" s="644"/>
      <c r="X12" s="548">
        <f t="shared" ref="X12:X13" si="7">G12/$G$1</f>
        <v>0.80811713773484284</v>
      </c>
      <c r="Y12" s="644">
        <f t="shared" ref="Y12:Y13" si="8">1/G12</f>
        <v>23.687728064881924</v>
      </c>
      <c r="Z12" s="535">
        <f t="shared" ref="Z12:Z13" si="9">H12/$H$1</f>
        <v>0.82535281728427801</v>
      </c>
      <c r="AA12" s="644">
        <f t="shared" ref="AA12:AA13" si="10">1/H12</f>
        <v>15.111756420628305</v>
      </c>
      <c r="AB12" s="535">
        <f t="shared" ref="AB12:AB13" si="11">I12/$I$1</f>
        <v>0</v>
      </c>
      <c r="AC12" s="644"/>
      <c r="AD12" s="548"/>
      <c r="AE12" s="535"/>
      <c r="AF12" s="535"/>
      <c r="AG12" s="644"/>
    </row>
    <row r="13" spans="1:33" x14ac:dyDescent="0.25">
      <c r="A13" s="701"/>
      <c r="B13" s="539" t="s">
        <v>732</v>
      </c>
      <c r="C13" s="577"/>
      <c r="D13" s="543"/>
      <c r="E13" s="543"/>
      <c r="F13" s="543"/>
      <c r="G13" s="543">
        <v>3.8151785714285652E-2</v>
      </c>
      <c r="H13" s="543">
        <v>3.8776785714285687E-2</v>
      </c>
      <c r="I13" s="543">
        <v>5.7961761904761842E-2</v>
      </c>
      <c r="J13" s="543"/>
      <c r="K13" s="543"/>
      <c r="L13" s="543"/>
      <c r="M13" s="9"/>
      <c r="N13" s="703"/>
      <c r="O13" s="583" t="s">
        <v>732</v>
      </c>
      <c r="P13" s="548"/>
      <c r="Q13" s="644"/>
      <c r="R13" s="535"/>
      <c r="S13" s="644"/>
      <c r="T13" s="535"/>
      <c r="U13" s="644"/>
      <c r="V13" s="535"/>
      <c r="W13" s="644"/>
      <c r="X13" s="548">
        <f t="shared" si="7"/>
        <v>0.73031899393586974</v>
      </c>
      <c r="Y13" s="644">
        <f t="shared" si="8"/>
        <v>26.211092908963302</v>
      </c>
      <c r="Z13" s="535">
        <f t="shared" si="9"/>
        <v>0.48364465166003551</v>
      </c>
      <c r="AA13" s="644">
        <f t="shared" si="10"/>
        <v>25.788625374165342</v>
      </c>
      <c r="AB13" s="535">
        <f t="shared" si="11"/>
        <v>1</v>
      </c>
      <c r="AC13" s="644">
        <f t="shared" ref="AC13" si="12">1/I13</f>
        <v>17.252753662718543</v>
      </c>
      <c r="AD13" s="548"/>
      <c r="AE13" s="535"/>
      <c r="AF13" s="535"/>
      <c r="AG13" s="644"/>
    </row>
    <row r="14" spans="1:33" x14ac:dyDescent="0.25">
      <c r="A14" s="701"/>
      <c r="B14" s="539" t="s">
        <v>698</v>
      </c>
      <c r="C14" s="577"/>
      <c r="D14" s="543"/>
      <c r="E14" s="543"/>
      <c r="F14" s="543"/>
      <c r="G14" s="543"/>
      <c r="H14" s="543"/>
      <c r="I14" s="543"/>
      <c r="J14" s="543"/>
      <c r="K14" s="543"/>
      <c r="L14" s="543"/>
      <c r="M14" s="9"/>
      <c r="N14" s="703"/>
      <c r="O14" s="583" t="s">
        <v>698</v>
      </c>
      <c r="P14" s="548"/>
      <c r="Q14" s="644"/>
      <c r="R14" s="535"/>
      <c r="S14" s="644"/>
      <c r="T14" s="535"/>
      <c r="U14" s="644"/>
      <c r="V14" s="535"/>
      <c r="W14" s="644"/>
      <c r="X14" s="548"/>
      <c r="Y14" s="644"/>
      <c r="Z14" s="535"/>
      <c r="AA14" s="644"/>
      <c r="AB14" s="535"/>
      <c r="AC14" s="644"/>
      <c r="AD14" s="548"/>
      <c r="AE14" s="646"/>
      <c r="AF14" s="548"/>
      <c r="AG14" s="646"/>
    </row>
    <row r="15" spans="1:33" x14ac:dyDescent="0.25">
      <c r="A15" s="701"/>
      <c r="B15" s="551" t="s">
        <v>0</v>
      </c>
      <c r="C15" s="578"/>
      <c r="D15" s="534"/>
      <c r="E15" s="534"/>
      <c r="F15" s="534"/>
      <c r="G15" s="534"/>
      <c r="H15" s="534"/>
      <c r="I15" s="534"/>
      <c r="J15" s="534"/>
      <c r="K15" s="534"/>
      <c r="L15" s="534"/>
      <c r="M15" s="9"/>
      <c r="N15" s="703"/>
      <c r="O15" s="583" t="s">
        <v>0</v>
      </c>
      <c r="P15" s="549"/>
      <c r="Q15" s="645"/>
      <c r="R15" s="536"/>
      <c r="S15" s="645"/>
      <c r="T15" s="536"/>
      <c r="U15" s="645"/>
      <c r="V15" s="536"/>
      <c r="W15" s="645"/>
      <c r="X15" s="549"/>
      <c r="Y15" s="645"/>
      <c r="Z15" s="536"/>
      <c r="AA15" s="536"/>
      <c r="AB15" s="536"/>
      <c r="AC15" s="536"/>
      <c r="AD15" s="549" t="e">
        <f>J15/$J$1</f>
        <v>#DIV/0!</v>
      </c>
      <c r="AE15" s="648" t="e">
        <f>1/J15</f>
        <v>#DIV/0!</v>
      </c>
      <c r="AF15" s="549">
        <f>K15/$K$1</f>
        <v>0</v>
      </c>
      <c r="AG15" s="648" t="e">
        <f>1/K15</f>
        <v>#DIV/0!</v>
      </c>
    </row>
    <row r="16" spans="1:33" x14ac:dyDescent="0.25">
      <c r="A16" s="702" t="s">
        <v>729</v>
      </c>
      <c r="B16" s="540" t="s">
        <v>680</v>
      </c>
      <c r="C16" s="577">
        <v>5.8181020779221264E-2</v>
      </c>
      <c r="D16" s="543">
        <v>7.6807093706293558E-2</v>
      </c>
      <c r="E16" s="543">
        <v>6.6148976923077044E-2</v>
      </c>
      <c r="F16" s="543"/>
      <c r="G16" s="543"/>
      <c r="H16" s="543"/>
      <c r="I16" s="543"/>
      <c r="J16" s="543">
        <v>0</v>
      </c>
      <c r="K16" s="543">
        <v>2.9990859140859215E-2</v>
      </c>
      <c r="L16" s="543">
        <v>4.1477272727272974E-2</v>
      </c>
      <c r="M16" s="9"/>
      <c r="N16" s="704" t="s">
        <v>729</v>
      </c>
      <c r="O16" s="584" t="s">
        <v>680</v>
      </c>
      <c r="P16" s="548">
        <f>C16/$C$1</f>
        <v>0.76012862367019574</v>
      </c>
      <c r="Q16" s="643">
        <f>1/C16</f>
        <v>17.18773556405424</v>
      </c>
      <c r="R16" s="547">
        <f>D16/$D$1</f>
        <v>0.80707617218339234</v>
      </c>
      <c r="S16" s="643">
        <f>1/D16</f>
        <v>13.019630762543228</v>
      </c>
      <c r="T16" s="547">
        <f>E16/$E$1</f>
        <v>0.65397573890819349</v>
      </c>
      <c r="U16" s="643">
        <f>1/E16</f>
        <v>15.117391780115881</v>
      </c>
      <c r="V16" s="535"/>
      <c r="W16" s="644"/>
      <c r="X16" s="535"/>
      <c r="Y16" s="644"/>
      <c r="Z16" s="535"/>
      <c r="AA16" s="535"/>
      <c r="AB16" s="535"/>
      <c r="AC16" s="535"/>
      <c r="AD16" s="535"/>
      <c r="AE16" s="535"/>
      <c r="AF16" s="535">
        <f>K16/K1</f>
        <v>0.827959243053766</v>
      </c>
      <c r="AG16" s="644"/>
    </row>
    <row r="17" spans="1:33" x14ac:dyDescent="0.25">
      <c r="A17" s="701"/>
      <c r="B17" s="539" t="s">
        <v>679</v>
      </c>
      <c r="C17" s="577"/>
      <c r="D17" s="543"/>
      <c r="E17" s="543"/>
      <c r="F17" s="543">
        <v>4.2273232055429683E-2</v>
      </c>
      <c r="G17" s="543"/>
      <c r="H17" s="543"/>
      <c r="I17" s="543"/>
      <c r="J17" s="543"/>
      <c r="K17" s="543"/>
      <c r="L17" s="543"/>
      <c r="M17" s="9"/>
      <c r="N17" s="703"/>
      <c r="O17" s="583" t="s">
        <v>679</v>
      </c>
      <c r="P17" s="548"/>
      <c r="Q17" s="644"/>
      <c r="R17" s="535"/>
      <c r="S17" s="644"/>
      <c r="T17" s="535"/>
      <c r="U17" s="644"/>
      <c r="V17" s="535">
        <f>F17/F1</f>
        <v>0.80448469530882905</v>
      </c>
      <c r="W17" s="644">
        <f>1/F17</f>
        <v>23.655631504323487</v>
      </c>
      <c r="X17" s="535"/>
      <c r="Y17" s="644"/>
      <c r="Z17" s="535"/>
      <c r="AA17" s="535"/>
      <c r="AB17" s="535"/>
      <c r="AC17" s="535"/>
      <c r="AD17" s="535"/>
      <c r="AE17" s="535"/>
      <c r="AF17" s="535"/>
      <c r="AG17" s="644"/>
    </row>
    <row r="18" spans="1:33" x14ac:dyDescent="0.25">
      <c r="A18" s="701"/>
      <c r="B18" s="539" t="s">
        <v>731</v>
      </c>
      <c r="C18" s="577"/>
      <c r="D18" s="543"/>
      <c r="E18" s="543"/>
      <c r="F18" s="543"/>
      <c r="G18" s="543">
        <v>5.2239892473118138E-2</v>
      </c>
      <c r="H18" s="543">
        <v>8.0176190476190248E-2</v>
      </c>
      <c r="I18" s="543">
        <v>0</v>
      </c>
      <c r="J18" s="543"/>
      <c r="K18" s="543"/>
      <c r="L18" s="543"/>
      <c r="M18" s="9"/>
      <c r="N18" s="703"/>
      <c r="O18" s="583" t="s">
        <v>731</v>
      </c>
      <c r="P18" s="548"/>
      <c r="Q18" s="644"/>
      <c r="R18" s="535"/>
      <c r="S18" s="644"/>
      <c r="T18" s="535"/>
      <c r="U18" s="644"/>
      <c r="V18" s="535"/>
      <c r="W18" s="644"/>
      <c r="X18" s="535">
        <f t="shared" ref="X18:X19" si="13">G18/$G$1</f>
        <v>1</v>
      </c>
      <c r="Y18" s="644">
        <f t="shared" ref="Y18:Y19" si="14">1/G18</f>
        <v>19.142459003233686</v>
      </c>
      <c r="Z18" s="535">
        <f t="shared" ref="Z18:Z19" si="15">H18/$H$1</f>
        <v>1</v>
      </c>
      <c r="AA18" s="644">
        <f t="shared" ref="AA18:AA19" si="16">1/H18</f>
        <v>12.472530735879349</v>
      </c>
      <c r="AB18" s="535">
        <f t="shared" ref="AB18:AB19" si="17">I18/$I$1</f>
        <v>0</v>
      </c>
      <c r="AC18" s="644"/>
      <c r="AD18" s="535"/>
      <c r="AE18" s="535"/>
      <c r="AF18" s="535"/>
      <c r="AG18" s="644"/>
    </row>
    <row r="19" spans="1:33" x14ac:dyDescent="0.25">
      <c r="A19" s="701"/>
      <c r="B19" s="539" t="s">
        <v>732</v>
      </c>
      <c r="C19" s="577"/>
      <c r="D19" s="543"/>
      <c r="E19" s="543"/>
      <c r="F19" s="543"/>
      <c r="G19" s="543">
        <v>2.5968749999999961E-2</v>
      </c>
      <c r="H19" s="543">
        <v>2.5281249999999998E-2</v>
      </c>
      <c r="I19" s="543">
        <v>3.0639083333333313E-2</v>
      </c>
      <c r="J19" s="543"/>
      <c r="K19" s="543"/>
      <c r="L19" s="543">
        <v>0.1339285714285714</v>
      </c>
      <c r="M19" s="654">
        <f>1/L19</f>
        <v>7.4666666666666686</v>
      </c>
      <c r="N19" s="703"/>
      <c r="O19" s="583" t="s">
        <v>732</v>
      </c>
      <c r="P19" s="548"/>
      <c r="Q19" s="644"/>
      <c r="R19" s="535"/>
      <c r="S19" s="644"/>
      <c r="T19" s="535"/>
      <c r="U19" s="644"/>
      <c r="V19" s="535"/>
      <c r="W19" s="644"/>
      <c r="X19" s="535">
        <f t="shared" si="13"/>
        <v>0.49710573224022403</v>
      </c>
      <c r="Y19" s="644">
        <f t="shared" si="14"/>
        <v>38.507821901323766</v>
      </c>
      <c r="Z19" s="535">
        <f t="shared" si="15"/>
        <v>0.31532116766644974</v>
      </c>
      <c r="AA19" s="644">
        <f t="shared" si="16"/>
        <v>39.555006180469718</v>
      </c>
      <c r="AB19" s="535">
        <f t="shared" si="17"/>
        <v>0.52860855720150501</v>
      </c>
      <c r="AC19" s="644">
        <f t="shared" ref="AC19" si="18">1/I19</f>
        <v>32.63805216104705</v>
      </c>
      <c r="AD19" s="535"/>
      <c r="AE19" s="535"/>
      <c r="AF19" s="535"/>
      <c r="AG19" s="644"/>
    </row>
    <row r="20" spans="1:33" x14ac:dyDescent="0.25">
      <c r="A20" s="701"/>
      <c r="B20" s="539" t="s">
        <v>698</v>
      </c>
      <c r="C20" s="577"/>
      <c r="D20" s="543"/>
      <c r="E20" s="543"/>
      <c r="F20" s="543"/>
      <c r="G20" s="543"/>
      <c r="H20" s="543"/>
      <c r="I20" s="543"/>
      <c r="J20" s="543"/>
      <c r="K20" s="543"/>
      <c r="L20" s="543"/>
      <c r="M20" s="9"/>
      <c r="N20" s="703"/>
      <c r="O20" s="583" t="s">
        <v>698</v>
      </c>
      <c r="P20" s="548"/>
      <c r="Q20" s="644"/>
      <c r="R20" s="535"/>
      <c r="S20" s="644"/>
      <c r="T20" s="535"/>
      <c r="U20" s="644"/>
      <c r="V20" s="535"/>
      <c r="W20" s="644"/>
      <c r="X20" s="535"/>
      <c r="Y20" s="644"/>
      <c r="Z20" s="535"/>
      <c r="AA20" s="644"/>
      <c r="AB20" s="535"/>
      <c r="AC20" s="644"/>
      <c r="AD20" s="535"/>
      <c r="AE20" s="646"/>
      <c r="AF20" s="548"/>
      <c r="AG20" s="646"/>
    </row>
    <row r="21" spans="1:33" x14ac:dyDescent="0.25">
      <c r="A21" s="701"/>
      <c r="B21" s="551" t="s">
        <v>0</v>
      </c>
      <c r="C21" s="577"/>
      <c r="D21" s="543"/>
      <c r="E21" s="543"/>
      <c r="F21" s="543"/>
      <c r="G21" s="543"/>
      <c r="H21" s="543"/>
      <c r="I21" s="543"/>
      <c r="J21" s="543"/>
      <c r="K21" s="543"/>
      <c r="L21" s="543"/>
      <c r="M21" s="9"/>
      <c r="N21" s="703"/>
      <c r="O21" s="583" t="s">
        <v>0</v>
      </c>
      <c r="P21" s="549"/>
      <c r="Q21" s="645"/>
      <c r="R21" s="536"/>
      <c r="S21" s="645"/>
      <c r="T21" s="536"/>
      <c r="U21" s="645"/>
      <c r="V21" s="536"/>
      <c r="W21" s="645"/>
      <c r="X21" s="536"/>
      <c r="Y21" s="645"/>
      <c r="Z21" s="536"/>
      <c r="AA21" s="536"/>
      <c r="AB21" s="536"/>
      <c r="AC21" s="535"/>
      <c r="AD21" s="535" t="e">
        <f>J21/$J$1</f>
        <v>#DIV/0!</v>
      </c>
      <c r="AE21" s="648" t="e">
        <f>1/J21</f>
        <v>#DIV/0!</v>
      </c>
      <c r="AF21" s="549">
        <f>K21/$K$1</f>
        <v>0</v>
      </c>
      <c r="AG21" s="648" t="e">
        <f>1/K21</f>
        <v>#DIV/0!</v>
      </c>
    </row>
    <row r="22" spans="1:33" x14ac:dyDescent="0.25">
      <c r="A22" s="702" t="s">
        <v>730</v>
      </c>
      <c r="B22" s="554" t="s">
        <v>680</v>
      </c>
      <c r="C22" s="582">
        <v>7.6541020779221203E-2</v>
      </c>
      <c r="D22" s="556">
        <v>9.516709370629349E-2</v>
      </c>
      <c r="E22" s="556">
        <v>0.10114897692307692</v>
      </c>
      <c r="F22" s="556"/>
      <c r="G22" s="556"/>
      <c r="H22" s="556"/>
      <c r="I22" s="556"/>
      <c r="J22" s="556">
        <v>0</v>
      </c>
      <c r="K22" s="556">
        <v>3.3705144855144913E-2</v>
      </c>
      <c r="L22" s="556">
        <v>5.9334415584415767E-2</v>
      </c>
      <c r="M22" s="9"/>
      <c r="N22" s="704" t="s">
        <v>730</v>
      </c>
      <c r="O22" s="584" t="s">
        <v>680</v>
      </c>
      <c r="P22" s="548">
        <f>C22/$C$1</f>
        <v>1</v>
      </c>
      <c r="Q22" s="643">
        <f>1/C22</f>
        <v>13.064889778311823</v>
      </c>
      <c r="R22" s="547">
        <f>D22/$D$1</f>
        <v>1</v>
      </c>
      <c r="S22" s="643">
        <f>1/D22</f>
        <v>10.507833759074531</v>
      </c>
      <c r="T22" s="547">
        <f>E22/$E$1</f>
        <v>1</v>
      </c>
      <c r="U22" s="650">
        <f>1/E22</f>
        <v>9.8864074597659339</v>
      </c>
      <c r="V22" s="638"/>
      <c r="W22" s="647"/>
      <c r="X22" s="548"/>
      <c r="Y22" s="644"/>
      <c r="Z22" s="535"/>
      <c r="AA22" s="535"/>
      <c r="AB22" s="548"/>
      <c r="AC22" s="546"/>
      <c r="AD22" s="546"/>
      <c r="AE22" s="535"/>
      <c r="AF22" s="535">
        <f>K22/K1</f>
        <v>0.93049972627372424</v>
      </c>
      <c r="AG22" s="644"/>
    </row>
    <row r="23" spans="1:33" x14ac:dyDescent="0.25">
      <c r="A23" s="701"/>
      <c r="B23" s="555" t="s">
        <v>679</v>
      </c>
      <c r="C23" s="577"/>
      <c r="D23" s="543"/>
      <c r="E23" s="543"/>
      <c r="F23" s="543">
        <v>4.3797642829840472E-2</v>
      </c>
      <c r="G23" s="543"/>
      <c r="H23" s="543"/>
      <c r="I23" s="543"/>
      <c r="J23" s="543"/>
      <c r="K23" s="543"/>
      <c r="L23" s="543"/>
      <c r="M23" s="9"/>
      <c r="N23" s="703"/>
      <c r="O23" s="583" t="s">
        <v>679</v>
      </c>
      <c r="P23" s="548"/>
      <c r="Q23" s="644"/>
      <c r="R23" s="535"/>
      <c r="S23" s="644"/>
      <c r="T23" s="535"/>
      <c r="U23" s="651"/>
      <c r="V23" s="639">
        <f>F23/F1</f>
        <v>0.83349513708837697</v>
      </c>
      <c r="W23" s="646">
        <f>1/F23</f>
        <v>22.832278985541066</v>
      </c>
      <c r="X23" s="548"/>
      <c r="Y23" s="644"/>
      <c r="Z23" s="535"/>
      <c r="AA23" s="535"/>
      <c r="AB23" s="548"/>
      <c r="AC23" s="548"/>
      <c r="AD23" s="548"/>
      <c r="AE23" s="535"/>
      <c r="AF23" s="535"/>
      <c r="AG23" s="644"/>
    </row>
    <row r="24" spans="1:33" x14ac:dyDescent="0.25">
      <c r="A24" s="701"/>
      <c r="B24" s="555" t="s">
        <v>731</v>
      </c>
      <c r="C24" s="577"/>
      <c r="D24" s="543"/>
      <c r="E24" s="543"/>
      <c r="F24" s="543"/>
      <c r="G24" s="543">
        <v>4.8379892473118219E-2</v>
      </c>
      <c r="H24" s="543">
        <v>7.5159999999999741E-2</v>
      </c>
      <c r="I24" s="543">
        <v>0</v>
      </c>
      <c r="J24" s="543"/>
      <c r="K24" s="543"/>
      <c r="L24" s="543"/>
      <c r="M24" s="9"/>
      <c r="N24" s="703"/>
      <c r="O24" s="583" t="s">
        <v>731</v>
      </c>
      <c r="P24" s="548"/>
      <c r="Q24" s="644"/>
      <c r="R24" s="535"/>
      <c r="S24" s="644"/>
      <c r="T24" s="535"/>
      <c r="U24" s="651"/>
      <c r="V24" s="639"/>
      <c r="W24" s="646"/>
      <c r="X24" s="548">
        <f t="shared" ref="X24:X25" si="19">G24/$G$1</f>
        <v>0.92611010824751949</v>
      </c>
      <c r="Y24" s="644">
        <f t="shared" ref="Y24:Y25" si="20">1/G24</f>
        <v>20.669744161908575</v>
      </c>
      <c r="Z24" s="535">
        <f t="shared" ref="Z24:Z25" si="21">H24/$H$1</f>
        <v>0.93743541010868858</v>
      </c>
      <c r="AA24" s="644">
        <f t="shared" ref="AA24:AA25" si="22">1/H24</f>
        <v>13.30494944119217</v>
      </c>
      <c r="AB24" s="535">
        <f t="shared" ref="AB24:AB25" si="23">I24/$I$1</f>
        <v>0</v>
      </c>
      <c r="AC24" s="646"/>
      <c r="AD24" s="548"/>
      <c r="AE24" s="535"/>
      <c r="AF24" s="535"/>
      <c r="AG24" s="644"/>
    </row>
    <row r="25" spans="1:33" x14ac:dyDescent="0.25">
      <c r="A25" s="701"/>
      <c r="B25" s="555" t="s">
        <v>732</v>
      </c>
      <c r="C25" s="577"/>
      <c r="D25" s="543"/>
      <c r="E25" s="543"/>
      <c r="F25" s="543"/>
      <c r="G25" s="543">
        <v>2.3874999999999962E-2</v>
      </c>
      <c r="H25" s="543">
        <v>2.31875E-2</v>
      </c>
      <c r="I25" s="543">
        <v>2.7005333333333312E-2</v>
      </c>
      <c r="J25" s="543"/>
      <c r="K25" s="543"/>
      <c r="L25" s="543">
        <v>0.16964285714285698</v>
      </c>
      <c r="M25" s="654">
        <f>1/L25</f>
        <v>5.894736842105269</v>
      </c>
      <c r="N25" s="703"/>
      <c r="O25" s="583" t="s">
        <v>732</v>
      </c>
      <c r="P25" s="548"/>
      <c r="Q25" s="644"/>
      <c r="R25" s="535"/>
      <c r="S25" s="644"/>
      <c r="T25" s="535"/>
      <c r="U25" s="651"/>
      <c r="V25" s="639"/>
      <c r="W25" s="646"/>
      <c r="X25" s="548">
        <f t="shared" si="19"/>
        <v>0.45702620870220356</v>
      </c>
      <c r="Y25" s="644">
        <f t="shared" si="20"/>
        <v>41.884816753926771</v>
      </c>
      <c r="Z25" s="535">
        <f t="shared" si="21"/>
        <v>0.2892068064382024</v>
      </c>
      <c r="AA25" s="644">
        <f t="shared" si="22"/>
        <v>43.126684636118597</v>
      </c>
      <c r="AB25" s="535">
        <f t="shared" si="23"/>
        <v>0.46591636357960148</v>
      </c>
      <c r="AC25" s="646">
        <f t="shared" ref="AC25" si="24">1/I25</f>
        <v>37.029722523945914</v>
      </c>
      <c r="AD25" s="548"/>
      <c r="AE25" s="535"/>
      <c r="AF25" s="535"/>
      <c r="AG25" s="644"/>
    </row>
    <row r="26" spans="1:33" x14ac:dyDescent="0.25">
      <c r="A26" s="701"/>
      <c r="B26" s="555" t="s">
        <v>698</v>
      </c>
      <c r="C26" s="577"/>
      <c r="D26" s="543"/>
      <c r="E26" s="543"/>
      <c r="F26" s="543"/>
      <c r="G26" s="543"/>
      <c r="H26" s="543"/>
      <c r="I26" s="543"/>
      <c r="J26" s="543"/>
      <c r="K26" s="543"/>
      <c r="L26" s="543"/>
      <c r="M26" s="9"/>
      <c r="N26" s="703"/>
      <c r="O26" s="583" t="s">
        <v>698</v>
      </c>
      <c r="P26" s="548"/>
      <c r="Q26" s="644"/>
      <c r="R26" s="535"/>
      <c r="S26" s="644"/>
      <c r="T26" s="535"/>
      <c r="U26" s="651"/>
      <c r="V26" s="639"/>
      <c r="W26" s="548"/>
      <c r="X26" s="548"/>
      <c r="Y26" s="644"/>
      <c r="Z26" s="535"/>
      <c r="AA26" s="644"/>
      <c r="AB26" s="535"/>
      <c r="AC26" s="646"/>
      <c r="AD26" s="548"/>
      <c r="AE26" s="646"/>
      <c r="AF26" s="548"/>
      <c r="AG26" s="646"/>
    </row>
    <row r="27" spans="1:33" x14ac:dyDescent="0.25">
      <c r="A27" s="701"/>
      <c r="B27" s="551" t="s">
        <v>0</v>
      </c>
      <c r="C27" s="578"/>
      <c r="D27" s="534"/>
      <c r="E27" s="534"/>
      <c r="F27" s="534"/>
      <c r="G27" s="534"/>
      <c r="H27" s="534"/>
      <c r="I27" s="534"/>
      <c r="J27" s="534"/>
      <c r="K27" s="534"/>
      <c r="L27" s="534"/>
      <c r="M27" s="9"/>
      <c r="N27" s="703"/>
      <c r="O27" s="583" t="s">
        <v>0</v>
      </c>
      <c r="P27" s="549"/>
      <c r="Q27" s="645"/>
      <c r="R27" s="536"/>
      <c r="S27" s="645"/>
      <c r="T27" s="536"/>
      <c r="U27" s="652"/>
      <c r="V27" s="640"/>
      <c r="W27" s="549"/>
      <c r="X27" s="549"/>
      <c r="Y27" s="645"/>
      <c r="Z27" s="536"/>
      <c r="AA27" s="536"/>
      <c r="AB27" s="549"/>
      <c r="AC27" s="549"/>
      <c r="AD27" s="549" t="e">
        <f>J27/$J$1</f>
        <v>#DIV/0!</v>
      </c>
      <c r="AE27" s="648" t="e">
        <f>1/J27</f>
        <v>#DIV/0!</v>
      </c>
      <c r="AF27" s="549">
        <f>K27/$K$1</f>
        <v>0</v>
      </c>
      <c r="AG27" s="648" t="e">
        <f>1/K27</f>
        <v>#DIV/0!</v>
      </c>
    </row>
    <row r="28" spans="1:33" x14ac:dyDescent="0.25">
      <c r="Q28" s="470"/>
      <c r="S28" s="470"/>
      <c r="U28" s="470"/>
      <c r="AD28" s="9"/>
      <c r="AE28" s="9"/>
      <c r="AF28" s="9"/>
      <c r="AG28" s="9"/>
    </row>
    <row r="29" spans="1:33" x14ac:dyDescent="0.25">
      <c r="Q29" s="470"/>
      <c r="S29" s="470"/>
      <c r="U29" s="470"/>
    </row>
    <row r="30" spans="1:33" x14ac:dyDescent="0.25">
      <c r="B30" s="537" t="s">
        <v>716</v>
      </c>
      <c r="H30" s="633"/>
      <c r="I30" s="633"/>
      <c r="Q30" s="470"/>
      <c r="S30" s="470"/>
      <c r="U30" s="470"/>
    </row>
    <row r="31" spans="1:33" x14ac:dyDescent="0.25">
      <c r="B31" s="538">
        <v>42724</v>
      </c>
      <c r="G31" s="633"/>
      <c r="H31" s="633"/>
      <c r="I31" s="633"/>
      <c r="Q31" s="470"/>
      <c r="S31" s="470"/>
    </row>
    <row r="32" spans="1:33" x14ac:dyDescent="0.25">
      <c r="G32" s="633"/>
      <c r="H32" s="633"/>
      <c r="I32" s="633"/>
      <c r="Q32" s="470"/>
    </row>
    <row r="33" spans="17:17" x14ac:dyDescent="0.25">
      <c r="Q33" s="470"/>
    </row>
    <row r="34" spans="17:17" x14ac:dyDescent="0.25">
      <c r="Q34" s="470"/>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92" t="s">
        <v>276</v>
      </c>
      <c r="C2" s="492" t="s">
        <v>179</v>
      </c>
      <c r="D2" s="492" t="s">
        <v>690</v>
      </c>
      <c r="E2" s="492" t="s">
        <v>1</v>
      </c>
      <c r="F2" s="492" t="s">
        <v>2</v>
      </c>
      <c r="G2" s="492" t="s">
        <v>697</v>
      </c>
      <c r="H2" s="492" t="s">
        <v>65</v>
      </c>
      <c r="I2" s="492" t="s">
        <v>578</v>
      </c>
      <c r="J2" s="492" t="s">
        <v>698</v>
      </c>
      <c r="K2" s="492" t="s">
        <v>0</v>
      </c>
      <c r="M2" s="594">
        <v>352</v>
      </c>
      <c r="N2" s="443" t="s">
        <v>806</v>
      </c>
      <c r="O2" s="48" t="s">
        <v>701</v>
      </c>
      <c r="P2" s="48" t="s">
        <v>807</v>
      </c>
      <c r="Q2" s="48" t="s">
        <v>701</v>
      </c>
      <c r="R2" s="48" t="s">
        <v>64</v>
      </c>
      <c r="S2" s="48" t="s">
        <v>703</v>
      </c>
      <c r="T2" s="48" t="s">
        <v>704</v>
      </c>
      <c r="U2" s="48" t="s">
        <v>703</v>
      </c>
      <c r="V2" s="48" t="s">
        <v>565</v>
      </c>
      <c r="W2" s="48" t="s">
        <v>808</v>
      </c>
      <c r="X2" s="48" t="s">
        <v>809</v>
      </c>
    </row>
    <row r="3" spans="2:25" x14ac:dyDescent="0.25">
      <c r="B3" t="s">
        <v>1</v>
      </c>
      <c r="C3" t="str">
        <f>Evaluacion!A3</f>
        <v>D. Gehmacher</v>
      </c>
      <c r="D3" s="635"/>
      <c r="E3" s="265">
        <f>Evaluacion!K3</f>
        <v>16.666666666666668</v>
      </c>
      <c r="F3" s="265">
        <f>Evaluacion!L3</f>
        <v>12.080559440559444</v>
      </c>
      <c r="G3" s="265">
        <f>Evaluacion!M3</f>
        <v>2.0699999999999985</v>
      </c>
      <c r="H3" s="265">
        <f>Evaluacion!N3</f>
        <v>2.149999999999999</v>
      </c>
      <c r="I3" s="265">
        <f>Evaluacion!O3</f>
        <v>1.0400000000000003</v>
      </c>
      <c r="J3" s="265">
        <f>Evaluacion!P3</f>
        <v>0.14055555555555557</v>
      </c>
      <c r="K3" s="265">
        <f>Evaluacion!Q3</f>
        <v>18.2</v>
      </c>
      <c r="M3" t="s">
        <v>1</v>
      </c>
      <c r="N3" s="595">
        <v>1</v>
      </c>
      <c r="O3" s="596">
        <f>Evaluacion!X3</f>
        <v>15.710538571934089</v>
      </c>
      <c r="P3" s="596">
        <f>Evaluacion!Y3</f>
        <v>23.1556108192189</v>
      </c>
      <c r="Q3" s="596">
        <f>Evaluacion!Z3</f>
        <v>15.710538571934089</v>
      </c>
      <c r="R3" s="596">
        <v>0</v>
      </c>
      <c r="S3" s="596">
        <v>0</v>
      </c>
      <c r="T3" s="596">
        <v>0</v>
      </c>
      <c r="U3" s="596">
        <v>0</v>
      </c>
      <c r="V3" s="596">
        <v>0</v>
      </c>
      <c r="W3" s="596">
        <f>Evaluacion!T3</f>
        <v>0.55302777777777778</v>
      </c>
      <c r="X3" s="596">
        <f>Evaluacion!U3</f>
        <v>1.0292223776223779</v>
      </c>
      <c r="Y3" s="600"/>
    </row>
    <row r="4" spans="2:25" x14ac:dyDescent="0.25">
      <c r="B4" t="s">
        <v>802</v>
      </c>
      <c r="C4" t="str">
        <f>Evaluacion!A6</f>
        <v>E. Toney</v>
      </c>
      <c r="D4" s="635"/>
      <c r="E4" s="265">
        <f>Evaluacion!K6</f>
        <v>0</v>
      </c>
      <c r="F4" s="265">
        <f>Evaluacion!L6</f>
        <v>12.200000000000005</v>
      </c>
      <c r="G4" s="265">
        <f>Evaluacion!M6</f>
        <v>12.95</v>
      </c>
      <c r="H4" s="265">
        <f>Evaluacion!N6</f>
        <v>9.8750000000000053</v>
      </c>
      <c r="I4" s="265">
        <f>Evaluacion!O6</f>
        <v>9.6</v>
      </c>
      <c r="J4" s="265">
        <f>Evaluacion!P6</f>
        <v>2.99</v>
      </c>
      <c r="K4" s="265">
        <f>Evaluacion!Q6</f>
        <v>17.177777777777774</v>
      </c>
      <c r="M4" t="s">
        <v>802</v>
      </c>
      <c r="N4" s="595">
        <v>1</v>
      </c>
      <c r="O4" s="596">
        <f>Evaluacion!AI6</f>
        <v>14.081053845391272</v>
      </c>
      <c r="P4" s="596">
        <f>Evaluacion!AJ6</f>
        <v>6.3364742304260719</v>
      </c>
      <c r="Q4" s="596">
        <v>0</v>
      </c>
      <c r="R4" s="596">
        <f>Evaluacion!AK6</f>
        <v>2.6812673828047195</v>
      </c>
      <c r="S4" s="596">
        <f>Evaluacion!AL6</f>
        <v>7.6325300664022473</v>
      </c>
      <c r="T4" s="596">
        <v>0</v>
      </c>
      <c r="U4" s="596">
        <v>0</v>
      </c>
      <c r="V4" s="596">
        <f>Evaluacion!R6</f>
        <v>4.3000000000000007</v>
      </c>
      <c r="W4" s="596">
        <f>Evaluacion!T6</f>
        <v>0.66483333333333317</v>
      </c>
      <c r="X4" s="596">
        <f>Evaluacion!U6</f>
        <v>1.0033333333333334</v>
      </c>
    </row>
    <row r="5" spans="2:25" x14ac:dyDescent="0.25">
      <c r="B5" t="s">
        <v>803</v>
      </c>
      <c r="C5" t="str">
        <f>Evaluacion!A15</f>
        <v>E. Gross</v>
      </c>
      <c r="D5" s="635"/>
      <c r="E5" s="265">
        <f>Evaluacion!K15</f>
        <v>0</v>
      </c>
      <c r="F5" s="265">
        <f>Evaluacion!L15</f>
        <v>10.549999999999995</v>
      </c>
      <c r="G5" s="265">
        <f>Evaluacion!M15</f>
        <v>13</v>
      </c>
      <c r="H5" s="265">
        <f>Evaluacion!N15</f>
        <v>4.95</v>
      </c>
      <c r="I5" s="265">
        <f>Evaluacion!O15</f>
        <v>9.24</v>
      </c>
      <c r="J5" s="265">
        <f>Evaluacion!P15</f>
        <v>1.95</v>
      </c>
      <c r="K5" s="265">
        <f>Evaluacion!Q15</f>
        <v>17.459999999999997</v>
      </c>
      <c r="M5" t="s">
        <v>803</v>
      </c>
      <c r="N5" s="595">
        <v>1</v>
      </c>
      <c r="O5" s="596">
        <f>(Evaluacion!AA15+Evaluacion!AC15)/2</f>
        <v>5.2202075229605729</v>
      </c>
      <c r="P5" s="596">
        <f>Evaluacion!AB15</f>
        <v>13.488908328063495</v>
      </c>
      <c r="Q5" s="596">
        <f>O5</f>
        <v>5.2202075229605729</v>
      </c>
      <c r="R5" s="596">
        <f>Evaluacion!AD15</f>
        <v>3.7934601820791127</v>
      </c>
      <c r="S5" s="596">
        <v>0</v>
      </c>
      <c r="T5" s="596">
        <v>0</v>
      </c>
      <c r="U5" s="596">
        <v>0</v>
      </c>
      <c r="V5" s="596">
        <f>Evaluacion!R15</f>
        <v>4.0037499999999993</v>
      </c>
      <c r="W5" s="596">
        <f>Evaluacion!T15</f>
        <v>0.62129999999999985</v>
      </c>
      <c r="X5" s="596">
        <f>Evaluacion!U15</f>
        <v>0.94579999999999964</v>
      </c>
    </row>
    <row r="6" spans="2:25" x14ac:dyDescent="0.25">
      <c r="B6" t="s">
        <v>802</v>
      </c>
      <c r="C6" t="str">
        <f>Evaluacion!A9</f>
        <v>B. Pinczehelyi</v>
      </c>
      <c r="D6" s="635" t="str">
        <f>Evaluacion!D9</f>
        <v>CAB</v>
      </c>
      <c r="E6" s="265">
        <f>Evaluacion!K9</f>
        <v>0</v>
      </c>
      <c r="F6" s="265">
        <f>Evaluacion!L9</f>
        <v>14.300000000000004</v>
      </c>
      <c r="G6" s="265">
        <f>Evaluacion!M9</f>
        <v>9.3793333333333351</v>
      </c>
      <c r="H6" s="265">
        <f>Evaluacion!N9</f>
        <v>13.95</v>
      </c>
      <c r="I6" s="265">
        <f>Evaluacion!O9</f>
        <v>9.4199999999999982</v>
      </c>
      <c r="J6" s="265">
        <f>Evaluacion!P9</f>
        <v>0.95</v>
      </c>
      <c r="K6" s="265">
        <f>Evaluacion!Q9</f>
        <v>11.25</v>
      </c>
      <c r="M6" t="s">
        <v>802</v>
      </c>
      <c r="N6" s="595">
        <v>1</v>
      </c>
      <c r="O6" s="596">
        <v>0</v>
      </c>
      <c r="P6" s="596">
        <f>Evaluacion!AJ9</f>
        <v>7.013407804600809</v>
      </c>
      <c r="Q6" s="596">
        <f>Evaluacion!AI9</f>
        <v>15.585350676890688</v>
      </c>
      <c r="R6" s="596">
        <f>Evaluacion!AK9</f>
        <v>2.0073286264935626</v>
      </c>
      <c r="S6" s="596">
        <v>0</v>
      </c>
      <c r="T6" s="596">
        <f>0</f>
        <v>0</v>
      </c>
      <c r="U6" s="596">
        <f>Evaluacion!AL9</f>
        <v>9.7552719543605662</v>
      </c>
      <c r="V6" s="596">
        <f>Evaluacion!R9</f>
        <v>4.5175000000000001</v>
      </c>
      <c r="W6" s="596">
        <f>Evaluacion!T9</f>
        <v>0.38500000000000001</v>
      </c>
      <c r="X6" s="596">
        <f>Evaluacion!U9</f>
        <v>0.9095000000000002</v>
      </c>
    </row>
    <row r="7" spans="2:25" x14ac:dyDescent="0.25">
      <c r="B7" t="s">
        <v>503</v>
      </c>
      <c r="C7" t="str">
        <f>Evaluacion!A13</f>
        <v>S. Buschelman</v>
      </c>
      <c r="D7" s="635" t="str">
        <f>Evaluacion!D13</f>
        <v>TEC</v>
      </c>
      <c r="E7" s="265">
        <f>Evaluacion!K13</f>
        <v>0</v>
      </c>
      <c r="F7" s="265">
        <f>Evaluacion!L13</f>
        <v>9.3036666666666648</v>
      </c>
      <c r="G7" s="265">
        <f>Evaluacion!M13</f>
        <v>14</v>
      </c>
      <c r="H7" s="265">
        <f>Evaluacion!N13</f>
        <v>12.945</v>
      </c>
      <c r="I7" s="265">
        <f>Evaluacion!O13</f>
        <v>10</v>
      </c>
      <c r="J7" s="265">
        <f>Evaluacion!P13</f>
        <v>4.99</v>
      </c>
      <c r="K7" s="265">
        <f>Evaluacion!Q13</f>
        <v>16</v>
      </c>
      <c r="M7" t="s">
        <v>503</v>
      </c>
      <c r="N7" s="595">
        <v>0.82499999999999996</v>
      </c>
      <c r="O7" s="596">
        <f>Evaluacion!BE13*N7</f>
        <v>2.9502635420734178</v>
      </c>
      <c r="P7" s="596">
        <f>Evaluacion!BF13*N7</f>
        <v>3.5281502152630564</v>
      </c>
      <c r="Q7" s="596">
        <v>0</v>
      </c>
      <c r="R7" s="596">
        <f>Evaluacion!BG13*N7</f>
        <v>12.345310002720556</v>
      </c>
      <c r="S7" s="596">
        <f>Evaluacion!BH13*N7</f>
        <v>10.918317454220855</v>
      </c>
      <c r="T7" s="596">
        <f>Evaluacion!BI13*N7</f>
        <v>2.5817938826965423</v>
      </c>
      <c r="U7" s="596">
        <v>0</v>
      </c>
      <c r="V7" s="596">
        <v>0</v>
      </c>
      <c r="W7" s="596">
        <f>Evaluacion!T13*N7</f>
        <v>0.60183750000000003</v>
      </c>
      <c r="X7" s="596">
        <f>Evaluacion!U13*N7</f>
        <v>0.70302099999999978</v>
      </c>
    </row>
    <row r="8" spans="2:25" x14ac:dyDescent="0.25">
      <c r="B8" t="s">
        <v>804</v>
      </c>
      <c r="C8" t="str">
        <f>Evaluacion!A16</f>
        <v>L. Bauman</v>
      </c>
      <c r="D8" s="635"/>
      <c r="E8" s="265">
        <f>Evaluacion!K16</f>
        <v>0</v>
      </c>
      <c r="F8" s="265">
        <f>Evaluacion!L16</f>
        <v>6</v>
      </c>
      <c r="G8" s="265">
        <f>Evaluacion!M16</f>
        <v>14.1</v>
      </c>
      <c r="H8" s="265">
        <f>Evaluacion!N16</f>
        <v>3.5124999999999993</v>
      </c>
      <c r="I8" s="265">
        <f>Evaluacion!O16</f>
        <v>9.1400000000000041</v>
      </c>
      <c r="J8" s="265">
        <f>Evaluacion!P16</f>
        <v>6.95</v>
      </c>
      <c r="K8" s="265">
        <f>Evaluacion!Q16</f>
        <v>17</v>
      </c>
      <c r="M8" t="s">
        <v>804</v>
      </c>
      <c r="N8" s="595">
        <v>0.82499999999999996</v>
      </c>
      <c r="O8" s="596">
        <f>((Evaluacion!AX16+Evaluacion!AZ16)/2)*N8</f>
        <v>1.0350047692621538</v>
      </c>
      <c r="P8" s="596">
        <f>Evaluacion!AY16*N8</f>
        <v>2.9206483788702755</v>
      </c>
      <c r="Q8" s="596">
        <f>O8</f>
        <v>1.0350047692621538</v>
      </c>
      <c r="R8" s="596">
        <f>Evaluacion!BA16*N8</f>
        <v>13.98412094717569</v>
      </c>
      <c r="S8" s="596">
        <f>((Evaluacion!BB16+Evaluacion!BD16)/2)*N8</f>
        <v>1.8770299497265877</v>
      </c>
      <c r="T8" s="596">
        <f>Evaluacion!BC16*N8</f>
        <v>5.0711411418938059</v>
      </c>
      <c r="U8" s="596">
        <f>S8</f>
        <v>1.8770299497265877</v>
      </c>
      <c r="V8" s="596">
        <v>0</v>
      </c>
      <c r="W8" s="596">
        <f>Evaluacion!T16*N8</f>
        <v>0.70743749999999994</v>
      </c>
      <c r="X8" s="596">
        <f>Evaluacion!U16*N8</f>
        <v>0.61874999999999991</v>
      </c>
    </row>
    <row r="9" spans="2:25" x14ac:dyDescent="0.25">
      <c r="B9" t="s">
        <v>503</v>
      </c>
      <c r="C9" t="str">
        <f>Evaluacion!A14</f>
        <v>C. Rojas</v>
      </c>
      <c r="D9" s="635" t="str">
        <f>Evaluacion!D14</f>
        <v>TEC</v>
      </c>
      <c r="E9" s="265">
        <f>Evaluacion!K14</f>
        <v>0</v>
      </c>
      <c r="F9" s="265">
        <f>Evaluacion!L14</f>
        <v>8.6275555555555581</v>
      </c>
      <c r="G9" s="265">
        <f>Evaluacion!M14</f>
        <v>13.95</v>
      </c>
      <c r="H9" s="265">
        <f>Evaluacion!N14</f>
        <v>9.9499999999999993</v>
      </c>
      <c r="I9" s="265">
        <f>Evaluacion!O14</f>
        <v>9.9499999999999993</v>
      </c>
      <c r="J9" s="265">
        <f>Evaluacion!P14</f>
        <v>2.95</v>
      </c>
      <c r="K9" s="265">
        <f>Evaluacion!Q14</f>
        <v>17.144444444444439</v>
      </c>
      <c r="M9" t="s">
        <v>503</v>
      </c>
      <c r="N9" s="595">
        <v>0.82499999999999996</v>
      </c>
      <c r="O9" s="596">
        <v>0</v>
      </c>
      <c r="P9" s="596">
        <f>Evaluacion!BF14*N9</f>
        <v>3.3365769008655994</v>
      </c>
      <c r="Q9" s="596">
        <f>Evaluacion!BE14*N9</f>
        <v>2.7900686153789924</v>
      </c>
      <c r="R9" s="596">
        <f>Evaluacion!BG14*N9</f>
        <v>12.31539444673159</v>
      </c>
      <c r="S9" s="596">
        <v>0</v>
      </c>
      <c r="T9" s="596">
        <f>Evaluacion!BI14*N9</f>
        <v>2.5736103991626704</v>
      </c>
      <c r="U9" s="596">
        <f>Evaluacion!BH14*N9</f>
        <v>9.4935254973261998</v>
      </c>
      <c r="V9" s="596">
        <v>0</v>
      </c>
      <c r="W9" s="596">
        <f>Evaluacion!T14*N9</f>
        <v>0.5460124999999999</v>
      </c>
      <c r="X9" s="596">
        <f>Evaluacion!U14*N9</f>
        <v>0.70903433333333321</v>
      </c>
    </row>
    <row r="10" spans="2:25" x14ac:dyDescent="0.25">
      <c r="B10" t="s">
        <v>805</v>
      </c>
      <c r="C10" t="str">
        <f>Evaluacion!A10</f>
        <v>E. Romweber</v>
      </c>
      <c r="D10" s="635" t="str">
        <f>Evaluacion!D10</f>
        <v>IMP</v>
      </c>
      <c r="E10" s="265">
        <f>Evaluacion!K10</f>
        <v>0</v>
      </c>
      <c r="F10" s="265">
        <f>Evaluacion!L10</f>
        <v>11.95</v>
      </c>
      <c r="G10" s="265">
        <f>Evaluacion!M10</f>
        <v>12.614111111111114</v>
      </c>
      <c r="H10" s="265">
        <f>Evaluacion!N10</f>
        <v>12.95</v>
      </c>
      <c r="I10" s="265">
        <f>Evaluacion!O10</f>
        <v>10.95</v>
      </c>
      <c r="J10" s="265">
        <f>Evaluacion!P10</f>
        <v>6.99</v>
      </c>
      <c r="K10" s="265">
        <f>Evaluacion!Q10</f>
        <v>17.529999999999998</v>
      </c>
      <c r="M10" t="s">
        <v>805</v>
      </c>
      <c r="N10" s="595">
        <v>1</v>
      </c>
      <c r="O10" s="596">
        <f>Evaluacion!BT10</f>
        <v>4.2651465567624172</v>
      </c>
      <c r="P10" s="596">
        <f>Evaluacion!BU10</f>
        <v>3.6644216896127815</v>
      </c>
      <c r="Q10" s="596">
        <v>0</v>
      </c>
      <c r="R10" s="596">
        <f>Evaluacion!BV10</f>
        <v>7.1354159193826705</v>
      </c>
      <c r="S10" s="596">
        <f>Evaluacion!BW10</f>
        <v>17.260078820044924</v>
      </c>
      <c r="T10" s="596">
        <f>Evaluacion!BX10</f>
        <v>1.6961927231276497</v>
      </c>
      <c r="U10" s="596">
        <v>0</v>
      </c>
      <c r="V10" s="596">
        <v>0</v>
      </c>
      <c r="W10" s="596">
        <f>Evaluacion!T10*N10</f>
        <v>0.87539999999999996</v>
      </c>
      <c r="X10" s="596">
        <f>Evaluacion!U10*N10</f>
        <v>1.0039</v>
      </c>
    </row>
    <row r="11" spans="2:25" x14ac:dyDescent="0.25">
      <c r="B11" t="s">
        <v>805</v>
      </c>
      <c r="C11" t="str">
        <f>Evaluacion!A11</f>
        <v>K. Helms</v>
      </c>
      <c r="D11" s="635" t="str">
        <f>Evaluacion!D11</f>
        <v>TEC</v>
      </c>
      <c r="E11" s="265">
        <f>Evaluacion!K11</f>
        <v>0</v>
      </c>
      <c r="F11" s="265">
        <f>Evaluacion!L11</f>
        <v>7.2503030303030309</v>
      </c>
      <c r="G11" s="265">
        <f>Evaluacion!M11</f>
        <v>10.600000000000005</v>
      </c>
      <c r="H11" s="265">
        <f>Evaluacion!N11</f>
        <v>13.471666666666668</v>
      </c>
      <c r="I11" s="265">
        <f>Evaluacion!O11</f>
        <v>10.359999999999998</v>
      </c>
      <c r="J11" s="265">
        <f>Evaluacion!P11</f>
        <v>4.99</v>
      </c>
      <c r="K11" s="265">
        <f>Evaluacion!Q11</f>
        <v>18</v>
      </c>
      <c r="M11" t="s">
        <v>805</v>
      </c>
      <c r="N11" s="595">
        <v>1</v>
      </c>
      <c r="O11" s="596">
        <v>0</v>
      </c>
      <c r="P11" s="596">
        <f>Evaluacion!BU11</f>
        <v>2.4873401132035577</v>
      </c>
      <c r="Q11" s="596">
        <f>Evaluacion!BT11</f>
        <v>2.8951007874992229</v>
      </c>
      <c r="R11" s="596">
        <f>Evaluacion!BV11</f>
        <v>6.1623897913253156</v>
      </c>
      <c r="S11" s="596">
        <v>0</v>
      </c>
      <c r="T11" s="596">
        <f>Evaluacion!BX11</f>
        <v>1.6097493730777201</v>
      </c>
      <c r="U11" s="596">
        <f>Evaluacion!BW11</f>
        <v>17.428994920414169</v>
      </c>
      <c r="V11" s="596">
        <v>0</v>
      </c>
      <c r="W11" s="596">
        <f>Evaluacion!T11*N11</f>
        <v>0.78949999999999998</v>
      </c>
      <c r="X11" s="596">
        <f>Evaluacion!U11*N11</f>
        <v>0.8300121212121212</v>
      </c>
    </row>
    <row r="12" spans="2:25" x14ac:dyDescent="0.25">
      <c r="B12" t="s">
        <v>66</v>
      </c>
      <c r="C12" t="str">
        <f>Evaluacion!A19</f>
        <v>J. Limon</v>
      </c>
      <c r="D12" s="635" t="str">
        <f>Evaluacion!D19</f>
        <v>RAP</v>
      </c>
      <c r="E12" s="265">
        <f>Evaluacion!K19</f>
        <v>0</v>
      </c>
      <c r="F12" s="265">
        <f>Evaluacion!L19</f>
        <v>6.8376190476190493</v>
      </c>
      <c r="G12" s="265">
        <f>Evaluacion!M19</f>
        <v>9</v>
      </c>
      <c r="H12" s="265">
        <f>Evaluacion!N19</f>
        <v>8.7399999999999967</v>
      </c>
      <c r="I12" s="265">
        <f>Evaluacion!O19</f>
        <v>9.9499999999999993</v>
      </c>
      <c r="J12" s="265">
        <f>Evaluacion!P19</f>
        <v>7.95</v>
      </c>
      <c r="K12" s="265">
        <f>Evaluacion!Q19</f>
        <v>18.999999999999993</v>
      </c>
      <c r="M12" t="s">
        <v>66</v>
      </c>
      <c r="N12" s="595">
        <v>0.94499999999999995</v>
      </c>
      <c r="O12" s="596">
        <v>0</v>
      </c>
      <c r="P12" s="596">
        <v>0</v>
      </c>
      <c r="Q12" s="596">
        <v>0</v>
      </c>
      <c r="R12" s="596">
        <f>N12*Evaluacion!CK19</f>
        <v>2.8315171559766537</v>
      </c>
      <c r="S12" s="596">
        <f>N12*Evaluacion!CH19</f>
        <v>6.7484865526938194</v>
      </c>
      <c r="T12" s="596">
        <f>N12*Evaluacion!CI19</f>
        <v>14.844407696128153</v>
      </c>
      <c r="U12" s="596">
        <f>S12</f>
        <v>6.7484865526938194</v>
      </c>
      <c r="V12" s="596">
        <v>0</v>
      </c>
      <c r="W12" s="596">
        <f>Evaluacion!T19*N12</f>
        <v>0.9142874999999997</v>
      </c>
      <c r="X12" s="596">
        <f>Evaluacion!U19*N12</f>
        <v>0.79711199999999982</v>
      </c>
    </row>
    <row r="13" spans="2:25" x14ac:dyDescent="0.25">
      <c r="B13" t="s">
        <v>602</v>
      </c>
      <c r="C13" t="str">
        <f>Evaluacion!A20</f>
        <v>L. Calosso</v>
      </c>
      <c r="D13" s="635" t="str">
        <f>Evaluacion!D20</f>
        <v>TEC</v>
      </c>
      <c r="E13" s="265">
        <f>Evaluacion!K20</f>
        <v>0</v>
      </c>
      <c r="F13" s="265">
        <f>Evaluacion!L20</f>
        <v>2.95</v>
      </c>
      <c r="G13" s="265">
        <f>Evaluacion!M20</f>
        <v>13.95</v>
      </c>
      <c r="H13" s="265">
        <f>Evaluacion!N20</f>
        <v>3.04</v>
      </c>
      <c r="I13" s="265">
        <f>Evaluacion!O20</f>
        <v>15.02</v>
      </c>
      <c r="J13" s="265">
        <f>Evaluacion!P20</f>
        <v>9.9499999999999993</v>
      </c>
      <c r="K13" s="265">
        <f>Evaluacion!Q20</f>
        <v>11.25</v>
      </c>
      <c r="M13" t="s">
        <v>602</v>
      </c>
      <c r="N13" s="595">
        <f>1-0.055</f>
        <v>0.94499999999999995</v>
      </c>
      <c r="O13" s="596">
        <v>0</v>
      </c>
      <c r="P13" s="596">
        <v>0</v>
      </c>
      <c r="Q13" s="596">
        <v>0</v>
      </c>
      <c r="R13" s="596">
        <f>N13*Evaluacion!CD20</f>
        <v>6.5026190454531232</v>
      </c>
      <c r="S13" s="596">
        <f>N13*Evaluacion!CE20</f>
        <v>7.9268582436387343</v>
      </c>
      <c r="T13" s="596">
        <f>N13*Evaluacion!CF20</f>
        <v>16.37967170413846</v>
      </c>
      <c r="U13" s="596">
        <f>S13</f>
        <v>7.9268582436387343</v>
      </c>
      <c r="V13" s="596">
        <v>0</v>
      </c>
      <c r="W13" s="596">
        <f>Evaluacion!T20*N13</f>
        <v>0.78907499999999997</v>
      </c>
      <c r="X13" s="596">
        <f>Evaluacion!U20*N13</f>
        <v>0.43044749999999993</v>
      </c>
    </row>
    <row r="14" spans="2:25" x14ac:dyDescent="0.25">
      <c r="M14" s="263"/>
      <c r="N14" s="443"/>
      <c r="O14" s="597">
        <f>SUM(O3:O13)</f>
        <v>43.262214808383916</v>
      </c>
      <c r="P14" s="597">
        <f t="shared" ref="P14:X14" si="0">SUM(P3:P13)</f>
        <v>65.931538480124544</v>
      </c>
      <c r="Q14" s="597">
        <f t="shared" si="0"/>
        <v>43.236270943925717</v>
      </c>
      <c r="R14" s="597">
        <f t="shared" si="0"/>
        <v>69.758823500142995</v>
      </c>
      <c r="S14" s="597">
        <f t="shared" si="0"/>
        <v>52.363301086727162</v>
      </c>
      <c r="T14" s="597">
        <f t="shared" si="0"/>
        <v>44.756566920225005</v>
      </c>
      <c r="U14" s="597">
        <f t="shared" si="0"/>
        <v>53.230167118160075</v>
      </c>
      <c r="V14" s="653">
        <f t="shared" si="0"/>
        <v>12.821250000000001</v>
      </c>
      <c r="W14" s="653">
        <f t="shared" si="0"/>
        <v>7.4477111111111114</v>
      </c>
      <c r="X14" s="653">
        <f t="shared" si="0"/>
        <v>8.9801326655011646</v>
      </c>
    </row>
    <row r="15" spans="2:25" ht="15.75" x14ac:dyDescent="0.25">
      <c r="M15" s="263"/>
      <c r="N15" s="263" t="s">
        <v>810</v>
      </c>
      <c r="O15" s="599">
        <f>O14*0.34</f>
        <v>14.709153034850532</v>
      </c>
      <c r="P15" s="599">
        <f>P14*0.245</f>
        <v>16.153226927630513</v>
      </c>
      <c r="Q15" s="599">
        <f>Q14*0.34</f>
        <v>14.700332120934744</v>
      </c>
      <c r="R15" s="599">
        <f>R14*0.125</f>
        <v>8.7198529375178744</v>
      </c>
      <c r="S15" s="599">
        <f>S14*0.25</f>
        <v>13.090825271681791</v>
      </c>
      <c r="T15" s="599">
        <f>T14*0.19</f>
        <v>8.5037477148427509</v>
      </c>
      <c r="U15" s="599">
        <f>U14*0.25</f>
        <v>13.307541779540019</v>
      </c>
    </row>
    <row r="16" spans="2:25" ht="15.75" x14ac:dyDescent="0.25">
      <c r="M16" s="263"/>
      <c r="N16" s="263" t="s">
        <v>811</v>
      </c>
      <c r="O16" s="609">
        <f>O15*1.2/1.05</f>
        <v>16.810460611257749</v>
      </c>
      <c r="P16" s="609">
        <f t="shared" ref="P16:Q16" si="1">P15*1.2/1.05</f>
        <v>18.460830774434871</v>
      </c>
      <c r="Q16" s="609">
        <f t="shared" si="1"/>
        <v>16.800379566782564</v>
      </c>
      <c r="R16" s="609">
        <f>R15</f>
        <v>8.7198529375178744</v>
      </c>
      <c r="S16" s="609">
        <f>S15*0.925/1.05</f>
        <v>11.532393691719673</v>
      </c>
      <c r="T16" s="609">
        <f t="shared" ref="T16:U16" si="2">T15*0.925/1.05</f>
        <v>7.4913967964090897</v>
      </c>
      <c r="U16" s="609">
        <f t="shared" si="2"/>
        <v>11.723310615309064</v>
      </c>
    </row>
    <row r="17" spans="13:21" ht="15.75" x14ac:dyDescent="0.25">
      <c r="M17" s="263"/>
      <c r="N17" s="263" t="s">
        <v>812</v>
      </c>
      <c r="O17" s="609">
        <f>O15*0.925/1.05</f>
        <v>12.958063387844517</v>
      </c>
      <c r="P17" s="609">
        <f t="shared" ref="P17:Q17" si="3">P15*0.925/1.05</f>
        <v>14.230223721960213</v>
      </c>
      <c r="Q17" s="609">
        <f t="shared" si="3"/>
        <v>12.950292582728228</v>
      </c>
      <c r="R17" s="609">
        <f>R16</f>
        <v>8.7198529375178744</v>
      </c>
      <c r="S17" s="609">
        <f>S15*1.135/1.05</f>
        <v>14.150558746056031</v>
      </c>
      <c r="T17" s="609">
        <f t="shared" ref="T17:U17" si="4">T15*1.135/1.05</f>
        <v>9.1921463393776399</v>
      </c>
      <c r="U17" s="609">
        <f t="shared" si="4"/>
        <v>14.384818971217067</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92" t="s">
        <v>276</v>
      </c>
      <c r="B1" s="492" t="s">
        <v>179</v>
      </c>
      <c r="C1" s="492" t="s">
        <v>690</v>
      </c>
      <c r="D1" s="492" t="s">
        <v>1</v>
      </c>
      <c r="E1" s="492" t="s">
        <v>2</v>
      </c>
      <c r="F1" s="492" t="s">
        <v>697</v>
      </c>
      <c r="G1" s="492" t="s">
        <v>65</v>
      </c>
      <c r="H1" s="492" t="s">
        <v>578</v>
      </c>
      <c r="I1" s="492" t="s">
        <v>698</v>
      </c>
      <c r="J1" s="492" t="s">
        <v>0</v>
      </c>
      <c r="L1" s="594">
        <v>541</v>
      </c>
      <c r="M1" s="443" t="s">
        <v>806</v>
      </c>
      <c r="N1" s="48" t="s">
        <v>701</v>
      </c>
      <c r="O1" s="48" t="s">
        <v>807</v>
      </c>
      <c r="P1" s="48" t="s">
        <v>701</v>
      </c>
      <c r="Q1" s="48" t="s">
        <v>64</v>
      </c>
      <c r="R1" s="48" t="s">
        <v>703</v>
      </c>
      <c r="S1" s="48" t="s">
        <v>704</v>
      </c>
      <c r="T1" s="48" t="s">
        <v>703</v>
      </c>
      <c r="U1" s="48" t="s">
        <v>565</v>
      </c>
      <c r="V1" s="48" t="s">
        <v>808</v>
      </c>
      <c r="W1" s="48" t="s">
        <v>809</v>
      </c>
    </row>
    <row r="2" spans="1:27" x14ac:dyDescent="0.25">
      <c r="A2" t="s">
        <v>1</v>
      </c>
      <c r="B2" t="str">
        <f>Evaluacion!A3</f>
        <v>D. Gehmacher</v>
      </c>
      <c r="C2">
        <f>Evaluacion!D3</f>
        <v>0</v>
      </c>
      <c r="D2" s="265">
        <f>Evaluacion!K3</f>
        <v>16.666666666666668</v>
      </c>
      <c r="E2" s="265">
        <f>Evaluacion!L3</f>
        <v>12.080559440559444</v>
      </c>
      <c r="F2" s="265">
        <f>Evaluacion!M3</f>
        <v>2.0699999999999985</v>
      </c>
      <c r="G2" s="265">
        <f>Evaluacion!N3</f>
        <v>2.149999999999999</v>
      </c>
      <c r="H2" s="265">
        <f>Evaluacion!O3</f>
        <v>1.0400000000000003</v>
      </c>
      <c r="I2" s="265">
        <f>Evaluacion!P3</f>
        <v>0.14055555555555557</v>
      </c>
      <c r="J2" s="265">
        <f>Evaluacion!Q3</f>
        <v>18.2</v>
      </c>
      <c r="L2" t="str">
        <f>A2</f>
        <v>POR</v>
      </c>
      <c r="M2" s="595">
        <v>1</v>
      </c>
      <c r="N2" s="596">
        <f>Evaluacion!X3</f>
        <v>15.710538571934089</v>
      </c>
      <c r="O2" s="596">
        <f>Evaluacion!Y3</f>
        <v>23.1556108192189</v>
      </c>
      <c r="P2" s="596">
        <f>Evaluacion!Z3</f>
        <v>15.710538571934089</v>
      </c>
      <c r="Q2" s="596">
        <v>0</v>
      </c>
      <c r="R2" s="596">
        <v>0</v>
      </c>
      <c r="S2" s="596">
        <v>0</v>
      </c>
      <c r="T2" s="596">
        <v>0</v>
      </c>
      <c r="U2" s="596">
        <v>0</v>
      </c>
      <c r="V2" s="596">
        <f>Evaluacion!T3</f>
        <v>0.55302777777777778</v>
      </c>
      <c r="W2" s="596">
        <f>Evaluacion!U3</f>
        <v>1.0292223776223779</v>
      </c>
      <c r="AA2" s="601"/>
    </row>
    <row r="3" spans="1:27" x14ac:dyDescent="0.25">
      <c r="A3" t="s">
        <v>802</v>
      </c>
      <c r="B3" t="str">
        <f>Evaluacion!A9</f>
        <v>B. Pinczehelyi</v>
      </c>
      <c r="C3" t="str">
        <f>Evaluacion!D9</f>
        <v>CAB</v>
      </c>
      <c r="D3" s="265">
        <f>Evaluacion!K9</f>
        <v>0</v>
      </c>
      <c r="E3" s="265">
        <f>Evaluacion!L9</f>
        <v>14.300000000000004</v>
      </c>
      <c r="F3" s="265">
        <f>Evaluacion!M9</f>
        <v>9.3793333333333351</v>
      </c>
      <c r="G3" s="265">
        <f>Evaluacion!N9</f>
        <v>13.95</v>
      </c>
      <c r="H3" s="265">
        <f>Evaluacion!O9</f>
        <v>9.4199999999999982</v>
      </c>
      <c r="I3" s="265">
        <f>Evaluacion!P9</f>
        <v>0.95</v>
      </c>
      <c r="J3" s="265">
        <f>Evaluacion!Q9</f>
        <v>11.25</v>
      </c>
      <c r="L3" t="str">
        <f t="shared" ref="L3:L12" si="0">A3</f>
        <v>LATN</v>
      </c>
      <c r="M3" s="595">
        <v>1</v>
      </c>
      <c r="N3" s="596">
        <f>Evaluacion!AI9</f>
        <v>15.585350676890688</v>
      </c>
      <c r="O3" s="596">
        <f>Evaluacion!AJ9</f>
        <v>7.013407804600809</v>
      </c>
      <c r="P3" s="596">
        <v>0</v>
      </c>
      <c r="Q3" s="596">
        <f>Evaluacion!AK9</f>
        <v>2.0073286264935626</v>
      </c>
      <c r="R3" s="596">
        <f>Evaluacion!AL9</f>
        <v>9.7552719543605662</v>
      </c>
      <c r="S3" s="596">
        <v>0</v>
      </c>
      <c r="T3" s="596">
        <v>0</v>
      </c>
      <c r="U3" s="596">
        <f>Evaluacion!R9</f>
        <v>4.5175000000000001</v>
      </c>
      <c r="V3" s="596">
        <f>Evaluacion!T9</f>
        <v>0.38500000000000001</v>
      </c>
      <c r="W3" s="596">
        <f>Evaluacion!U9</f>
        <v>0.9095000000000002</v>
      </c>
      <c r="AA3" s="602"/>
    </row>
    <row r="4" spans="1:27" x14ac:dyDescent="0.25">
      <c r="A4" t="s">
        <v>814</v>
      </c>
      <c r="B4" t="str">
        <f>Evaluacion!A7</f>
        <v>B. Bartolache</v>
      </c>
      <c r="C4">
        <f>Evaluacion!D7</f>
        <v>0</v>
      </c>
      <c r="D4" s="265">
        <f>Evaluacion!K7</f>
        <v>0</v>
      </c>
      <c r="E4" s="265">
        <f>Evaluacion!L7</f>
        <v>11.95</v>
      </c>
      <c r="F4" s="265">
        <f>Evaluacion!M7</f>
        <v>6.95</v>
      </c>
      <c r="G4" s="265">
        <f>Evaluacion!N7</f>
        <v>7.5000000000000018</v>
      </c>
      <c r="H4" s="265">
        <f>Evaluacion!O7</f>
        <v>8.9</v>
      </c>
      <c r="I4" s="265">
        <f>Evaluacion!P7</f>
        <v>3.9</v>
      </c>
      <c r="J4" s="265">
        <f>Evaluacion!Q7</f>
        <v>16</v>
      </c>
      <c r="L4" t="str">
        <f t="shared" si="0"/>
        <v>DCHL</v>
      </c>
      <c r="M4" s="595">
        <v>0.9</v>
      </c>
      <c r="N4" s="596">
        <f>M4*Evaluacion!AM7</f>
        <v>10.069422101531162</v>
      </c>
      <c r="O4" s="596">
        <f>M4*Evaluacion!AN7</f>
        <v>9.4551072253104262</v>
      </c>
      <c r="P4" s="596">
        <v>0</v>
      </c>
      <c r="Q4" s="596">
        <f>M4*Evaluacion!AO7</f>
        <v>2.8389450941057088</v>
      </c>
      <c r="R4" s="596">
        <f>M4*Evaluacion!AP7</f>
        <v>1.8098053119906825</v>
      </c>
      <c r="S4" s="596">
        <v>0</v>
      </c>
      <c r="T4" s="596">
        <v>0</v>
      </c>
      <c r="U4" s="596">
        <f>Evaluacion!R7</f>
        <v>4.09375</v>
      </c>
      <c r="V4" s="596">
        <f>Evaluacion!T7*M4</f>
        <v>0.60750000000000004</v>
      </c>
      <c r="W4" s="596">
        <f>Evaluacion!U7*M4</f>
        <v>0.86219999999999997</v>
      </c>
      <c r="AA4" s="602"/>
    </row>
    <row r="5" spans="1:27" x14ac:dyDescent="0.25">
      <c r="A5" t="s">
        <v>813</v>
      </c>
      <c r="B5" t="str">
        <f>Evaluacion!A6</f>
        <v>E. Toney</v>
      </c>
      <c r="C5">
        <f>Evaluacion!D6</f>
        <v>0</v>
      </c>
      <c r="D5" s="265">
        <f>Evaluacion!K6</f>
        <v>0</v>
      </c>
      <c r="E5" s="265">
        <f>Evaluacion!L6</f>
        <v>12.200000000000005</v>
      </c>
      <c r="F5" s="265">
        <f>Evaluacion!M6</f>
        <v>12.95</v>
      </c>
      <c r="G5" s="265">
        <f>Evaluacion!N6</f>
        <v>9.8750000000000053</v>
      </c>
      <c r="H5" s="265">
        <f>Evaluacion!O6</f>
        <v>9.6</v>
      </c>
      <c r="I5" s="265">
        <f>Evaluacion!P6</f>
        <v>2.99</v>
      </c>
      <c r="J5" s="265">
        <f>Evaluacion!Q6</f>
        <v>17.177777777777774</v>
      </c>
      <c r="L5" t="str">
        <f t="shared" si="0"/>
        <v>DCN</v>
      </c>
      <c r="M5" s="595">
        <v>0.9</v>
      </c>
      <c r="N5" s="596">
        <f>M5*(Evaluacion!AA6+Evaluacion!AC6)/2</f>
        <v>5.3309033199454126</v>
      </c>
      <c r="O5" s="596">
        <f>M5*Evaluacion!AB6</f>
        <v>13.774943979187114</v>
      </c>
      <c r="P5" s="596">
        <f>N5</f>
        <v>5.3309033199454126</v>
      </c>
      <c r="Q5" s="596">
        <f>M5*Evaluacion!AD6</f>
        <v>3.4390866670465323</v>
      </c>
      <c r="R5" s="596">
        <v>0</v>
      </c>
      <c r="S5" s="596">
        <f>0</f>
        <v>0</v>
      </c>
      <c r="T5" s="596">
        <v>0</v>
      </c>
      <c r="U5" s="596">
        <f>Evaluacion!R6</f>
        <v>4.3000000000000007</v>
      </c>
      <c r="V5" s="596">
        <f>Evaluacion!T6*M5</f>
        <v>0.59834999999999983</v>
      </c>
      <c r="W5" s="596">
        <f>Evaluacion!U6*M5</f>
        <v>0.90300000000000014</v>
      </c>
      <c r="AA5" s="602"/>
    </row>
    <row r="6" spans="1:27" x14ac:dyDescent="0.25">
      <c r="A6" t="s">
        <v>814</v>
      </c>
      <c r="B6" t="str">
        <f>Evaluacion!A5</f>
        <v>D. Toh</v>
      </c>
      <c r="C6" t="str">
        <f>Evaluacion!D5</f>
        <v>CAB</v>
      </c>
      <c r="D6" s="265">
        <f>Evaluacion!K5</f>
        <v>0</v>
      </c>
      <c r="E6" s="265">
        <f>Evaluacion!L5</f>
        <v>10.95</v>
      </c>
      <c r="F6" s="265">
        <f>Evaluacion!M5</f>
        <v>5.95</v>
      </c>
      <c r="G6" s="265">
        <f>Evaluacion!N5</f>
        <v>5.95</v>
      </c>
      <c r="H6" s="265">
        <f>Evaluacion!O5</f>
        <v>7.7227777777777789</v>
      </c>
      <c r="I6" s="265">
        <f>Evaluacion!P5</f>
        <v>2.99</v>
      </c>
      <c r="J6" s="265">
        <f>Evaluacion!Q5</f>
        <v>16</v>
      </c>
      <c r="L6" t="str">
        <f t="shared" si="0"/>
        <v>DCHL</v>
      </c>
      <c r="M6" s="595">
        <v>0.9</v>
      </c>
      <c r="N6" s="596">
        <v>0</v>
      </c>
      <c r="O6" s="596">
        <f>M6*Evaluacion!AN5</f>
        <v>8.7438644360196509</v>
      </c>
      <c r="P6" s="596">
        <f>M6*Evaluacion!AM5</f>
        <v>9.3119686225407019</v>
      </c>
      <c r="Q6" s="596">
        <f>M6*Evaluacion!AO5</f>
        <v>2.8214801988916411</v>
      </c>
      <c r="R6" s="596">
        <v>0</v>
      </c>
      <c r="S6" s="596">
        <v>0</v>
      </c>
      <c r="T6" s="596">
        <f>M6*Evaluacion!AP5</f>
        <v>1.6710022112622307</v>
      </c>
      <c r="U6" s="596">
        <f>Evaluacion!R5</f>
        <v>3.6744444444444446</v>
      </c>
      <c r="V6" s="596">
        <f>Evaluacion!T5*M6</f>
        <v>0.56655</v>
      </c>
      <c r="W6" s="596">
        <f>Evaluacion!U5*M6</f>
        <v>0.82619999999999993</v>
      </c>
      <c r="AA6" s="602"/>
    </row>
    <row r="7" spans="1:27" x14ac:dyDescent="0.25">
      <c r="A7" t="s">
        <v>802</v>
      </c>
      <c r="B7" t="str">
        <f>Evaluacion!A10</f>
        <v>E. Romweber</v>
      </c>
      <c r="C7" t="str">
        <f>Evaluacion!D10</f>
        <v>IMP</v>
      </c>
      <c r="D7" s="265">
        <f>Evaluacion!K10</f>
        <v>0</v>
      </c>
      <c r="E7" s="265">
        <f>Evaluacion!L10</f>
        <v>11.95</v>
      </c>
      <c r="F7" s="265">
        <f>Evaluacion!M10</f>
        <v>12.614111111111114</v>
      </c>
      <c r="G7" s="265">
        <f>Evaluacion!N10</f>
        <v>12.95</v>
      </c>
      <c r="H7" s="265">
        <f>Evaluacion!O10</f>
        <v>10.95</v>
      </c>
      <c r="I7" s="265">
        <f>Evaluacion!P10</f>
        <v>6.99</v>
      </c>
      <c r="J7" s="265">
        <f>Evaluacion!Q10</f>
        <v>17.529999999999998</v>
      </c>
      <c r="L7" t="str">
        <f t="shared" si="0"/>
        <v>LATN</v>
      </c>
      <c r="M7" s="595">
        <v>1</v>
      </c>
      <c r="N7" s="596">
        <v>0</v>
      </c>
      <c r="O7" s="596">
        <f>Evaluacion!AJ10</f>
        <v>6.2175023749987357</v>
      </c>
      <c r="P7" s="596">
        <f>Evaluacion!AI10</f>
        <v>13.816671944441635</v>
      </c>
      <c r="Q7" s="596">
        <f>Evaluacion!AK10</f>
        <v>2.6189328759052879</v>
      </c>
      <c r="R7" s="596">
        <v>0</v>
      </c>
      <c r="S7" s="596">
        <v>0</v>
      </c>
      <c r="T7" s="596">
        <f>Evaluacion!AL10</f>
        <v>9.4186555470996538</v>
      </c>
      <c r="U7" s="596">
        <f>Evaluacion!R10</f>
        <v>4.6062499999999993</v>
      </c>
      <c r="V7" s="596">
        <f>Evaluacion!T10</f>
        <v>0.87539999999999996</v>
      </c>
      <c r="W7" s="596">
        <f>Evaluacion!U10</f>
        <v>1.0039</v>
      </c>
      <c r="AA7" s="602"/>
    </row>
    <row r="8" spans="1:27" x14ac:dyDescent="0.25">
      <c r="A8" t="s">
        <v>503</v>
      </c>
      <c r="B8" t="str">
        <f>Evaluacion!A14</f>
        <v>C. Rojas</v>
      </c>
      <c r="C8" t="str">
        <f>Evaluacion!D14</f>
        <v>TEC</v>
      </c>
      <c r="D8" s="265">
        <f>Evaluacion!K14</f>
        <v>0</v>
      </c>
      <c r="E8" s="265">
        <f>Evaluacion!L14</f>
        <v>8.6275555555555581</v>
      </c>
      <c r="F8" s="265">
        <f>Evaluacion!M14</f>
        <v>13.95</v>
      </c>
      <c r="G8" s="265">
        <f>Evaluacion!N14</f>
        <v>9.9499999999999993</v>
      </c>
      <c r="H8" s="265">
        <f>Evaluacion!O14</f>
        <v>9.9499999999999993</v>
      </c>
      <c r="I8" s="265">
        <f>Evaluacion!P14</f>
        <v>2.95</v>
      </c>
      <c r="J8" s="265">
        <f>Evaluacion!Q14</f>
        <v>17.144444444444439</v>
      </c>
      <c r="L8" t="str">
        <f t="shared" si="0"/>
        <v>IHL</v>
      </c>
      <c r="M8" s="595">
        <f>1-0.065</f>
        <v>0.93500000000000005</v>
      </c>
      <c r="N8" s="596">
        <f>M8*Evaluacion!BE14</f>
        <v>3.1620777640961921</v>
      </c>
      <c r="O8" s="596">
        <f>M8*Evaluacion!BF14</f>
        <v>3.7814538209810133</v>
      </c>
      <c r="P8" s="596">
        <v>0</v>
      </c>
      <c r="Q8" s="596">
        <f>Evaluacion!BG14*M8</f>
        <v>13.957447039629136</v>
      </c>
      <c r="R8" s="596">
        <f>Evaluacion!BH14*M8</f>
        <v>10.759328896969695</v>
      </c>
      <c r="S8" s="596">
        <f>Evaluacion!BI14*M8</f>
        <v>2.9167584523843604</v>
      </c>
      <c r="T8" s="596">
        <v>0</v>
      </c>
      <c r="U8" s="596">
        <v>0</v>
      </c>
      <c r="V8" s="596">
        <f>Evaluacion!T14*M8</f>
        <v>0.61881416666666667</v>
      </c>
      <c r="W8" s="596">
        <f>Evaluacion!U14*M8</f>
        <v>0.80357224444444442</v>
      </c>
      <c r="AA8" s="602"/>
    </row>
    <row r="9" spans="1:27" x14ac:dyDescent="0.25">
      <c r="A9" t="s">
        <v>503</v>
      </c>
      <c r="B9" t="str">
        <f>Evaluacion!A13</f>
        <v>S. Buschelman</v>
      </c>
      <c r="C9" t="str">
        <f>Evaluacion!D13</f>
        <v>TEC</v>
      </c>
      <c r="D9" s="265">
        <f>Evaluacion!K13</f>
        <v>0</v>
      </c>
      <c r="E9" s="265">
        <f>Evaluacion!L13</f>
        <v>9.3036666666666648</v>
      </c>
      <c r="F9" s="265">
        <f>Evaluacion!M13</f>
        <v>14</v>
      </c>
      <c r="G9" s="265">
        <f>Evaluacion!N13</f>
        <v>12.945</v>
      </c>
      <c r="H9" s="265">
        <f>Evaluacion!O13</f>
        <v>10</v>
      </c>
      <c r="I9" s="265">
        <f>Evaluacion!P13</f>
        <v>4.99</v>
      </c>
      <c r="J9" s="265">
        <f>Evaluacion!Q13</f>
        <v>16</v>
      </c>
      <c r="L9" t="str">
        <f t="shared" si="0"/>
        <v>IHL</v>
      </c>
      <c r="M9" s="595">
        <f>1-0.065</f>
        <v>0.93500000000000005</v>
      </c>
      <c r="N9" s="596">
        <v>0</v>
      </c>
      <c r="O9" s="596">
        <f>M9*Evaluacion!BF13</f>
        <v>3.9985702439647977</v>
      </c>
      <c r="P9" s="596">
        <f>M9*Evaluacion!BE13</f>
        <v>3.3436320143498737</v>
      </c>
      <c r="Q9" s="596">
        <f>Evaluacion!BG13*M9</f>
        <v>13.991351336416631</v>
      </c>
      <c r="R9" s="596">
        <v>0</v>
      </c>
      <c r="S9" s="596">
        <f>Evaluacion!BI13*M9</f>
        <v>2.9260330670560815</v>
      </c>
      <c r="T9" s="596">
        <f>Evaluacion!BH13*M9</f>
        <v>12.374093114783635</v>
      </c>
      <c r="U9" s="596">
        <v>0</v>
      </c>
      <c r="V9" s="596">
        <f>Evaluacion!T13*M9</f>
        <v>0.68208250000000004</v>
      </c>
      <c r="W9" s="596">
        <f>Evaluacion!U13*M9</f>
        <v>0.7967571333333332</v>
      </c>
      <c r="AA9" s="602"/>
    </row>
    <row r="10" spans="1:27" x14ac:dyDescent="0.25">
      <c r="A10" t="s">
        <v>805</v>
      </c>
      <c r="B10" t="str">
        <f>Evaluacion!A11</f>
        <v>K. Helms</v>
      </c>
      <c r="C10" t="str">
        <f>Evaluacion!D11</f>
        <v>TEC</v>
      </c>
      <c r="D10" s="265">
        <f>Evaluacion!K11</f>
        <v>0</v>
      </c>
      <c r="E10" s="265">
        <f>Evaluacion!L11</f>
        <v>7.2503030303030309</v>
      </c>
      <c r="F10" s="265">
        <f>Evaluacion!M11</f>
        <v>10.600000000000005</v>
      </c>
      <c r="G10" s="265">
        <f>Evaluacion!N11</f>
        <v>13.471666666666668</v>
      </c>
      <c r="H10" s="265">
        <f>Evaluacion!O11</f>
        <v>10.359999999999998</v>
      </c>
      <c r="I10" s="265">
        <f>Evaluacion!P11</f>
        <v>4.99</v>
      </c>
      <c r="J10" s="265">
        <f>Evaluacion!Q11</f>
        <v>18</v>
      </c>
      <c r="L10" t="str">
        <f t="shared" si="0"/>
        <v>EXTN</v>
      </c>
      <c r="M10" s="595">
        <v>1</v>
      </c>
      <c r="N10" s="596">
        <f>Evaluacion!BT11</f>
        <v>2.8951007874992229</v>
      </c>
      <c r="O10" s="596">
        <f>Evaluacion!BU11</f>
        <v>2.4873401132035577</v>
      </c>
      <c r="P10" s="596">
        <v>0</v>
      </c>
      <c r="Q10" s="596">
        <f>Evaluacion!BV11</f>
        <v>6.1623897913253156</v>
      </c>
      <c r="R10" s="596">
        <f>Evaluacion!BW11</f>
        <v>17.428994920414169</v>
      </c>
      <c r="S10" s="596">
        <f>Evaluacion!BX11</f>
        <v>1.6097493730777201</v>
      </c>
      <c r="T10" s="596">
        <v>0</v>
      </c>
      <c r="U10" s="596">
        <v>0</v>
      </c>
      <c r="V10" s="596">
        <f>Evaluacion!T11</f>
        <v>0.78949999999999998</v>
      </c>
      <c r="W10" s="596">
        <f>Evaluacion!U11</f>
        <v>0.8300121212121212</v>
      </c>
      <c r="AA10" s="602"/>
    </row>
    <row r="11" spans="1:27" x14ac:dyDescent="0.25">
      <c r="A11" t="s">
        <v>805</v>
      </c>
      <c r="B11" t="str">
        <f>Evaluacion!A12</f>
        <v>S. Zobbe</v>
      </c>
      <c r="C11" t="str">
        <f>Evaluacion!D12</f>
        <v>CAB</v>
      </c>
      <c r="D11" s="265">
        <f>Evaluacion!K12</f>
        <v>0</v>
      </c>
      <c r="E11" s="265">
        <f>Evaluacion!L12</f>
        <v>8.3599999999999977</v>
      </c>
      <c r="F11" s="265">
        <f>Evaluacion!M12</f>
        <v>12.253412698412699</v>
      </c>
      <c r="G11" s="265">
        <f>Evaluacion!N12</f>
        <v>12.45</v>
      </c>
      <c r="H11" s="265">
        <f>Evaluacion!O12</f>
        <v>10.24</v>
      </c>
      <c r="I11" s="265">
        <f>Evaluacion!P12</f>
        <v>7.4766666666666666</v>
      </c>
      <c r="J11" s="265">
        <f>Evaluacion!Q12</f>
        <v>16</v>
      </c>
      <c r="L11" t="str">
        <f t="shared" si="0"/>
        <v>EXTN</v>
      </c>
      <c r="M11" s="595">
        <v>1</v>
      </c>
      <c r="N11" s="596">
        <v>0</v>
      </c>
      <c r="O11" s="596">
        <f>Evaluacion!BU12</f>
        <v>2.7496863783014653</v>
      </c>
      <c r="P11" s="596">
        <f>Evaluacion!BT12</f>
        <v>3.2004546370394102</v>
      </c>
      <c r="Q11" s="596">
        <f>Evaluacion!BV12</f>
        <v>6.8989917209219049</v>
      </c>
      <c r="R11" s="596">
        <v>0</v>
      </c>
      <c r="S11" s="596">
        <f>Evaluacion!BX12</f>
        <v>1.5910539826822843</v>
      </c>
      <c r="T11" s="596">
        <f>Evaluacion!BW12</f>
        <v>16.478760767041081</v>
      </c>
      <c r="U11" s="596">
        <v>0</v>
      </c>
      <c r="V11" s="596">
        <f>Evaluacion!T12</f>
        <v>0.85383333333333344</v>
      </c>
      <c r="W11" s="596">
        <f>Evaluacion!U12</f>
        <v>0.81439999999999979</v>
      </c>
      <c r="AA11" s="602"/>
    </row>
    <row r="12" spans="1:27" x14ac:dyDescent="0.25">
      <c r="A12" t="s">
        <v>602</v>
      </c>
      <c r="B12" t="str">
        <f>Evaluacion!A20</f>
        <v>L. Calosso</v>
      </c>
      <c r="C12" t="str">
        <f>Evaluacion!D20</f>
        <v>TEC</v>
      </c>
      <c r="D12" s="265">
        <f>Evaluacion!K20</f>
        <v>0</v>
      </c>
      <c r="E12" s="265">
        <f>Evaluacion!L20</f>
        <v>2.95</v>
      </c>
      <c r="F12" s="265">
        <f>Evaluacion!M20</f>
        <v>13.95</v>
      </c>
      <c r="G12" s="265">
        <f>Evaluacion!N20</f>
        <v>3.04</v>
      </c>
      <c r="H12" s="265">
        <f>Evaluacion!O20</f>
        <v>15.02</v>
      </c>
      <c r="I12" s="265">
        <f>Evaluacion!P20</f>
        <v>9.9499999999999993</v>
      </c>
      <c r="J12" s="265">
        <f>Evaluacion!Q20</f>
        <v>11.25</v>
      </c>
      <c r="L12" t="str">
        <f t="shared" si="0"/>
        <v>DD</v>
      </c>
      <c r="M12" s="595">
        <v>1</v>
      </c>
      <c r="N12" s="596">
        <v>0</v>
      </c>
      <c r="O12" s="596">
        <v>0</v>
      </c>
      <c r="P12" s="596">
        <v>0</v>
      </c>
      <c r="Q12" s="596">
        <f>M12*Evaluacion!CD20</f>
        <v>6.8810783549768502</v>
      </c>
      <c r="R12" s="596">
        <f>M12*Evaluacion!CE20</f>
        <v>8.3882097816282908</v>
      </c>
      <c r="S12" s="596">
        <f>M12*Evaluacion!CF20</f>
        <v>17.332985930305249</v>
      </c>
      <c r="T12" s="596">
        <f>R12</f>
        <v>8.3882097816282908</v>
      </c>
      <c r="U12" s="596">
        <v>0</v>
      </c>
      <c r="V12" s="596">
        <f>Evaluacion!T20*M12</f>
        <v>0.83499999999999996</v>
      </c>
      <c r="W12" s="596">
        <f>Evaluacion!U20*M12</f>
        <v>0.45549999999999996</v>
      </c>
      <c r="AA12" s="602"/>
    </row>
    <row r="13" spans="1:27" x14ac:dyDescent="0.25">
      <c r="L13" s="263"/>
      <c r="M13" s="443"/>
      <c r="N13" s="597">
        <f>SUM(N2:N12)</f>
        <v>52.753393221896765</v>
      </c>
      <c r="O13" s="597">
        <f t="shared" ref="O13:W13" si="1">SUM(O2:O12)</f>
        <v>81.377487195786458</v>
      </c>
      <c r="P13" s="597">
        <f t="shared" si="1"/>
        <v>50.71416911025112</v>
      </c>
      <c r="Q13" s="597">
        <f t="shared" si="1"/>
        <v>61.617031705712577</v>
      </c>
      <c r="R13" s="597">
        <f t="shared" si="1"/>
        <v>48.141610865363404</v>
      </c>
      <c r="S13" s="597">
        <f t="shared" si="1"/>
        <v>26.376580805505697</v>
      </c>
      <c r="T13" s="597">
        <f t="shared" si="1"/>
        <v>48.330721421814893</v>
      </c>
      <c r="U13" s="598">
        <f t="shared" si="1"/>
        <v>21.191944444444445</v>
      </c>
      <c r="V13" s="598">
        <f t="shared" si="1"/>
        <v>7.3650577777777775</v>
      </c>
      <c r="W13" s="598">
        <f t="shared" si="1"/>
        <v>9.2342638766122764</v>
      </c>
    </row>
    <row r="14" spans="1:27" ht="15.75" x14ac:dyDescent="0.25">
      <c r="L14" s="263"/>
      <c r="M14" s="263" t="s">
        <v>810</v>
      </c>
      <c r="N14" s="599">
        <f>N13*0.34</f>
        <v>17.936153695444901</v>
      </c>
      <c r="O14" s="599">
        <f>O13*0.245</f>
        <v>19.93748436296768</v>
      </c>
      <c r="P14" s="599">
        <f>P13*0.34</f>
        <v>17.242817497485383</v>
      </c>
      <c r="Q14" s="599">
        <f>Q13*0.125</f>
        <v>7.7021289632140721</v>
      </c>
      <c r="R14" s="599">
        <f>R13*0.25</f>
        <v>12.035402716340851</v>
      </c>
      <c r="S14" s="599">
        <f>S13*0.19</f>
        <v>5.0115503530460828</v>
      </c>
      <c r="T14" s="599">
        <f>T13*0.25</f>
        <v>12.082680355453723</v>
      </c>
    </row>
    <row r="15" spans="1:27" ht="15.75" x14ac:dyDescent="0.25">
      <c r="L15" s="263"/>
      <c r="M15" s="263" t="s">
        <v>811</v>
      </c>
      <c r="N15" s="609">
        <f>N14*1.2/1.05</f>
        <v>20.498461366222742</v>
      </c>
      <c r="O15" s="609">
        <f t="shared" ref="O15:P15" si="2">O14*1.2/1.05</f>
        <v>22.785696414820205</v>
      </c>
      <c r="P15" s="609">
        <f t="shared" si="2"/>
        <v>19.706077139983293</v>
      </c>
      <c r="Q15" s="609">
        <f>Q14</f>
        <v>7.7021289632140721</v>
      </c>
      <c r="R15" s="609">
        <f>R14*0.925/1.05</f>
        <v>10.602616678681226</v>
      </c>
      <c r="S15" s="609">
        <f t="shared" ref="S15:T15" si="3">S14*0.925/1.05</f>
        <v>4.4149372157786919</v>
      </c>
      <c r="T15" s="609">
        <f t="shared" si="3"/>
        <v>10.644266027423519</v>
      </c>
    </row>
    <row r="16" spans="1:27" ht="15.75" x14ac:dyDescent="0.25">
      <c r="L16" s="263"/>
      <c r="M16" s="263" t="s">
        <v>812</v>
      </c>
      <c r="N16" s="609">
        <f>N14*0.925/1.05</f>
        <v>15.800897303130032</v>
      </c>
      <c r="O16" s="609">
        <f t="shared" ref="O16:P16" si="4">O14*0.925/1.05</f>
        <v>17.563974319757243</v>
      </c>
      <c r="P16" s="609">
        <f t="shared" si="4"/>
        <v>15.190101128737123</v>
      </c>
      <c r="Q16" s="609">
        <f>Q15</f>
        <v>7.7021289632140721</v>
      </c>
      <c r="R16" s="609">
        <f>R14*1.135/1.05</f>
        <v>13.009697221949395</v>
      </c>
      <c r="S16" s="609">
        <f t="shared" ref="S16:T16" si="5">S14*1.135/1.05</f>
        <v>5.4172472863879086</v>
      </c>
      <c r="T16" s="609">
        <f t="shared" si="5"/>
        <v>13.060802098514262</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39997558519241921"/>
  </sheetPr>
  <dimension ref="A1:AH26"/>
  <sheetViews>
    <sheetView workbookViewId="0">
      <selection activeCell="B12" sqref="B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10" bestFit="1" customWidth="1"/>
    <col min="13" max="13" width="6.5703125" style="616" customWidth="1"/>
    <col min="14" max="14" width="8.28515625" style="610"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835</v>
      </c>
      <c r="AD1" t="s">
        <v>836</v>
      </c>
      <c r="AG1" t="s">
        <v>837</v>
      </c>
    </row>
    <row r="2" spans="1:34" x14ac:dyDescent="0.25">
      <c r="B2" s="290">
        <v>43060</v>
      </c>
      <c r="Y2" s="618">
        <f>SUM(Y4:Y12)</f>
        <v>0.23658764552873529</v>
      </c>
      <c r="Z2" s="618">
        <f>SUM(Z4:Z12)</f>
        <v>0.33824859010884656</v>
      </c>
      <c r="AA2" s="618"/>
      <c r="AD2" s="492" t="s">
        <v>276</v>
      </c>
      <c r="AE2" s="492" t="s">
        <v>179</v>
      </c>
      <c r="AG2" s="492" t="s">
        <v>276</v>
      </c>
      <c r="AH2" s="492" t="s">
        <v>179</v>
      </c>
    </row>
    <row r="3" spans="1:34" x14ac:dyDescent="0.25">
      <c r="A3" s="299" t="s">
        <v>867</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840</v>
      </c>
      <c r="O3" s="615" t="s">
        <v>1</v>
      </c>
      <c r="P3" s="613" t="s">
        <v>803</v>
      </c>
      <c r="Q3" s="612" t="s">
        <v>833</v>
      </c>
      <c r="R3" s="612" t="s">
        <v>839</v>
      </c>
      <c r="S3" s="612" t="s">
        <v>834</v>
      </c>
      <c r="T3" s="612" t="s">
        <v>804</v>
      </c>
      <c r="U3" s="612" t="s">
        <v>503</v>
      </c>
      <c r="V3" s="612" t="s">
        <v>838</v>
      </c>
      <c r="W3" s="613" t="s">
        <v>602</v>
      </c>
      <c r="X3" s="613" t="s">
        <v>66</v>
      </c>
      <c r="Y3" s="612" t="s">
        <v>836</v>
      </c>
      <c r="Z3" s="615" t="s">
        <v>837</v>
      </c>
      <c r="AA3" s="615" t="s">
        <v>842</v>
      </c>
      <c r="AD3" t="s">
        <v>1</v>
      </c>
      <c r="AE3" t="s">
        <v>782</v>
      </c>
      <c r="AG3" t="s">
        <v>1</v>
      </c>
      <c r="AH3" t="s">
        <v>782</v>
      </c>
    </row>
    <row r="4" spans="1:34" x14ac:dyDescent="0.25">
      <c r="A4" s="287" t="str">
        <f>PLANTILLA!A17</f>
        <v>#12</v>
      </c>
      <c r="B4" s="169" t="str">
        <f>PLANTILLA!D17</f>
        <v>E. Gross</v>
      </c>
      <c r="C4" s="5">
        <f>PLANTILLA!E17</f>
        <v>33</v>
      </c>
      <c r="D4" s="5">
        <f ca="1">PLANTILLA!F17</f>
        <v>109</v>
      </c>
      <c r="E4" s="163">
        <f>PLANTILLA!X17</f>
        <v>0</v>
      </c>
      <c r="F4" s="163">
        <f>PLANTILLA!Y17</f>
        <v>10.549999999999995</v>
      </c>
      <c r="G4" s="163">
        <f>PLANTILLA!Z17</f>
        <v>13</v>
      </c>
      <c r="H4" s="163">
        <f>PLANTILLA!AA17</f>
        <v>4.95</v>
      </c>
      <c r="I4" s="163">
        <f>PLANTILLA!AB17</f>
        <v>9.24</v>
      </c>
      <c r="J4" s="163">
        <f>PLANTILLA!AC17</f>
        <v>1.95</v>
      </c>
      <c r="K4" s="163">
        <f>PLANTILLA!AD17</f>
        <v>17.459999999999997</v>
      </c>
      <c r="L4" s="333">
        <f>1/13</f>
        <v>7.6923076923076927E-2</v>
      </c>
      <c r="M4" s="333"/>
      <c r="N4" s="33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05">
        <f>P4</f>
        <v>6.6819197896120994E-2</v>
      </c>
      <c r="Z4" s="405">
        <f>P4</f>
        <v>6.6819197896120994E-2</v>
      </c>
      <c r="AA4" s="405">
        <f t="shared" ref="AA4:AA23" si="9">MAX(Z4,Y4)</f>
        <v>6.6819197896120994E-2</v>
      </c>
      <c r="AD4" t="s">
        <v>802</v>
      </c>
      <c r="AE4" s="634" t="s">
        <v>855</v>
      </c>
      <c r="AG4" t="s">
        <v>802</v>
      </c>
      <c r="AH4" s="634" t="str">
        <f>AE4</f>
        <v>B. Pinczehelyi</v>
      </c>
    </row>
    <row r="5" spans="1:34" x14ac:dyDescent="0.25">
      <c r="A5" s="287" t="str">
        <f>PLANTILLA!A10</f>
        <v>#3</v>
      </c>
      <c r="B5" s="169" t="str">
        <f>PLANTILLA!D10</f>
        <v>B. Bartolache</v>
      </c>
      <c r="C5" s="5">
        <f>PLANTILLA!E10</f>
        <v>34</v>
      </c>
      <c r="D5" s="5">
        <f ca="1">PLANTILLA!F10</f>
        <v>33</v>
      </c>
      <c r="E5" s="163">
        <f>PLANTILLA!X10</f>
        <v>0</v>
      </c>
      <c r="F5" s="163">
        <f>PLANTILLA!Y10</f>
        <v>11.95</v>
      </c>
      <c r="G5" s="163">
        <f>PLANTILLA!Z10</f>
        <v>6.95</v>
      </c>
      <c r="H5" s="163">
        <f>PLANTILLA!AA10</f>
        <v>7.5000000000000018</v>
      </c>
      <c r="I5" s="163">
        <f>PLANTILLA!AB10</f>
        <v>8.9</v>
      </c>
      <c r="J5" s="163">
        <f>PLANTILLA!AC10</f>
        <v>3.9</v>
      </c>
      <c r="K5" s="163">
        <f>PLANTILLA!AD10</f>
        <v>16</v>
      </c>
      <c r="L5" s="333">
        <f>1/15</f>
        <v>6.6666666666666666E-2</v>
      </c>
      <c r="M5" s="333"/>
      <c r="N5" s="33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05"/>
      <c r="Z5" s="405">
        <f>R5</f>
        <v>4.8982336182336182E-2</v>
      </c>
      <c r="AA5" s="405">
        <f t="shared" si="9"/>
        <v>4.8982336182336182E-2</v>
      </c>
      <c r="AD5" t="s">
        <v>803</v>
      </c>
      <c r="AE5" t="s">
        <v>272</v>
      </c>
      <c r="AG5" t="s">
        <v>814</v>
      </c>
      <c r="AH5" t="s">
        <v>273</v>
      </c>
    </row>
    <row r="6" spans="1:34" x14ac:dyDescent="0.25">
      <c r="A6" s="287" t="str">
        <f>PLANTILLA!A8</f>
        <v>#8</v>
      </c>
      <c r="B6" s="169" t="str">
        <f>PLANTILLA!D8</f>
        <v>D. Toh</v>
      </c>
      <c r="C6" s="5">
        <f>PLANTILLA!E8</f>
        <v>34</v>
      </c>
      <c r="D6" s="5">
        <f ca="1">PLANTILLA!F8</f>
        <v>94</v>
      </c>
      <c r="E6" s="163">
        <f>PLANTILLA!X8</f>
        <v>0</v>
      </c>
      <c r="F6" s="163">
        <f>PLANTILLA!Y8</f>
        <v>10.95</v>
      </c>
      <c r="G6" s="163">
        <f>PLANTILLA!Z8</f>
        <v>5.95</v>
      </c>
      <c r="H6" s="163">
        <f>PLANTILLA!AA8</f>
        <v>5.95</v>
      </c>
      <c r="I6" s="163">
        <f>PLANTILLA!AB8</f>
        <v>7.7227777777777789</v>
      </c>
      <c r="J6" s="163">
        <f>PLANTILLA!AC8</f>
        <v>2.99</v>
      </c>
      <c r="K6" s="163">
        <f>PLANTILLA!AD8</f>
        <v>16</v>
      </c>
      <c r="L6" s="333">
        <f>1/15</f>
        <v>6.6666666666666666E-2</v>
      </c>
      <c r="M6" s="333"/>
      <c r="N6" s="33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05"/>
      <c r="Z6" s="405">
        <f>R6</f>
        <v>4.8982336182336182E-2</v>
      </c>
      <c r="AA6" s="405">
        <f t="shared" si="9"/>
        <v>4.8982336182336182E-2</v>
      </c>
      <c r="AD6" t="s">
        <v>802</v>
      </c>
      <c r="AE6" t="s">
        <v>269</v>
      </c>
      <c r="AG6" t="s">
        <v>813</v>
      </c>
      <c r="AH6" t="s">
        <v>269</v>
      </c>
    </row>
    <row r="7" spans="1:34" x14ac:dyDescent="0.25">
      <c r="A7" s="287" t="str">
        <f>PLANTILLA!A9</f>
        <v>#2</v>
      </c>
      <c r="B7" s="169" t="str">
        <f>PLANTILLA!D9</f>
        <v>E. Toney</v>
      </c>
      <c r="C7" s="5">
        <f>PLANTILLA!E9</f>
        <v>34</v>
      </c>
      <c r="D7" s="5">
        <f ca="1">PLANTILLA!F9</f>
        <v>48</v>
      </c>
      <c r="E7" s="163">
        <f>PLANTILLA!X9</f>
        <v>0</v>
      </c>
      <c r="F7" s="163">
        <f>PLANTILLA!Y9</f>
        <v>12.200000000000005</v>
      </c>
      <c r="G7" s="163">
        <f>PLANTILLA!Z9</f>
        <v>12.95</v>
      </c>
      <c r="H7" s="163">
        <f>PLANTILLA!AA9</f>
        <v>9.8750000000000053</v>
      </c>
      <c r="I7" s="163">
        <f>PLANTILLA!AB9</f>
        <v>9.6</v>
      </c>
      <c r="J7" s="163">
        <f>PLANTILLA!AC9</f>
        <v>2.99</v>
      </c>
      <c r="K7" s="163">
        <f>PLANTILLA!AD9</f>
        <v>17.177777777777774</v>
      </c>
      <c r="L7" s="333">
        <f>1/18</f>
        <v>5.5555555555555552E-2</v>
      </c>
      <c r="M7" s="333"/>
      <c r="N7" s="33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05">
        <f>S7</f>
        <v>3.930579297245964E-2</v>
      </c>
      <c r="Z7" s="405">
        <f>R7</f>
        <v>4.0818613485280153E-2</v>
      </c>
      <c r="AA7" s="405">
        <f t="shared" si="9"/>
        <v>4.0818613485280153E-2</v>
      </c>
      <c r="AD7" t="s">
        <v>503</v>
      </c>
      <c r="AE7" t="s">
        <v>618</v>
      </c>
      <c r="AG7" t="s">
        <v>814</v>
      </c>
      <c r="AH7" t="s">
        <v>275</v>
      </c>
    </row>
    <row r="8" spans="1:34" x14ac:dyDescent="0.25">
      <c r="A8" s="287" t="str">
        <f>PLANTILLA!A12</f>
        <v>#7</v>
      </c>
      <c r="B8" s="169" t="str">
        <f>PLANTILLA!D12</f>
        <v>E. Romweber</v>
      </c>
      <c r="C8" s="5">
        <f>PLANTILLA!E12</f>
        <v>34</v>
      </c>
      <c r="D8" s="5">
        <f ca="1">PLANTILLA!F12</f>
        <v>10</v>
      </c>
      <c r="E8" s="163">
        <f>PLANTILLA!X12</f>
        <v>0</v>
      </c>
      <c r="F8" s="163">
        <f>PLANTILLA!Y12</f>
        <v>11.95</v>
      </c>
      <c r="G8" s="163">
        <f>PLANTILLA!Z12</f>
        <v>12.614111111111114</v>
      </c>
      <c r="H8" s="163">
        <f>PLANTILLA!AA12</f>
        <v>12.95</v>
      </c>
      <c r="I8" s="163">
        <f>PLANTILLA!AB12</f>
        <v>10.95</v>
      </c>
      <c r="J8" s="163">
        <f>PLANTILLA!AC12</f>
        <v>6.99</v>
      </c>
      <c r="K8" s="163">
        <f>PLANTILLA!AD12</f>
        <v>17.529999999999998</v>
      </c>
      <c r="L8" s="333">
        <f>1/18</f>
        <v>5.5555555555555552E-2</v>
      </c>
      <c r="M8" s="333"/>
      <c r="N8" s="33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05">
        <f>V8</f>
        <v>9.3280555555555547E-3</v>
      </c>
      <c r="Z8" s="405">
        <f>S8</f>
        <v>3.930579297245964E-2</v>
      </c>
      <c r="AA8" s="405">
        <f t="shared" si="9"/>
        <v>3.930579297245964E-2</v>
      </c>
      <c r="AD8" t="s">
        <v>804</v>
      </c>
      <c r="AE8" t="s">
        <v>400</v>
      </c>
      <c r="AG8" t="s">
        <v>802</v>
      </c>
      <c r="AH8" t="s">
        <v>815</v>
      </c>
    </row>
    <row r="9" spans="1:34" x14ac:dyDescent="0.25">
      <c r="A9" s="287" t="str">
        <f>PLANTILLA!A20</f>
        <v>#19</v>
      </c>
      <c r="B9" s="169" t="str">
        <f>PLANTILLA!D20</f>
        <v>G. Kerschl</v>
      </c>
      <c r="C9" s="5">
        <f>PLANTILLA!E20</f>
        <v>31</v>
      </c>
      <c r="D9" s="5">
        <f ca="1">PLANTILLA!F20</f>
        <v>111</v>
      </c>
      <c r="E9" s="163">
        <f>PLANTILLA!X20</f>
        <v>0</v>
      </c>
      <c r="F9" s="163">
        <f>PLANTILLA!Y20</f>
        <v>3</v>
      </c>
      <c r="G9" s="163">
        <f>PLANTILLA!Z20</f>
        <v>15.07</v>
      </c>
      <c r="H9" s="163">
        <f>PLANTILLA!AA20</f>
        <v>12.12</v>
      </c>
      <c r="I9" s="163">
        <f>PLANTILLA!AB20</f>
        <v>13</v>
      </c>
      <c r="J9" s="163">
        <f>PLANTILLA!AC20</f>
        <v>7.95</v>
      </c>
      <c r="K9" s="163">
        <f>PLANTILLA!AD20</f>
        <v>7</v>
      </c>
      <c r="L9" s="333">
        <f>1/5</f>
        <v>0.2</v>
      </c>
      <c r="M9" s="333"/>
      <c r="N9" s="33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05">
        <f>U9</f>
        <v>3.6839999999999998E-2</v>
      </c>
      <c r="Z9" s="405">
        <f>U9</f>
        <v>3.6839999999999998E-2</v>
      </c>
      <c r="AA9" s="405">
        <f t="shared" si="9"/>
        <v>3.6839999999999998E-2</v>
      </c>
      <c r="AD9" t="s">
        <v>503</v>
      </c>
      <c r="AE9" t="s">
        <v>285</v>
      </c>
      <c r="AG9" t="s">
        <v>503</v>
      </c>
      <c r="AH9" t="s">
        <v>285</v>
      </c>
    </row>
    <row r="10" spans="1:34" x14ac:dyDescent="0.25">
      <c r="A10" s="287" t="str">
        <f>PLANTILLA!A7</f>
        <v>#17</v>
      </c>
      <c r="B10" s="169" t="str">
        <f>PLANTILLA!D7</f>
        <v>B. Pinczehelyi</v>
      </c>
      <c r="C10" s="5">
        <f>PLANTILLA!E7</f>
        <v>33</v>
      </c>
      <c r="D10" s="5">
        <f ca="1">PLANTILLA!F7</f>
        <v>49</v>
      </c>
      <c r="E10" s="163">
        <f>PLANTILLA!X7</f>
        <v>0</v>
      </c>
      <c r="F10" s="163">
        <f>PLANTILLA!Y7</f>
        <v>14.300000000000004</v>
      </c>
      <c r="G10" s="163">
        <f>PLANTILLA!Z7</f>
        <v>9.3793333333333351</v>
      </c>
      <c r="H10" s="163">
        <f>PLANTILLA!AA7</f>
        <v>13.95</v>
      </c>
      <c r="I10" s="163">
        <f>PLANTILLA!AB7</f>
        <v>9.4199999999999982</v>
      </c>
      <c r="J10" s="163">
        <f>PLANTILLA!AC7</f>
        <v>0.95</v>
      </c>
      <c r="K10" s="163">
        <f>PLANTILLA!AD7</f>
        <v>11.25</v>
      </c>
      <c r="L10" s="333">
        <f>1/25</f>
        <v>0.04</v>
      </c>
      <c r="M10" s="333"/>
      <c r="N10" s="33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05">
        <f>S10</f>
        <v>2.8300170940170941E-2</v>
      </c>
      <c r="Z10" s="405">
        <f>S10</f>
        <v>2.8300170940170941E-2</v>
      </c>
      <c r="AA10" s="405">
        <f t="shared" si="9"/>
        <v>2.8300170940170941E-2</v>
      </c>
      <c r="AD10" t="s">
        <v>805</v>
      </c>
      <c r="AE10" t="s">
        <v>815</v>
      </c>
      <c r="AG10" t="s">
        <v>503</v>
      </c>
      <c r="AH10" t="s">
        <v>618</v>
      </c>
    </row>
    <row r="11" spans="1:34" x14ac:dyDescent="0.25">
      <c r="A11" s="287" t="str">
        <f>PLANTILLA!A5</f>
        <v>#1</v>
      </c>
      <c r="B11" s="169" t="str">
        <f>PLANTILLA!D5</f>
        <v>D. Gehmacher</v>
      </c>
      <c r="C11" s="5">
        <f>PLANTILLA!E5</f>
        <v>33</v>
      </c>
      <c r="D11" s="5">
        <f ca="1">PLANTILLA!F5</f>
        <v>37</v>
      </c>
      <c r="E11" s="163">
        <f>PLANTILLA!X5</f>
        <v>16.666666666666668</v>
      </c>
      <c r="F11" s="163">
        <f>PLANTILLA!Y5</f>
        <v>12.080559440559444</v>
      </c>
      <c r="G11" s="163">
        <f>PLANTILLA!Z5</f>
        <v>2.0699999999999985</v>
      </c>
      <c r="H11" s="163">
        <f>PLANTILLA!AA5</f>
        <v>2.149999999999999</v>
      </c>
      <c r="I11" s="163">
        <f>PLANTILLA!AB5</f>
        <v>1.0400000000000003</v>
      </c>
      <c r="J11" s="163">
        <f>PLANTILLA!AC5</f>
        <v>0.14055555555555557</v>
      </c>
      <c r="K11" s="163">
        <f>PLANTILLA!AD5</f>
        <v>18.2</v>
      </c>
      <c r="L11" s="333">
        <f>1/12</f>
        <v>8.3333333333333329E-2</v>
      </c>
      <c r="M11" s="333"/>
      <c r="N11" s="33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05">
        <f>O11</f>
        <v>2.8200142450142449E-2</v>
      </c>
      <c r="Z11" s="405">
        <f>O11</f>
        <v>2.8200142450142449E-2</v>
      </c>
      <c r="AA11" s="405">
        <f t="shared" si="9"/>
        <v>2.8200142450142449E-2</v>
      </c>
      <c r="AD11" t="s">
        <v>805</v>
      </c>
      <c r="AE11" t="s">
        <v>298</v>
      </c>
      <c r="AG11" t="s">
        <v>805</v>
      </c>
      <c r="AH11" t="s">
        <v>298</v>
      </c>
    </row>
    <row r="12" spans="1:34" x14ac:dyDescent="0.25">
      <c r="A12" s="287" t="str">
        <f>PLANTILLA!A18</f>
        <v>#5</v>
      </c>
      <c r="B12" s="169" t="str">
        <f>PLANTILLA!D18</f>
        <v>L. Bauman</v>
      </c>
      <c r="C12" s="5">
        <f>PLANTILLA!E18</f>
        <v>33</v>
      </c>
      <c r="D12" s="5">
        <f ca="1">PLANTILLA!F18</f>
        <v>84</v>
      </c>
      <c r="E12" s="163">
        <f>PLANTILLA!X18</f>
        <v>0</v>
      </c>
      <c r="F12" s="163">
        <f>PLANTILLA!Y18</f>
        <v>6</v>
      </c>
      <c r="G12" s="163">
        <f>PLANTILLA!Z18</f>
        <v>14.1</v>
      </c>
      <c r="H12" s="163">
        <f>PLANTILLA!AA18</f>
        <v>3.5124999999999993</v>
      </c>
      <c r="I12" s="163">
        <f>PLANTILLA!AB18</f>
        <v>9.1400000000000041</v>
      </c>
      <c r="J12" s="163">
        <f>PLANTILLA!AC18</f>
        <v>6.95</v>
      </c>
      <c r="K12" s="163">
        <f>PLANTILLA!AD18</f>
        <v>17</v>
      </c>
      <c r="L12" s="333">
        <f>1/7</f>
        <v>0.14285714285714285</v>
      </c>
      <c r="M12" s="333"/>
      <c r="N12" s="33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05">
        <f>T12</f>
        <v>2.7794285714285716E-2</v>
      </c>
      <c r="Z12" s="405">
        <f>W12</f>
        <v>0</v>
      </c>
      <c r="AA12" s="405">
        <f t="shared" si="9"/>
        <v>2.7794285714285716E-2</v>
      </c>
      <c r="AD12" t="s">
        <v>66</v>
      </c>
      <c r="AE12" t="s">
        <v>287</v>
      </c>
      <c r="AG12" t="s">
        <v>805</v>
      </c>
      <c r="AH12" t="s">
        <v>507</v>
      </c>
    </row>
    <row r="13" spans="1:34" x14ac:dyDescent="0.25">
      <c r="A13" s="287" t="str">
        <f>PLANTILLA!A13</f>
        <v>#11</v>
      </c>
      <c r="B13" s="169" t="str">
        <f>PLANTILLA!D13</f>
        <v>K. Helms</v>
      </c>
      <c r="C13" s="5">
        <f>PLANTILLA!E13</f>
        <v>33</v>
      </c>
      <c r="D13" s="5">
        <f ca="1">PLANTILLA!F13</f>
        <v>69</v>
      </c>
      <c r="E13" s="163">
        <f>PLANTILLA!X13</f>
        <v>0</v>
      </c>
      <c r="F13" s="163">
        <f>PLANTILLA!Y13</f>
        <v>7.2503030303030309</v>
      </c>
      <c r="G13" s="163">
        <f>PLANTILLA!Z13</f>
        <v>10.600000000000005</v>
      </c>
      <c r="H13" s="163">
        <f>PLANTILLA!AA13</f>
        <v>13.471666666666668</v>
      </c>
      <c r="I13" s="163">
        <f>PLANTILLA!AB13</f>
        <v>10.359999999999998</v>
      </c>
      <c r="J13" s="163">
        <f>PLANTILLA!AC13</f>
        <v>4.99</v>
      </c>
      <c r="K13" s="163">
        <f>PLANTILLA!AD13</f>
        <v>18</v>
      </c>
      <c r="L13" s="333">
        <f>1/8</f>
        <v>0.125</v>
      </c>
      <c r="M13" s="333"/>
      <c r="N13" s="33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05">
        <f>V13</f>
        <v>2.0988125E-2</v>
      </c>
      <c r="Z13" s="405">
        <f>V13</f>
        <v>2.0988125E-2</v>
      </c>
      <c r="AA13" s="405">
        <f t="shared" si="9"/>
        <v>2.0988125E-2</v>
      </c>
      <c r="AD13" t="s">
        <v>66</v>
      </c>
      <c r="AE13" t="s">
        <v>507</v>
      </c>
      <c r="AG13" t="s">
        <v>66</v>
      </c>
      <c r="AH13" t="s">
        <v>287</v>
      </c>
    </row>
    <row r="14" spans="1:34" x14ac:dyDescent="0.25">
      <c r="A14" s="287" t="str">
        <f>PLANTILLA!A14</f>
        <v>#10</v>
      </c>
      <c r="B14" s="219" t="str">
        <f>PLANTILLA!D14</f>
        <v>S. Zobbe</v>
      </c>
      <c r="C14" s="5">
        <f>PLANTILLA!E14</f>
        <v>30</v>
      </c>
      <c r="D14" s="5">
        <f ca="1">PLANTILLA!F14</f>
        <v>84</v>
      </c>
      <c r="E14" s="163">
        <f>PLANTILLA!X14</f>
        <v>0</v>
      </c>
      <c r="F14" s="163">
        <f>PLANTILLA!Y14</f>
        <v>8.3599999999999977</v>
      </c>
      <c r="G14" s="163">
        <f>PLANTILLA!Z14</f>
        <v>12.253412698412699</v>
      </c>
      <c r="H14" s="163">
        <f>PLANTILLA!AA14</f>
        <v>12.45</v>
      </c>
      <c r="I14" s="163">
        <f>PLANTILLA!AB14</f>
        <v>10.24</v>
      </c>
      <c r="J14" s="163">
        <f>PLANTILLA!AC14</f>
        <v>7.4766666666666666</v>
      </c>
      <c r="K14" s="163">
        <f>PLANTILLA!AD14</f>
        <v>16</v>
      </c>
      <c r="L14" s="333">
        <f>1/9</f>
        <v>0.1111111111111111</v>
      </c>
      <c r="M14" s="333"/>
      <c r="N14" s="33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05">
        <f>V14</f>
        <v>1.8656111111111109E-2</v>
      </c>
      <c r="Z14" s="405">
        <f>V14</f>
        <v>1.8656111111111109E-2</v>
      </c>
      <c r="AA14" s="405">
        <f t="shared" si="9"/>
        <v>1.8656111111111109E-2</v>
      </c>
    </row>
    <row r="15" spans="1:34" x14ac:dyDescent="0.25">
      <c r="A15" s="287" t="str">
        <f>PLANTILLA!A15</f>
        <v>#6</v>
      </c>
      <c r="B15" s="219" t="str">
        <f>PLANTILLA!D15</f>
        <v>S. Buschelman</v>
      </c>
      <c r="C15" s="5">
        <f>PLANTILLA!E15</f>
        <v>32</v>
      </c>
      <c r="D15" s="5">
        <f ca="1">PLANTILLA!F15</f>
        <v>81</v>
      </c>
      <c r="E15" s="163">
        <f>PLANTILLA!X15</f>
        <v>0</v>
      </c>
      <c r="F15" s="163">
        <f>PLANTILLA!Y15</f>
        <v>9.3036666666666648</v>
      </c>
      <c r="G15" s="163">
        <f>PLANTILLA!Z15</f>
        <v>14</v>
      </c>
      <c r="H15" s="163">
        <f>PLANTILLA!AA15</f>
        <v>12.945</v>
      </c>
      <c r="I15" s="163">
        <f>PLANTILLA!AB15</f>
        <v>10</v>
      </c>
      <c r="J15" s="163">
        <f>PLANTILLA!AC15</f>
        <v>4.99</v>
      </c>
      <c r="K15" s="163">
        <f>PLANTILLA!AD15</f>
        <v>16</v>
      </c>
      <c r="L15" s="333">
        <f>1/10</f>
        <v>0.1</v>
      </c>
      <c r="M15" s="333"/>
      <c r="N15" s="33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05">
        <f>U15</f>
        <v>1.8419999999999999E-2</v>
      </c>
      <c r="Z15" s="405">
        <f>U15</f>
        <v>1.8419999999999999E-2</v>
      </c>
      <c r="AA15" s="405">
        <f t="shared" si="9"/>
        <v>1.8419999999999999E-2</v>
      </c>
    </row>
    <row r="16" spans="1:34" x14ac:dyDescent="0.25">
      <c r="A16" s="287" t="str">
        <f>PLANTILLA!A16</f>
        <v>#4</v>
      </c>
      <c r="B16" s="219" t="str">
        <f>PLANTILLA!D16</f>
        <v>C. Rojas</v>
      </c>
      <c r="C16" s="5">
        <f>PLANTILLA!E16</f>
        <v>35</v>
      </c>
      <c r="D16" s="5">
        <f ca="1">PLANTILLA!F16</f>
        <v>3</v>
      </c>
      <c r="E16" s="163">
        <f>PLANTILLA!X16</f>
        <v>0</v>
      </c>
      <c r="F16" s="163">
        <f>PLANTILLA!Y16</f>
        <v>8.6275555555555581</v>
      </c>
      <c r="G16" s="163">
        <f>PLANTILLA!Z16</f>
        <v>13.95</v>
      </c>
      <c r="H16" s="163">
        <f>PLANTILLA!AA16</f>
        <v>9.9499999999999993</v>
      </c>
      <c r="I16" s="163">
        <f>PLANTILLA!AB16</f>
        <v>9.9499999999999993</v>
      </c>
      <c r="J16" s="163">
        <f>PLANTILLA!AC16</f>
        <v>2.95</v>
      </c>
      <c r="K16" s="163">
        <f>PLANTILLA!AD16</f>
        <v>17.144444444444439</v>
      </c>
      <c r="L16" s="333">
        <f>1/11</f>
        <v>9.0909090909090912E-2</v>
      </c>
      <c r="M16" s="333"/>
      <c r="N16" s="33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05">
        <f>U16</f>
        <v>1.6745454545454543E-2</v>
      </c>
      <c r="Z16" s="405">
        <f>U16</f>
        <v>1.6745454545454543E-2</v>
      </c>
      <c r="AA16" s="405">
        <f t="shared" si="9"/>
        <v>1.6745454545454543E-2</v>
      </c>
    </row>
    <row r="17" spans="1:27" x14ac:dyDescent="0.25">
      <c r="A17" s="287" t="str">
        <f>PLANTILLA!A21</f>
        <v>#9</v>
      </c>
      <c r="B17" s="287" t="str">
        <f>PLANTILLA!D21</f>
        <v>J. Limon</v>
      </c>
      <c r="C17" s="5">
        <f>PLANTILLA!E21</f>
        <v>33</v>
      </c>
      <c r="D17" s="5">
        <f ca="1">PLANTILLA!F21</f>
        <v>9</v>
      </c>
      <c r="E17" s="163">
        <f>PLANTILLA!X21</f>
        <v>0</v>
      </c>
      <c r="F17" s="163">
        <f>PLANTILLA!Y21</f>
        <v>6.8376190476190493</v>
      </c>
      <c r="G17" s="163">
        <f>PLANTILLA!Z21</f>
        <v>9</v>
      </c>
      <c r="H17" s="163">
        <f>PLANTILLA!AA21</f>
        <v>8.7399999999999967</v>
      </c>
      <c r="I17" s="163">
        <f>PLANTILLA!AB21</f>
        <v>9.9499999999999993</v>
      </c>
      <c r="J17" s="163">
        <f>PLANTILLA!AC21</f>
        <v>7.95</v>
      </c>
      <c r="K17" s="163">
        <f>PLANTILLA!AD21</f>
        <v>18.999999999999993</v>
      </c>
      <c r="L17" s="333">
        <f>1/8</f>
        <v>0.125</v>
      </c>
      <c r="M17" s="333"/>
      <c r="N17" s="33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05">
        <v>0</v>
      </c>
      <c r="Z17" s="405">
        <v>0</v>
      </c>
      <c r="AA17" s="405">
        <f t="shared" si="9"/>
        <v>0</v>
      </c>
    </row>
    <row r="18" spans="1:27" x14ac:dyDescent="0.25">
      <c r="A18" s="287" t="str">
        <f>PLANTILLA!A23</f>
        <v>#15</v>
      </c>
      <c r="B18" s="287" t="str">
        <f>PLANTILLA!D23</f>
        <v>P .Trivadi</v>
      </c>
      <c r="C18" s="5">
        <f>PLANTILLA!E23</f>
        <v>30</v>
      </c>
      <c r="D18" s="5">
        <f ca="1">PLANTILLA!F23</f>
        <v>40</v>
      </c>
      <c r="E18" s="163">
        <f>PLANTILLA!X23</f>
        <v>0</v>
      </c>
      <c r="F18" s="163">
        <f>PLANTILLA!Y23</f>
        <v>4.0199999999999996</v>
      </c>
      <c r="G18" s="163">
        <f>PLANTILLA!Z23</f>
        <v>6</v>
      </c>
      <c r="H18" s="163">
        <f>PLANTILLA!AA23</f>
        <v>5.5099999999999989</v>
      </c>
      <c r="I18" s="163">
        <f>PLANTILLA!AB23</f>
        <v>11</v>
      </c>
      <c r="J18" s="163">
        <f>PLANTILLA!AC23</f>
        <v>8.384500000000001</v>
      </c>
      <c r="K18" s="163">
        <f>PLANTILLA!AD23</f>
        <v>13.566666666666668</v>
      </c>
      <c r="L18" s="333">
        <f>1/6</f>
        <v>0.16666666666666666</v>
      </c>
      <c r="M18" s="333"/>
      <c r="N18" s="33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05">
        <v>0</v>
      </c>
      <c r="Z18" s="405">
        <v>0</v>
      </c>
      <c r="AA18" s="405">
        <f t="shared" si="9"/>
        <v>0</v>
      </c>
    </row>
    <row r="19" spans="1:27" x14ac:dyDescent="0.25">
      <c r="A19" s="287" t="str">
        <f>PLANTILLA!A22</f>
        <v>#18</v>
      </c>
      <c r="B19" s="287" t="str">
        <f>PLANTILLA!D22</f>
        <v>L. Calosso</v>
      </c>
      <c r="C19" s="5">
        <f>PLANTILLA!E22</f>
        <v>33</v>
      </c>
      <c r="D19" s="5">
        <f ca="1">PLANTILLA!F22</f>
        <v>78</v>
      </c>
      <c r="E19" s="163">
        <f>PLANTILLA!X22</f>
        <v>0</v>
      </c>
      <c r="F19" s="163">
        <f>PLANTILLA!Y22</f>
        <v>2.95</v>
      </c>
      <c r="G19" s="163">
        <f>PLANTILLA!Z22</f>
        <v>13.95</v>
      </c>
      <c r="H19" s="163">
        <f>PLANTILLA!AA22</f>
        <v>3.04</v>
      </c>
      <c r="I19" s="163">
        <f>PLANTILLA!AB22</f>
        <v>15.02</v>
      </c>
      <c r="J19" s="163">
        <f>PLANTILLA!AC22</f>
        <v>9.9499999999999993</v>
      </c>
      <c r="K19" s="163">
        <f>PLANTILLA!AD22</f>
        <v>11.25</v>
      </c>
      <c r="L19" s="333">
        <f>1/5</f>
        <v>0.2</v>
      </c>
      <c r="M19" s="333"/>
      <c r="N19" s="33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05">
        <v>0</v>
      </c>
      <c r="Z19" s="405">
        <v>0</v>
      </c>
      <c r="AA19" s="405">
        <f t="shared" si="9"/>
        <v>0</v>
      </c>
    </row>
    <row r="20" spans="1:27" x14ac:dyDescent="0.25">
      <c r="A20" s="287" t="str">
        <f>PLANTILLA!A11</f>
        <v>#13</v>
      </c>
      <c r="B20" s="287" t="str">
        <f>PLANTILLA!D11</f>
        <v>F. Lasprilla</v>
      </c>
      <c r="C20" s="5">
        <f>PLANTILLA!E11</f>
        <v>30</v>
      </c>
      <c r="D20" s="5">
        <f ca="1">PLANTILLA!F11</f>
        <v>56</v>
      </c>
      <c r="E20" s="163">
        <f>PLANTILLA!X11</f>
        <v>0</v>
      </c>
      <c r="F20" s="163">
        <f>PLANTILLA!Y11</f>
        <v>9.6046666666666667</v>
      </c>
      <c r="G20" s="163">
        <f>PLANTILLA!Z11</f>
        <v>7.7607222222222223</v>
      </c>
      <c r="H20" s="163">
        <f>PLANTILLA!AA11</f>
        <v>6.1599999999999984</v>
      </c>
      <c r="I20" s="163">
        <f>PLANTILLA!AB11</f>
        <v>8.8633333333333315</v>
      </c>
      <c r="J20" s="163">
        <f>PLANTILLA!AC11</f>
        <v>3.2566666666666673</v>
      </c>
      <c r="K20" s="163">
        <f>PLANTILLA!AD11</f>
        <v>13.33611111111111</v>
      </c>
      <c r="L20" s="333"/>
      <c r="M20" s="333"/>
      <c r="N20" s="33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05"/>
      <c r="Z20" s="405"/>
      <c r="AA20" s="405">
        <f t="shared" si="9"/>
        <v>0</v>
      </c>
    </row>
    <row r="21" spans="1:27" x14ac:dyDescent="0.25">
      <c r="A21" s="287" t="str">
        <f>PLANTILLA!A19</f>
        <v>#14</v>
      </c>
      <c r="B21" s="287" t="str">
        <f>PLANTILLA!D19</f>
        <v>W. Gelifini</v>
      </c>
      <c r="C21" s="5">
        <f>PLANTILLA!E19</f>
        <v>32</v>
      </c>
      <c r="D21" s="5">
        <f ca="1">PLANTILLA!F19</f>
        <v>34</v>
      </c>
      <c r="E21" s="163">
        <f>PLANTILLA!X19</f>
        <v>0</v>
      </c>
      <c r="F21" s="163">
        <f>PLANTILLA!Y19</f>
        <v>5.6515555555555519</v>
      </c>
      <c r="G21" s="163">
        <f>PLANTILLA!Z19</f>
        <v>9.9499999999999993</v>
      </c>
      <c r="H21" s="163">
        <f>PLANTILLA!AA19</f>
        <v>6.95</v>
      </c>
      <c r="I21" s="163">
        <f>PLANTILLA!AB19</f>
        <v>9.2666666666666639</v>
      </c>
      <c r="J21" s="163">
        <f>PLANTILLA!AC19</f>
        <v>3.5417777777777766</v>
      </c>
      <c r="K21" s="163">
        <f>PLANTILLA!AD19</f>
        <v>12.847222222222223</v>
      </c>
      <c r="L21" s="333"/>
      <c r="M21" s="333"/>
      <c r="N21" s="33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05"/>
      <c r="Z21" s="405"/>
      <c r="AA21" s="405">
        <f t="shared" si="9"/>
        <v>0</v>
      </c>
    </row>
    <row r="22" spans="1:27" x14ac:dyDescent="0.25">
      <c r="A22" s="287" t="str">
        <f>PLANTILLA!A6</f>
        <v>#16</v>
      </c>
      <c r="B22" s="287" t="str">
        <f>PLANTILLA!D6</f>
        <v>T. Hammond</v>
      </c>
      <c r="C22" s="5">
        <f>PLANTILLA!E6</f>
        <v>37</v>
      </c>
      <c r="D22" s="5">
        <f ca="1">PLANTILLA!F6</f>
        <v>46</v>
      </c>
      <c r="E22" s="163">
        <f>PLANTILLA!X6</f>
        <v>8.9499999999999993</v>
      </c>
      <c r="F22" s="163">
        <f>PLANTILLA!Y6</f>
        <v>8.9499999999999993</v>
      </c>
      <c r="G22" s="163">
        <f>PLANTILLA!Z6</f>
        <v>2.95</v>
      </c>
      <c r="H22" s="163">
        <f>PLANTILLA!AA6</f>
        <v>2.95</v>
      </c>
      <c r="I22" s="163">
        <f>PLANTILLA!AB6</f>
        <v>3.95</v>
      </c>
      <c r="J22" s="163">
        <f>PLANTILLA!AC6</f>
        <v>0.95</v>
      </c>
      <c r="K22" s="163">
        <f>PLANTILLA!AD6</f>
        <v>15.778888888888888</v>
      </c>
      <c r="L22" s="333"/>
      <c r="M22" s="333"/>
      <c r="N22" s="33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05"/>
      <c r="Z22" s="405"/>
      <c r="AA22" s="405">
        <f t="shared" si="9"/>
        <v>0</v>
      </c>
    </row>
    <row r="23" spans="1:27" x14ac:dyDescent="0.25">
      <c r="A23" s="287" t="e">
        <f>PLANTILLA!#REF!</f>
        <v>#REF!</v>
      </c>
      <c r="B23" s="287" t="e">
        <f>PLANTILLA!#REF!</f>
        <v>#REF!</v>
      </c>
      <c r="C23" s="5" t="e">
        <f>PLANTILLA!#REF!</f>
        <v>#REF!</v>
      </c>
      <c r="D23" s="5"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05"/>
      <c r="Z23" s="405"/>
      <c r="AA23" s="405">
        <f t="shared" si="9"/>
        <v>0</v>
      </c>
    </row>
    <row r="26" spans="1:27" x14ac:dyDescent="0.25">
      <c r="B26" s="29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10" bestFit="1" customWidth="1"/>
    <col min="14" max="14" width="8.28515625" style="610"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835</v>
      </c>
      <c r="AD1" t="s">
        <v>836</v>
      </c>
      <c r="AG1" t="s">
        <v>837</v>
      </c>
    </row>
    <row r="2" spans="1:34" x14ac:dyDescent="0.25">
      <c r="B2" s="290">
        <v>42584</v>
      </c>
      <c r="Y2" s="618">
        <f>SUM(Y4:Y22)</f>
        <v>0.38669362836502424</v>
      </c>
      <c r="Z2" s="618">
        <f>SUM(Z4:Z22)</f>
        <v>0.36442744206594319</v>
      </c>
      <c r="AA2" s="618"/>
      <c r="AD2" s="492" t="s">
        <v>276</v>
      </c>
      <c r="AE2" s="492" t="s">
        <v>179</v>
      </c>
      <c r="AG2" s="492" t="s">
        <v>276</v>
      </c>
      <c r="AH2" s="492" t="s">
        <v>179</v>
      </c>
    </row>
    <row r="3" spans="1:34" x14ac:dyDescent="0.25">
      <c r="A3" s="299" t="s">
        <v>867</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832</v>
      </c>
      <c r="O3" s="613" t="s">
        <v>1</v>
      </c>
      <c r="P3" s="613" t="s">
        <v>803</v>
      </c>
      <c r="Q3" s="612" t="s">
        <v>833</v>
      </c>
      <c r="R3" s="612" t="s">
        <v>839</v>
      </c>
      <c r="S3" s="612" t="s">
        <v>834</v>
      </c>
      <c r="T3" s="612" t="s">
        <v>804</v>
      </c>
      <c r="U3" s="612" t="s">
        <v>503</v>
      </c>
      <c r="V3" s="612" t="s">
        <v>838</v>
      </c>
      <c r="W3" s="613" t="s">
        <v>602</v>
      </c>
      <c r="X3" s="617" t="s">
        <v>66</v>
      </c>
      <c r="Y3" s="615" t="s">
        <v>836</v>
      </c>
      <c r="Z3" s="615" t="s">
        <v>837</v>
      </c>
      <c r="AA3" s="615" t="s">
        <v>842</v>
      </c>
      <c r="AD3" t="s">
        <v>1</v>
      </c>
      <c r="AE3" t="s">
        <v>782</v>
      </c>
      <c r="AG3" t="s">
        <v>1</v>
      </c>
      <c r="AH3" t="s">
        <v>782</v>
      </c>
    </row>
    <row r="4" spans="1:34" x14ac:dyDescent="0.25">
      <c r="A4" s="287" t="str">
        <f>PLANTILLA!A15</f>
        <v>#6</v>
      </c>
      <c r="B4" s="169" t="str">
        <f>PLANTILLA!D15</f>
        <v>S. Buschelman</v>
      </c>
      <c r="C4" s="287">
        <f>PLANTILLA!E15</f>
        <v>32</v>
      </c>
      <c r="D4" s="287">
        <f ca="1">PLANTILLA!F15</f>
        <v>81</v>
      </c>
      <c r="E4" s="163">
        <f>PLANTILLA!X15</f>
        <v>0</v>
      </c>
      <c r="F4" s="163">
        <f>PLANTILLA!Y15</f>
        <v>9.3036666666666648</v>
      </c>
      <c r="G4" s="163">
        <f>PLANTILLA!Z15</f>
        <v>14</v>
      </c>
      <c r="H4" s="163">
        <f>PLANTILLA!AA15</f>
        <v>12.945</v>
      </c>
      <c r="I4" s="163">
        <f>PLANTILLA!AB15</f>
        <v>10</v>
      </c>
      <c r="J4" s="163">
        <f>PLANTILLA!AC15</f>
        <v>4.99</v>
      </c>
      <c r="K4" s="163">
        <f>PLANTILLA!AD15</f>
        <v>16</v>
      </c>
      <c r="L4" s="614">
        <f>1/16</f>
        <v>6.25E-2</v>
      </c>
      <c r="M4" s="333">
        <f t="shared" ref="M4:M23" si="0">L4*0.5</f>
        <v>3.125E-2</v>
      </c>
      <c r="N4" s="33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05">
        <f>U4</f>
        <v>5.50625E-2</v>
      </c>
      <c r="Z4" s="405">
        <f>U4</f>
        <v>5.50625E-2</v>
      </c>
      <c r="AA4" s="405">
        <f t="shared" ref="AA4:AA23" si="11">MAX(Z4,Y4)</f>
        <v>5.50625E-2</v>
      </c>
      <c r="AD4" t="s">
        <v>802</v>
      </c>
      <c r="AE4" s="634" t="s">
        <v>855</v>
      </c>
      <c r="AG4" t="s">
        <v>802</v>
      </c>
      <c r="AH4" s="634" t="str">
        <f>AE4</f>
        <v>B. Pinczehelyi</v>
      </c>
    </row>
    <row r="5" spans="1:34" x14ac:dyDescent="0.25">
      <c r="A5" s="287" t="str">
        <f>PLANTILLA!A18</f>
        <v>#5</v>
      </c>
      <c r="B5" s="169" t="str">
        <f>PLANTILLA!D18</f>
        <v>L. Bauman</v>
      </c>
      <c r="C5" s="287">
        <f>PLANTILLA!E18</f>
        <v>33</v>
      </c>
      <c r="D5" s="287">
        <f ca="1">PLANTILLA!F18</f>
        <v>84</v>
      </c>
      <c r="E5" s="163">
        <f>PLANTILLA!X18</f>
        <v>0</v>
      </c>
      <c r="F5" s="163">
        <f>PLANTILLA!Y18</f>
        <v>6</v>
      </c>
      <c r="G5" s="163">
        <f>PLANTILLA!Z18</f>
        <v>14.1</v>
      </c>
      <c r="H5" s="163">
        <f>PLANTILLA!AA18</f>
        <v>3.5124999999999993</v>
      </c>
      <c r="I5" s="163">
        <f>PLANTILLA!AB18</f>
        <v>9.1400000000000041</v>
      </c>
      <c r="J5" s="163">
        <f>PLANTILLA!AC18</f>
        <v>6.95</v>
      </c>
      <c r="K5" s="163">
        <f>PLANTILLA!AD18</f>
        <v>17</v>
      </c>
      <c r="L5" s="614">
        <f>1/21</f>
        <v>4.7619047619047616E-2</v>
      </c>
      <c r="M5" s="333">
        <f t="shared" si="0"/>
        <v>2.3809523809523808E-2</v>
      </c>
      <c r="N5" s="33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05">
        <f>T5</f>
        <v>4.7619047619047616E-2</v>
      </c>
      <c r="Z5" s="405">
        <f>W5</f>
        <v>1.9333333333333334E-2</v>
      </c>
      <c r="AA5" s="405">
        <f t="shared" si="11"/>
        <v>4.7619047619047616E-2</v>
      </c>
      <c r="AD5" t="s">
        <v>803</v>
      </c>
      <c r="AE5" t="s">
        <v>272</v>
      </c>
      <c r="AG5" t="s">
        <v>814</v>
      </c>
      <c r="AH5" t="s">
        <v>273</v>
      </c>
    </row>
    <row r="6" spans="1:34" x14ac:dyDescent="0.25">
      <c r="A6" s="287" t="str">
        <f>PLANTILLA!A21</f>
        <v>#9</v>
      </c>
      <c r="B6" s="169" t="str">
        <f>PLANTILLA!D21</f>
        <v>J. Limon</v>
      </c>
      <c r="C6" s="287">
        <f>PLANTILLA!E21</f>
        <v>33</v>
      </c>
      <c r="D6" s="287">
        <f ca="1">PLANTILLA!F21</f>
        <v>9</v>
      </c>
      <c r="E6" s="163">
        <f>PLANTILLA!X21</f>
        <v>0</v>
      </c>
      <c r="F6" s="163">
        <f>PLANTILLA!Y21</f>
        <v>6.8376190476190493</v>
      </c>
      <c r="G6" s="163">
        <f>PLANTILLA!Z21</f>
        <v>9</v>
      </c>
      <c r="H6" s="163">
        <f>PLANTILLA!AA21</f>
        <v>8.7399999999999967</v>
      </c>
      <c r="I6" s="163">
        <f>PLANTILLA!AB21</f>
        <v>9.9499999999999993</v>
      </c>
      <c r="J6" s="163">
        <f>PLANTILLA!AC21</f>
        <v>7.95</v>
      </c>
      <c r="K6" s="163">
        <f>PLANTILLA!AD21</f>
        <v>18.999999999999993</v>
      </c>
      <c r="L6" s="333">
        <f>1/9</f>
        <v>0.1111111111111111</v>
      </c>
      <c r="M6" s="333">
        <f t="shared" si="0"/>
        <v>5.5555555555555552E-2</v>
      </c>
      <c r="N6" s="33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05">
        <f>W6</f>
        <v>4.5111111111111109E-2</v>
      </c>
      <c r="Z6" s="405"/>
      <c r="AA6" s="405">
        <f t="shared" si="11"/>
        <v>4.5111111111111109E-2</v>
      </c>
      <c r="AD6" t="s">
        <v>802</v>
      </c>
      <c r="AE6" t="s">
        <v>269</v>
      </c>
      <c r="AG6" t="s">
        <v>813</v>
      </c>
      <c r="AH6" t="s">
        <v>269</v>
      </c>
    </row>
    <row r="7" spans="1:34" x14ac:dyDescent="0.25">
      <c r="A7" s="287" t="str">
        <f>PLANTILLA!A20</f>
        <v>#19</v>
      </c>
      <c r="B7" s="169" t="str">
        <f>PLANTILLA!D20</f>
        <v>G. Kerschl</v>
      </c>
      <c r="C7" s="287">
        <f>PLANTILLA!E20</f>
        <v>31</v>
      </c>
      <c r="D7" s="287">
        <f ca="1">PLANTILLA!F20</f>
        <v>111</v>
      </c>
      <c r="E7" s="163">
        <f>PLANTILLA!X20</f>
        <v>0</v>
      </c>
      <c r="F7" s="163">
        <f>PLANTILLA!Y20</f>
        <v>3</v>
      </c>
      <c r="G7" s="163">
        <f>PLANTILLA!Z20</f>
        <v>15.07</v>
      </c>
      <c r="H7" s="163">
        <f>PLANTILLA!AA20</f>
        <v>12.12</v>
      </c>
      <c r="I7" s="163">
        <f>PLANTILLA!AB20</f>
        <v>13</v>
      </c>
      <c r="J7" s="163">
        <f>PLANTILLA!AC20</f>
        <v>7.95</v>
      </c>
      <c r="K7" s="163">
        <f>PLANTILLA!AD20</f>
        <v>7</v>
      </c>
      <c r="L7">
        <f>1/20</f>
        <v>0.05</v>
      </c>
      <c r="M7" s="333">
        <f t="shared" si="0"/>
        <v>2.5000000000000001E-2</v>
      </c>
      <c r="N7" s="33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05">
        <f>U7</f>
        <v>4.4050000000000006E-2</v>
      </c>
      <c r="Z7" s="405">
        <f>U7</f>
        <v>4.4050000000000006E-2</v>
      </c>
      <c r="AA7" s="405">
        <f t="shared" si="11"/>
        <v>4.4050000000000006E-2</v>
      </c>
      <c r="AD7" t="s">
        <v>503</v>
      </c>
      <c r="AE7" t="s">
        <v>618</v>
      </c>
      <c r="AG7" t="s">
        <v>814</v>
      </c>
      <c r="AH7" t="s">
        <v>275</v>
      </c>
    </row>
    <row r="8" spans="1:34" x14ac:dyDescent="0.25">
      <c r="A8" s="287" t="str">
        <f>PLANTILLA!A13</f>
        <v>#11</v>
      </c>
      <c r="B8" s="169" t="str">
        <f>PLANTILLA!D13</f>
        <v>K. Helms</v>
      </c>
      <c r="C8" s="287">
        <f>PLANTILLA!E13</f>
        <v>33</v>
      </c>
      <c r="D8" s="287">
        <f ca="1">PLANTILLA!F13</f>
        <v>69</v>
      </c>
      <c r="E8" s="163">
        <f>PLANTILLA!X13</f>
        <v>0</v>
      </c>
      <c r="F8" s="163">
        <f>PLANTILLA!Y13</f>
        <v>7.2503030303030309</v>
      </c>
      <c r="G8" s="163">
        <f>PLANTILLA!Z13</f>
        <v>10.600000000000005</v>
      </c>
      <c r="H8" s="163">
        <f>PLANTILLA!AA13</f>
        <v>13.471666666666668</v>
      </c>
      <c r="I8" s="163">
        <f>PLANTILLA!AB13</f>
        <v>10.359999999999998</v>
      </c>
      <c r="J8" s="163">
        <f>PLANTILLA!AC13</f>
        <v>4.99</v>
      </c>
      <c r="K8" s="163">
        <f>PLANTILLA!AD13</f>
        <v>18</v>
      </c>
      <c r="L8" s="614">
        <f>1/12</f>
        <v>8.3333333333333329E-2</v>
      </c>
      <c r="M8" s="333">
        <f t="shared" si="0"/>
        <v>4.1666666666666664E-2</v>
      </c>
      <c r="N8" s="33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05">
        <f>V8</f>
        <v>3.7916666666666668E-2</v>
      </c>
      <c r="Z8" s="405">
        <f>V8</f>
        <v>3.7916666666666668E-2</v>
      </c>
      <c r="AA8" s="405">
        <f t="shared" si="11"/>
        <v>3.7916666666666668E-2</v>
      </c>
      <c r="AD8" t="s">
        <v>804</v>
      </c>
      <c r="AE8" t="s">
        <v>400</v>
      </c>
      <c r="AG8" t="s">
        <v>802</v>
      </c>
      <c r="AH8" t="s">
        <v>815</v>
      </c>
    </row>
    <row r="9" spans="1:34" x14ac:dyDescent="0.25">
      <c r="A9" s="287" t="str">
        <f>PLANTILLA!A16</f>
        <v>#4</v>
      </c>
      <c r="B9" s="169" t="str">
        <f>PLANTILLA!D16</f>
        <v>C. Rojas</v>
      </c>
      <c r="C9" s="287">
        <f>PLANTILLA!E16</f>
        <v>35</v>
      </c>
      <c r="D9" s="287">
        <f ca="1">PLANTILLA!F16</f>
        <v>3</v>
      </c>
      <c r="E9" s="163">
        <f>PLANTILLA!X16</f>
        <v>0</v>
      </c>
      <c r="F9" s="163">
        <f>PLANTILLA!Y16</f>
        <v>8.6275555555555581</v>
      </c>
      <c r="G9" s="163">
        <f>PLANTILLA!Z16</f>
        <v>13.95</v>
      </c>
      <c r="H9" s="163">
        <f>PLANTILLA!AA16</f>
        <v>9.9499999999999993</v>
      </c>
      <c r="I9" s="163">
        <f>PLANTILLA!AB16</f>
        <v>9.9499999999999993</v>
      </c>
      <c r="J9" s="163">
        <f>PLANTILLA!AC16</f>
        <v>2.95</v>
      </c>
      <c r="K9" s="163">
        <f>PLANTILLA!AD16</f>
        <v>17.144444444444439</v>
      </c>
      <c r="L9" s="614">
        <f>1/26</f>
        <v>3.8461538461538464E-2</v>
      </c>
      <c r="M9" s="333">
        <f t="shared" si="0"/>
        <v>1.9230769230769232E-2</v>
      </c>
      <c r="N9" s="33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05">
        <f>U9</f>
        <v>3.3884615384615388E-2</v>
      </c>
      <c r="Z9" s="405">
        <f>U9</f>
        <v>3.3884615384615388E-2</v>
      </c>
      <c r="AA9" s="405">
        <f t="shared" si="11"/>
        <v>3.3884615384615388E-2</v>
      </c>
      <c r="AD9" t="s">
        <v>503</v>
      </c>
      <c r="AE9" t="s">
        <v>285</v>
      </c>
      <c r="AG9" t="s">
        <v>503</v>
      </c>
      <c r="AH9" t="s">
        <v>285</v>
      </c>
    </row>
    <row r="10" spans="1:34" x14ac:dyDescent="0.25">
      <c r="A10" s="287" t="str">
        <f>PLANTILLA!A14</f>
        <v>#10</v>
      </c>
      <c r="B10" s="670" t="str">
        <f>PLANTILLA!D14</f>
        <v>S. Zobbe</v>
      </c>
      <c r="C10" s="287">
        <f>PLANTILLA!E14</f>
        <v>30</v>
      </c>
      <c r="D10" s="287">
        <f ca="1">PLANTILLA!F14</f>
        <v>84</v>
      </c>
      <c r="E10" s="163">
        <f>PLANTILLA!X14</f>
        <v>0</v>
      </c>
      <c r="F10" s="163">
        <f>PLANTILLA!Y14</f>
        <v>8.3599999999999977</v>
      </c>
      <c r="G10" s="163">
        <f>PLANTILLA!Z14</f>
        <v>12.253412698412699</v>
      </c>
      <c r="H10" s="163">
        <f>PLANTILLA!AA14</f>
        <v>12.45</v>
      </c>
      <c r="I10" s="163">
        <f>PLANTILLA!AB14</f>
        <v>10.24</v>
      </c>
      <c r="J10" s="163">
        <f>PLANTILLA!AC14</f>
        <v>7.4766666666666666</v>
      </c>
      <c r="K10" s="163">
        <f>PLANTILLA!AD14</f>
        <v>16</v>
      </c>
      <c r="L10" s="614">
        <f>1/14</f>
        <v>7.1428571428571425E-2</v>
      </c>
      <c r="M10" s="333">
        <f t="shared" si="0"/>
        <v>3.5714285714285712E-2</v>
      </c>
      <c r="N10" s="33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05">
        <f>V10</f>
        <v>3.2500000000000001E-2</v>
      </c>
      <c r="Z10" s="405">
        <f>V10</f>
        <v>3.2500000000000001E-2</v>
      </c>
      <c r="AA10" s="405">
        <f t="shared" si="11"/>
        <v>3.2500000000000001E-2</v>
      </c>
      <c r="AD10" t="s">
        <v>805</v>
      </c>
      <c r="AE10" t="s">
        <v>815</v>
      </c>
      <c r="AG10" t="s">
        <v>503</v>
      </c>
      <c r="AH10" t="s">
        <v>618</v>
      </c>
    </row>
    <row r="11" spans="1:34" x14ac:dyDescent="0.25">
      <c r="A11" s="287" t="str">
        <f>PLANTILLA!A12</f>
        <v>#7</v>
      </c>
      <c r="B11" s="670" t="str">
        <f>PLANTILLA!D12</f>
        <v>E. Romweber</v>
      </c>
      <c r="C11" s="287">
        <f>PLANTILLA!E12</f>
        <v>34</v>
      </c>
      <c r="D11" s="287">
        <f ca="1">PLANTILLA!F12</f>
        <v>10</v>
      </c>
      <c r="E11" s="163">
        <f>PLANTILLA!X12</f>
        <v>0</v>
      </c>
      <c r="F11" s="163">
        <f>PLANTILLA!Y12</f>
        <v>11.95</v>
      </c>
      <c r="G11" s="163">
        <f>PLANTILLA!Z12</f>
        <v>12.614111111111114</v>
      </c>
      <c r="H11" s="163">
        <f>PLANTILLA!AA12</f>
        <v>12.95</v>
      </c>
      <c r="I11" s="163">
        <f>PLANTILLA!AB12</f>
        <v>10.95</v>
      </c>
      <c r="J11" s="163">
        <f>PLANTILLA!AC12</f>
        <v>6.99</v>
      </c>
      <c r="K11" s="163">
        <f>PLANTILLA!AD12</f>
        <v>17.529999999999998</v>
      </c>
      <c r="L11" s="614">
        <f>1/16</f>
        <v>6.25E-2</v>
      </c>
      <c r="M11" s="333">
        <f t="shared" si="0"/>
        <v>3.125E-2</v>
      </c>
      <c r="N11" s="33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05">
        <f>V11</f>
        <v>2.8437500000000001E-2</v>
      </c>
      <c r="Z11" s="405">
        <f>V11</f>
        <v>2.8437500000000001E-2</v>
      </c>
      <c r="AA11" s="405">
        <f t="shared" si="11"/>
        <v>2.8437500000000001E-2</v>
      </c>
      <c r="AD11" t="s">
        <v>805</v>
      </c>
      <c r="AE11" t="s">
        <v>298</v>
      </c>
      <c r="AG11" t="s">
        <v>805</v>
      </c>
      <c r="AH11" t="s">
        <v>298</v>
      </c>
    </row>
    <row r="12" spans="1:34" x14ac:dyDescent="0.25">
      <c r="A12" s="287" t="str">
        <f>PLANTILLA!A8</f>
        <v>#8</v>
      </c>
      <c r="B12" s="219" t="str">
        <f>PLANTILLA!D8</f>
        <v>D. Toh</v>
      </c>
      <c r="C12" s="287">
        <f>PLANTILLA!E8</f>
        <v>34</v>
      </c>
      <c r="D12" s="287">
        <f ca="1">PLANTILLA!F8</f>
        <v>94</v>
      </c>
      <c r="E12" s="163">
        <f>PLANTILLA!X8</f>
        <v>0</v>
      </c>
      <c r="F12" s="163">
        <f>PLANTILLA!Y8</f>
        <v>10.95</v>
      </c>
      <c r="G12" s="163">
        <f>PLANTILLA!Z8</f>
        <v>5.95</v>
      </c>
      <c r="H12" s="163">
        <f>PLANTILLA!AA8</f>
        <v>5.95</v>
      </c>
      <c r="I12" s="163">
        <f>PLANTILLA!AB8</f>
        <v>7.7227777777777789</v>
      </c>
      <c r="J12" s="163">
        <f>PLANTILLA!AC8</f>
        <v>2.99</v>
      </c>
      <c r="K12" s="163">
        <f>PLANTILLA!AD8</f>
        <v>16</v>
      </c>
      <c r="L12" s="614">
        <f>1/7</f>
        <v>0.14285714285714285</v>
      </c>
      <c r="M12" s="333">
        <f t="shared" si="0"/>
        <v>7.1428571428571425E-2</v>
      </c>
      <c r="N12" s="33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05"/>
      <c r="Z12" s="405">
        <f>R12</f>
        <v>2.357142857142857E-2</v>
      </c>
      <c r="AA12" s="405">
        <f t="shared" si="11"/>
        <v>2.357142857142857E-2</v>
      </c>
      <c r="AD12" t="s">
        <v>66</v>
      </c>
      <c r="AE12" t="s">
        <v>287</v>
      </c>
      <c r="AG12" t="s">
        <v>805</v>
      </c>
      <c r="AH12" t="s">
        <v>507</v>
      </c>
    </row>
    <row r="13" spans="1:34" x14ac:dyDescent="0.25">
      <c r="A13" s="287" t="str">
        <f>PLANTILLA!A10</f>
        <v>#3</v>
      </c>
      <c r="B13" s="219" t="str">
        <f>PLANTILLA!D10</f>
        <v>B. Bartolache</v>
      </c>
      <c r="C13" s="287">
        <f>PLANTILLA!E10</f>
        <v>34</v>
      </c>
      <c r="D13" s="287">
        <f ca="1">PLANTILLA!F10</f>
        <v>33</v>
      </c>
      <c r="E13" s="163">
        <f>PLANTILLA!X10</f>
        <v>0</v>
      </c>
      <c r="F13" s="163">
        <f>PLANTILLA!Y10</f>
        <v>11.95</v>
      </c>
      <c r="G13" s="163">
        <f>PLANTILLA!Z10</f>
        <v>6.95</v>
      </c>
      <c r="H13" s="163">
        <f>PLANTILLA!AA10</f>
        <v>7.5000000000000018</v>
      </c>
      <c r="I13" s="163">
        <f>PLANTILLA!AB10</f>
        <v>8.9</v>
      </c>
      <c r="J13" s="163">
        <f>PLANTILLA!AC10</f>
        <v>3.9</v>
      </c>
      <c r="K13" s="163">
        <f>PLANTILLA!AD10</f>
        <v>16</v>
      </c>
      <c r="L13" s="614">
        <f>1/8</f>
        <v>0.125</v>
      </c>
      <c r="M13" s="333">
        <f t="shared" si="0"/>
        <v>6.25E-2</v>
      </c>
      <c r="N13" s="33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05"/>
      <c r="Z13" s="405">
        <f>S13</f>
        <v>2.0875000000000001E-2</v>
      </c>
      <c r="AA13" s="405">
        <f t="shared" si="11"/>
        <v>2.0875000000000001E-2</v>
      </c>
      <c r="AD13" t="s">
        <v>66</v>
      </c>
      <c r="AE13" t="s">
        <v>507</v>
      </c>
      <c r="AG13" t="s">
        <v>66</v>
      </c>
      <c r="AH13" t="s">
        <v>287</v>
      </c>
    </row>
    <row r="14" spans="1:34" x14ac:dyDescent="0.25">
      <c r="A14" s="287" t="str">
        <f>PLANTILLA!A9</f>
        <v>#2</v>
      </c>
      <c r="B14" s="670" t="str">
        <f>PLANTILLA!D9</f>
        <v>E. Toney</v>
      </c>
      <c r="C14" s="287">
        <f>PLANTILLA!E9</f>
        <v>34</v>
      </c>
      <c r="D14" s="287">
        <f ca="1">PLANTILLA!F9</f>
        <v>48</v>
      </c>
      <c r="E14" s="163">
        <f>PLANTILLA!X9</f>
        <v>0</v>
      </c>
      <c r="F14" s="163">
        <f>PLANTILLA!Y9</f>
        <v>12.200000000000005</v>
      </c>
      <c r="G14" s="163">
        <f>PLANTILLA!Z9</f>
        <v>12.95</v>
      </c>
      <c r="H14" s="163">
        <f>PLANTILLA!AA9</f>
        <v>9.8750000000000053</v>
      </c>
      <c r="I14" s="163">
        <f>PLANTILLA!AB9</f>
        <v>9.6</v>
      </c>
      <c r="J14" s="163">
        <f>PLANTILLA!AC9</f>
        <v>2.99</v>
      </c>
      <c r="K14" s="163">
        <f>PLANTILLA!AD9</f>
        <v>17.177777777777774</v>
      </c>
      <c r="L14" s="614">
        <f>1/19</f>
        <v>5.2631578947368418E-2</v>
      </c>
      <c r="M14" s="333">
        <f t="shared" si="0"/>
        <v>2.6315789473684209E-2</v>
      </c>
      <c r="N14" s="33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05">
        <f>P14</f>
        <v>1.2421052631578946E-2</v>
      </c>
      <c r="Z14" s="405">
        <f>Q14</f>
        <v>1.9105263157894736E-2</v>
      </c>
      <c r="AA14" s="405">
        <f t="shared" si="11"/>
        <v>1.9105263157894736E-2</v>
      </c>
    </row>
    <row r="15" spans="1:34" x14ac:dyDescent="0.25">
      <c r="A15" s="287" t="str">
        <f>PLANTILLA!A22</f>
        <v>#18</v>
      </c>
      <c r="B15" s="670" t="str">
        <f>PLANTILLA!D22</f>
        <v>L. Calosso</v>
      </c>
      <c r="C15" s="287">
        <f>PLANTILLA!E22</f>
        <v>33</v>
      </c>
      <c r="D15" s="287">
        <f ca="1">PLANTILLA!F22</f>
        <v>78</v>
      </c>
      <c r="E15" s="163">
        <f>PLANTILLA!X22</f>
        <v>0</v>
      </c>
      <c r="F15" s="163">
        <f>PLANTILLA!Y22</f>
        <v>2.95</v>
      </c>
      <c r="G15" s="163">
        <f>PLANTILLA!Z22</f>
        <v>13.95</v>
      </c>
      <c r="H15" s="163">
        <f>PLANTILLA!AA22</f>
        <v>3.04</v>
      </c>
      <c r="I15" s="163">
        <f>PLANTILLA!AB22</f>
        <v>15.02</v>
      </c>
      <c r="J15" s="163">
        <f>PLANTILLA!AC22</f>
        <v>9.9499999999999993</v>
      </c>
      <c r="K15" s="163">
        <f>PLANTILLA!AD22</f>
        <v>11.25</v>
      </c>
      <c r="L15" s="614">
        <f>1/23</f>
        <v>4.3478260869565216E-2</v>
      </c>
      <c r="M15" s="333">
        <f t="shared" si="0"/>
        <v>2.1739130434782608E-2</v>
      </c>
      <c r="N15" s="33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05">
        <f>W15</f>
        <v>1.7652173913043478E-2</v>
      </c>
      <c r="Z15" s="405">
        <f>W15</f>
        <v>1.7652173913043478E-2</v>
      </c>
      <c r="AA15" s="405">
        <f t="shared" si="11"/>
        <v>1.7652173913043478E-2</v>
      </c>
    </row>
    <row r="16" spans="1:34" x14ac:dyDescent="0.25">
      <c r="A16" s="287" t="str">
        <f>PLANTILLA!A17</f>
        <v>#12</v>
      </c>
      <c r="B16" s="219" t="str">
        <f>PLANTILLA!D17</f>
        <v>E. Gross</v>
      </c>
      <c r="C16" s="287">
        <f>PLANTILLA!E17</f>
        <v>33</v>
      </c>
      <c r="D16" s="287">
        <f ca="1">PLANTILLA!F17</f>
        <v>109</v>
      </c>
      <c r="E16" s="163">
        <f>PLANTILLA!X17</f>
        <v>0</v>
      </c>
      <c r="F16" s="163">
        <f>PLANTILLA!Y17</f>
        <v>10.549999999999995</v>
      </c>
      <c r="G16" s="163">
        <f>PLANTILLA!Z17</f>
        <v>13</v>
      </c>
      <c r="H16" s="163">
        <f>PLANTILLA!AA17</f>
        <v>4.95</v>
      </c>
      <c r="I16" s="163">
        <f>PLANTILLA!AB17</f>
        <v>9.24</v>
      </c>
      <c r="J16" s="163">
        <f>PLANTILLA!AC17</f>
        <v>1.95</v>
      </c>
      <c r="K16" s="163">
        <f>PLANTILLA!AD17</f>
        <v>17.459999999999997</v>
      </c>
      <c r="L16" s="614">
        <f>1/14</f>
        <v>7.1428571428571425E-2</v>
      </c>
      <c r="M16" s="333">
        <f t="shared" si="0"/>
        <v>3.5714285714285712E-2</v>
      </c>
      <c r="N16" s="33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05">
        <f>P16</f>
        <v>1.6857142857142855E-2</v>
      </c>
      <c r="Z16" s="405">
        <f>P16</f>
        <v>1.6857142857142855E-2</v>
      </c>
      <c r="AA16" s="405">
        <f t="shared" si="11"/>
        <v>1.6857142857142855E-2</v>
      </c>
    </row>
    <row r="17" spans="1:27" x14ac:dyDescent="0.25">
      <c r="A17" s="287" t="str">
        <f>PLANTILLA!A7</f>
        <v>#17</v>
      </c>
      <c r="B17" s="219" t="str">
        <f>PLANTILLA!D7</f>
        <v>B. Pinczehelyi</v>
      </c>
      <c r="C17" s="287">
        <f>PLANTILLA!E7</f>
        <v>33</v>
      </c>
      <c r="D17" s="287">
        <f ca="1">PLANTILLA!F7</f>
        <v>49</v>
      </c>
      <c r="E17" s="163">
        <f>PLANTILLA!X7</f>
        <v>0</v>
      </c>
      <c r="F17" s="163">
        <f>PLANTILLA!Y7</f>
        <v>14.300000000000004</v>
      </c>
      <c r="G17" s="163">
        <f>PLANTILLA!Z7</f>
        <v>9.3793333333333351</v>
      </c>
      <c r="H17" s="163">
        <f>PLANTILLA!AA7</f>
        <v>13.95</v>
      </c>
      <c r="I17" s="163">
        <f>PLANTILLA!AB7</f>
        <v>9.4199999999999982</v>
      </c>
      <c r="J17" s="163">
        <f>PLANTILLA!AC7</f>
        <v>0.95</v>
      </c>
      <c r="K17" s="163">
        <f>PLANTILLA!AD7</f>
        <v>11.25</v>
      </c>
      <c r="L17" s="614">
        <f>1/11</f>
        <v>9.0909090909090912E-2</v>
      </c>
      <c r="M17" s="333">
        <f t="shared" si="0"/>
        <v>4.5454545454545456E-2</v>
      </c>
      <c r="N17" s="33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05">
        <f>S17</f>
        <v>1.5181818181818183E-2</v>
      </c>
      <c r="Z17" s="405">
        <f>S17</f>
        <v>1.5181818181818183E-2</v>
      </c>
      <c r="AA17" s="405">
        <f t="shared" si="11"/>
        <v>1.5181818181818183E-2</v>
      </c>
    </row>
    <row r="18" spans="1:27" x14ac:dyDescent="0.25">
      <c r="A18" s="287" t="str">
        <f>PLANTILLA!A23</f>
        <v>#15</v>
      </c>
      <c r="B18" s="287" t="str">
        <f>PLANTILLA!D23</f>
        <v>P .Trivadi</v>
      </c>
      <c r="C18" s="287">
        <f>PLANTILLA!E23</f>
        <v>30</v>
      </c>
      <c r="D18" s="287">
        <f ca="1">PLANTILLA!F23</f>
        <v>40</v>
      </c>
      <c r="E18" s="163">
        <f>PLANTILLA!X23</f>
        <v>0</v>
      </c>
      <c r="F18" s="163">
        <f>PLANTILLA!Y23</f>
        <v>4.0199999999999996</v>
      </c>
      <c r="G18" s="163">
        <f>PLANTILLA!Z23</f>
        <v>6</v>
      </c>
      <c r="H18" s="163">
        <f>PLANTILLA!AA23</f>
        <v>5.5099999999999989</v>
      </c>
      <c r="I18" s="163">
        <f>PLANTILLA!AB23</f>
        <v>11</v>
      </c>
      <c r="J18" s="163">
        <f>PLANTILLA!AC23</f>
        <v>8.384500000000001</v>
      </c>
      <c r="K18" s="163">
        <f>PLANTILLA!AD23</f>
        <v>13.566666666666668</v>
      </c>
      <c r="L18" s="614">
        <f>1/6</f>
        <v>0.16666666666666666</v>
      </c>
      <c r="M18" s="333">
        <f t="shared" si="0"/>
        <v>8.3333333333333329E-2</v>
      </c>
      <c r="N18" s="33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05">
        <v>0</v>
      </c>
      <c r="Z18" s="405">
        <v>0</v>
      </c>
      <c r="AA18" s="405">
        <f t="shared" si="11"/>
        <v>0</v>
      </c>
    </row>
    <row r="19" spans="1:27" x14ac:dyDescent="0.25">
      <c r="A19" s="287" t="str">
        <f>PLANTILLA!A5</f>
        <v>#1</v>
      </c>
      <c r="B19" s="287" t="str">
        <f>PLANTILLA!D5</f>
        <v>D. Gehmacher</v>
      </c>
      <c r="C19" s="287">
        <f>PLANTILLA!E5</f>
        <v>33</v>
      </c>
      <c r="D19" s="287">
        <f ca="1">PLANTILLA!F5</f>
        <v>37</v>
      </c>
      <c r="E19" s="163">
        <f>PLANTILLA!X5</f>
        <v>16.666666666666668</v>
      </c>
      <c r="F19" s="163">
        <f>PLANTILLA!Y5</f>
        <v>12.080559440559444</v>
      </c>
      <c r="G19" s="163">
        <f>PLANTILLA!Z5</f>
        <v>2.0699999999999985</v>
      </c>
      <c r="H19" s="163">
        <f>PLANTILLA!AA5</f>
        <v>2.149999999999999</v>
      </c>
      <c r="I19" s="163">
        <f>PLANTILLA!AB5</f>
        <v>1.0400000000000003</v>
      </c>
      <c r="J19" s="163">
        <f>PLANTILLA!AC5</f>
        <v>0.14055555555555557</v>
      </c>
      <c r="K19" s="163">
        <f>PLANTILLA!AD5</f>
        <v>18.2</v>
      </c>
      <c r="L19" s="614">
        <v>0</v>
      </c>
      <c r="M19" s="333">
        <f t="shared" si="0"/>
        <v>0</v>
      </c>
      <c r="N19" s="33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05">
        <f>O19</f>
        <v>0</v>
      </c>
      <c r="Z19" s="405">
        <f>O19</f>
        <v>0</v>
      </c>
      <c r="AA19" s="405">
        <f t="shared" si="11"/>
        <v>0</v>
      </c>
    </row>
    <row r="20" spans="1:27" x14ac:dyDescent="0.25">
      <c r="A20" s="287" t="str">
        <f>PLANTILLA!A6</f>
        <v>#16</v>
      </c>
      <c r="B20" s="287" t="str">
        <f>PLANTILLA!D6</f>
        <v>T. Hammond</v>
      </c>
      <c r="C20" s="287">
        <f>PLANTILLA!E6</f>
        <v>37</v>
      </c>
      <c r="D20" s="287">
        <f ca="1">PLANTILLA!F6</f>
        <v>46</v>
      </c>
      <c r="E20" s="163">
        <f>PLANTILLA!X6</f>
        <v>8.9499999999999993</v>
      </c>
      <c r="F20" s="163">
        <f>PLANTILLA!Y6</f>
        <v>8.9499999999999993</v>
      </c>
      <c r="G20" s="163">
        <f>PLANTILLA!Z6</f>
        <v>2.95</v>
      </c>
      <c r="H20" s="163">
        <f>PLANTILLA!AA6</f>
        <v>2.95</v>
      </c>
      <c r="I20" s="163">
        <f>PLANTILLA!AB6</f>
        <v>3.95</v>
      </c>
      <c r="J20" s="163">
        <f>PLANTILLA!AC6</f>
        <v>0.95</v>
      </c>
      <c r="K20" s="163">
        <f>PLANTILLA!AD6</f>
        <v>15.778888888888888</v>
      </c>
      <c r="L20" s="614"/>
      <c r="M20" s="333">
        <f t="shared" si="0"/>
        <v>0</v>
      </c>
      <c r="N20" s="33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05"/>
      <c r="Z20" s="405"/>
      <c r="AA20" s="405">
        <f t="shared" si="11"/>
        <v>0</v>
      </c>
    </row>
    <row r="21" spans="1:27" x14ac:dyDescent="0.25">
      <c r="A21" s="287" t="str">
        <f>PLANTILLA!A11</f>
        <v>#13</v>
      </c>
      <c r="B21" s="287" t="str">
        <f>PLANTILLA!D11</f>
        <v>F. Lasprilla</v>
      </c>
      <c r="C21" s="287">
        <f>PLANTILLA!E11</f>
        <v>30</v>
      </c>
      <c r="D21" s="287">
        <f ca="1">PLANTILLA!F11</f>
        <v>56</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13.33611111111111</v>
      </c>
      <c r="L21" s="614"/>
      <c r="M21" s="333">
        <f t="shared" si="0"/>
        <v>0</v>
      </c>
      <c r="N21" s="33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05"/>
      <c r="Z21" s="405"/>
      <c r="AA21" s="405">
        <f t="shared" si="11"/>
        <v>0</v>
      </c>
    </row>
    <row r="22" spans="1:27" x14ac:dyDescent="0.25">
      <c r="A22" s="287" t="str">
        <f>PLANTILLA!A19</f>
        <v>#14</v>
      </c>
      <c r="B22" s="287" t="str">
        <f>PLANTILLA!D19</f>
        <v>W. Gelifini</v>
      </c>
      <c r="C22" s="287">
        <f>PLANTILLA!E19</f>
        <v>32</v>
      </c>
      <c r="D22" s="287">
        <f ca="1">PLANTILLA!F19</f>
        <v>34</v>
      </c>
      <c r="E22" s="163">
        <f>PLANTILLA!X19</f>
        <v>0</v>
      </c>
      <c r="F22" s="163">
        <f>PLANTILLA!Y19</f>
        <v>5.6515555555555519</v>
      </c>
      <c r="G22" s="163">
        <f>PLANTILLA!Z19</f>
        <v>9.9499999999999993</v>
      </c>
      <c r="H22" s="163">
        <f>PLANTILLA!AA19</f>
        <v>6.95</v>
      </c>
      <c r="I22" s="163">
        <f>PLANTILLA!AB19</f>
        <v>9.2666666666666639</v>
      </c>
      <c r="J22" s="163">
        <f>PLANTILLA!AC19</f>
        <v>3.5417777777777766</v>
      </c>
      <c r="K22" s="163">
        <f>PLANTILLA!AD19</f>
        <v>12.847222222222223</v>
      </c>
      <c r="L22" s="614"/>
      <c r="M22" s="333">
        <f t="shared" si="0"/>
        <v>0</v>
      </c>
      <c r="N22" s="33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05"/>
      <c r="Z22" s="405"/>
      <c r="AA22" s="405">
        <f t="shared" si="11"/>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c r="M23" s="333">
        <f t="shared" si="0"/>
        <v>0</v>
      </c>
      <c r="N23" s="33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05"/>
      <c r="Z23" s="405"/>
      <c r="AA23" s="405">
        <f t="shared" si="11"/>
        <v>0</v>
      </c>
    </row>
    <row r="26" spans="1:27" x14ac:dyDescent="0.25">
      <c r="B26" s="29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6" bestFit="1" customWidth="1"/>
    <col min="13" max="13" width="6.5703125" style="616" customWidth="1"/>
    <col min="14" max="14" width="8.28515625" style="616"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835</v>
      </c>
      <c r="AD1" t="s">
        <v>836</v>
      </c>
      <c r="AG1" t="s">
        <v>837</v>
      </c>
    </row>
    <row r="2" spans="1:34" x14ac:dyDescent="0.25">
      <c r="B2" s="290">
        <v>42585</v>
      </c>
      <c r="Y2" s="618">
        <f>SUM(Y4:Y22)</f>
        <v>0.24062111707736711</v>
      </c>
      <c r="Z2" s="618">
        <f>SUM(Z4:Z22)</f>
        <v>0.19504062465312466</v>
      </c>
      <c r="AA2" s="618"/>
      <c r="AD2" s="492" t="s">
        <v>276</v>
      </c>
      <c r="AE2" s="492" t="s">
        <v>179</v>
      </c>
      <c r="AG2" s="492" t="s">
        <v>276</v>
      </c>
      <c r="AH2" s="492" t="s">
        <v>179</v>
      </c>
    </row>
    <row r="3" spans="1:34" x14ac:dyDescent="0.25">
      <c r="A3" s="299" t="s">
        <v>867</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840</v>
      </c>
      <c r="O3" s="613" t="s">
        <v>1</v>
      </c>
      <c r="P3" s="613" t="s">
        <v>803</v>
      </c>
      <c r="Q3" s="612" t="s">
        <v>833</v>
      </c>
      <c r="R3" s="612" t="s">
        <v>839</v>
      </c>
      <c r="S3" s="612" t="s">
        <v>834</v>
      </c>
      <c r="T3" s="612" t="s">
        <v>804</v>
      </c>
      <c r="U3" s="612" t="s">
        <v>503</v>
      </c>
      <c r="V3" s="612" t="s">
        <v>838</v>
      </c>
      <c r="W3" s="613" t="s">
        <v>602</v>
      </c>
      <c r="X3" s="613" t="s">
        <v>66</v>
      </c>
      <c r="Y3" s="615" t="s">
        <v>836</v>
      </c>
      <c r="Z3" s="615" t="s">
        <v>837</v>
      </c>
      <c r="AA3" s="615" t="s">
        <v>842</v>
      </c>
      <c r="AD3" t="s">
        <v>1</v>
      </c>
      <c r="AE3" t="s">
        <v>782</v>
      </c>
      <c r="AG3" t="s">
        <v>1</v>
      </c>
      <c r="AH3" t="s">
        <v>782</v>
      </c>
    </row>
    <row r="4" spans="1:34" x14ac:dyDescent="0.25">
      <c r="A4" s="287" t="str">
        <f>PLANTILLA!A21</f>
        <v>#9</v>
      </c>
      <c r="B4" s="669" t="str">
        <f>PLANTILLA!D21</f>
        <v>J. Limon</v>
      </c>
      <c r="C4" s="287">
        <f>PLANTILLA!E21</f>
        <v>33</v>
      </c>
      <c r="D4" s="287">
        <f ca="1">PLANTILLA!F21</f>
        <v>9</v>
      </c>
      <c r="E4" s="163">
        <f>PLANTILLA!X21</f>
        <v>0</v>
      </c>
      <c r="F4" s="163">
        <f>PLANTILLA!Y21</f>
        <v>6.8376190476190493</v>
      </c>
      <c r="G4" s="163">
        <f>PLANTILLA!Z21</f>
        <v>9</v>
      </c>
      <c r="H4" s="163">
        <f>PLANTILLA!AA21</f>
        <v>8.7399999999999967</v>
      </c>
      <c r="I4" s="163">
        <f>PLANTILLA!AB21</f>
        <v>9.9499999999999993</v>
      </c>
      <c r="J4" s="163">
        <f>PLANTILLA!AC21</f>
        <v>7.95</v>
      </c>
      <c r="K4" s="163">
        <f>PLANTILLA!AD21</f>
        <v>18.999999999999993</v>
      </c>
      <c r="L4" s="333">
        <f>1/8</f>
        <v>0.125</v>
      </c>
      <c r="M4" s="333"/>
      <c r="N4" s="33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05">
        <f>W4</f>
        <v>4.7065340909090911E-2</v>
      </c>
      <c r="Z4" s="405"/>
      <c r="AA4" s="405">
        <f t="shared" ref="AA4:AA23" si="6">MAX(Z4,Y4)</f>
        <v>4.7065340909090911E-2</v>
      </c>
      <c r="AD4" t="s">
        <v>802</v>
      </c>
      <c r="AE4" s="634" t="s">
        <v>855</v>
      </c>
      <c r="AG4" t="s">
        <v>802</v>
      </c>
      <c r="AH4" s="634" t="str">
        <f>AE4</f>
        <v>B. Pinczehelyi</v>
      </c>
    </row>
    <row r="5" spans="1:34" x14ac:dyDescent="0.25">
      <c r="A5" s="287" t="str">
        <f>PLANTILLA!A18</f>
        <v>#5</v>
      </c>
      <c r="B5" s="669" t="str">
        <f>PLANTILLA!D18</f>
        <v>L. Bauman</v>
      </c>
      <c r="C5" s="287">
        <f>PLANTILLA!E18</f>
        <v>33</v>
      </c>
      <c r="D5" s="287">
        <f ca="1">PLANTILLA!F18</f>
        <v>84</v>
      </c>
      <c r="E5" s="163">
        <f>PLANTILLA!X18</f>
        <v>0</v>
      </c>
      <c r="F5" s="163">
        <f>PLANTILLA!Y18</f>
        <v>6</v>
      </c>
      <c r="G5" s="163">
        <f>PLANTILLA!Z18</f>
        <v>14.1</v>
      </c>
      <c r="H5" s="163">
        <f>PLANTILLA!AA18</f>
        <v>3.5124999999999993</v>
      </c>
      <c r="I5" s="163">
        <f>PLANTILLA!AB18</f>
        <v>9.1400000000000041</v>
      </c>
      <c r="J5" s="163">
        <f>PLANTILLA!AC18</f>
        <v>6.95</v>
      </c>
      <c r="K5" s="163">
        <f>PLANTILLA!AD18</f>
        <v>17</v>
      </c>
      <c r="L5" s="333">
        <f>1/9</f>
        <v>0.1111111111111111</v>
      </c>
      <c r="M5" s="333"/>
      <c r="N5" s="33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05">
        <f>T5</f>
        <v>4.0351010101010096E-2</v>
      </c>
      <c r="Z5" s="405">
        <f>W5</f>
        <v>4.183585858585858E-2</v>
      </c>
      <c r="AA5" s="405">
        <f t="shared" si="6"/>
        <v>4.183585858585858E-2</v>
      </c>
      <c r="AD5" t="s">
        <v>803</v>
      </c>
      <c r="AE5" t="s">
        <v>272</v>
      </c>
      <c r="AG5" t="s">
        <v>814</v>
      </c>
      <c r="AH5" t="s">
        <v>273</v>
      </c>
    </row>
    <row r="6" spans="1:34" x14ac:dyDescent="0.25">
      <c r="A6" s="287" t="str">
        <f>PLANTILLA!A15</f>
        <v>#6</v>
      </c>
      <c r="B6" s="669" t="str">
        <f>PLANTILLA!D15</f>
        <v>S. Buschelman</v>
      </c>
      <c r="C6" s="287">
        <f>PLANTILLA!E15</f>
        <v>32</v>
      </c>
      <c r="D6" s="287">
        <f ca="1">PLANTILLA!F15</f>
        <v>81</v>
      </c>
      <c r="E6" s="163">
        <f>PLANTILLA!X15</f>
        <v>0</v>
      </c>
      <c r="F6" s="163">
        <f>PLANTILLA!Y15</f>
        <v>9.3036666666666648</v>
      </c>
      <c r="G6" s="163">
        <f>PLANTILLA!Z15</f>
        <v>14</v>
      </c>
      <c r="H6" s="163">
        <f>PLANTILLA!AA15</f>
        <v>12.945</v>
      </c>
      <c r="I6" s="163">
        <f>PLANTILLA!AB15</f>
        <v>10</v>
      </c>
      <c r="J6" s="163">
        <f>PLANTILLA!AC15</f>
        <v>4.99</v>
      </c>
      <c r="K6" s="163">
        <f>PLANTILLA!AD15</f>
        <v>16</v>
      </c>
      <c r="L6" s="333">
        <f>1/8</f>
        <v>0.125</v>
      </c>
      <c r="M6" s="333"/>
      <c r="N6" s="33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05">
        <f>U6</f>
        <v>3.5380681818181818E-2</v>
      </c>
      <c r="Z6" s="405">
        <f>U6</f>
        <v>3.5380681818181818E-2</v>
      </c>
      <c r="AA6" s="405">
        <f t="shared" si="6"/>
        <v>3.5380681818181818E-2</v>
      </c>
      <c r="AD6" t="s">
        <v>802</v>
      </c>
      <c r="AE6" t="s">
        <v>269</v>
      </c>
      <c r="AG6" t="s">
        <v>813</v>
      </c>
      <c r="AH6" t="s">
        <v>269</v>
      </c>
    </row>
    <row r="7" spans="1:34" x14ac:dyDescent="0.25">
      <c r="A7" s="287" t="str">
        <f>PLANTILLA!A20</f>
        <v>#19</v>
      </c>
      <c r="B7" s="669" t="str">
        <f>PLANTILLA!D20</f>
        <v>G. Kerschl</v>
      </c>
      <c r="C7" s="287">
        <f>PLANTILLA!E20</f>
        <v>31</v>
      </c>
      <c r="D7" s="287">
        <f ca="1">PLANTILLA!F20</f>
        <v>111</v>
      </c>
      <c r="E7" s="163">
        <f>PLANTILLA!X20</f>
        <v>0</v>
      </c>
      <c r="F7" s="163">
        <f>PLANTILLA!Y20</f>
        <v>3</v>
      </c>
      <c r="G7" s="163">
        <f>PLANTILLA!Z20</f>
        <v>15.07</v>
      </c>
      <c r="H7" s="163">
        <f>PLANTILLA!AA20</f>
        <v>12.12</v>
      </c>
      <c r="I7" s="163">
        <f>PLANTILLA!AB20</f>
        <v>13</v>
      </c>
      <c r="J7" s="163">
        <f>PLANTILLA!AC20</f>
        <v>7.95</v>
      </c>
      <c r="K7" s="163">
        <f>PLANTILLA!AD20</f>
        <v>7</v>
      </c>
      <c r="L7" s="333">
        <f>1/14</f>
        <v>7.1428571428571425E-2</v>
      </c>
      <c r="M7" s="333"/>
      <c r="N7" s="33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05">
        <f>W7</f>
        <v>2.6894480519480523E-2</v>
      </c>
      <c r="Z7" s="405">
        <f>W7</f>
        <v>2.6894480519480523E-2</v>
      </c>
      <c r="AA7" s="405">
        <f t="shared" si="6"/>
        <v>2.6894480519480523E-2</v>
      </c>
      <c r="AD7" t="s">
        <v>503</v>
      </c>
      <c r="AE7" t="s">
        <v>618</v>
      </c>
      <c r="AG7" t="s">
        <v>814</v>
      </c>
      <c r="AH7" t="s">
        <v>275</v>
      </c>
    </row>
    <row r="8" spans="1:34" x14ac:dyDescent="0.25">
      <c r="A8" s="287" t="str">
        <f>PLANTILLA!A16</f>
        <v>#4</v>
      </c>
      <c r="B8" s="669" t="str">
        <f>PLANTILLA!D16</f>
        <v>C. Rojas</v>
      </c>
      <c r="C8" s="287">
        <f>PLANTILLA!E16</f>
        <v>35</v>
      </c>
      <c r="D8" s="287">
        <f ca="1">PLANTILLA!F16</f>
        <v>3</v>
      </c>
      <c r="E8" s="163">
        <f>PLANTILLA!X16</f>
        <v>0</v>
      </c>
      <c r="F8" s="163">
        <f>PLANTILLA!Y16</f>
        <v>8.6275555555555581</v>
      </c>
      <c r="G8" s="163">
        <f>PLANTILLA!Z16</f>
        <v>13.95</v>
      </c>
      <c r="H8" s="163">
        <f>PLANTILLA!AA16</f>
        <v>9.9499999999999993</v>
      </c>
      <c r="I8" s="163">
        <f>PLANTILLA!AB16</f>
        <v>9.9499999999999993</v>
      </c>
      <c r="J8" s="163">
        <f>PLANTILLA!AC16</f>
        <v>2.95</v>
      </c>
      <c r="K8" s="163">
        <f>PLANTILLA!AD16</f>
        <v>17.144444444444439</v>
      </c>
      <c r="L8" s="333">
        <f>1/12</f>
        <v>8.3333333333333329E-2</v>
      </c>
      <c r="M8" s="333"/>
      <c r="N8" s="33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05">
        <f>U8</f>
        <v>2.3587121212121212E-2</v>
      </c>
      <c r="Z8" s="405">
        <f>U8</f>
        <v>2.3587121212121212E-2</v>
      </c>
      <c r="AA8" s="405">
        <f t="shared" si="6"/>
        <v>2.3587121212121212E-2</v>
      </c>
      <c r="AD8" t="s">
        <v>804</v>
      </c>
      <c r="AE8" t="s">
        <v>400</v>
      </c>
      <c r="AG8" t="s">
        <v>802</v>
      </c>
      <c r="AH8" t="s">
        <v>815</v>
      </c>
    </row>
    <row r="9" spans="1:34" x14ac:dyDescent="0.25">
      <c r="A9" s="287" t="str">
        <f>PLANTILLA!A13</f>
        <v>#11</v>
      </c>
      <c r="B9" s="669" t="str">
        <f>PLANTILLA!D13</f>
        <v>K. Helms</v>
      </c>
      <c r="C9" s="287">
        <f>PLANTILLA!E13</f>
        <v>33</v>
      </c>
      <c r="D9" s="287">
        <f ca="1">PLANTILLA!F13</f>
        <v>69</v>
      </c>
      <c r="E9" s="163">
        <f>PLANTILLA!X13</f>
        <v>0</v>
      </c>
      <c r="F9" s="163">
        <f>PLANTILLA!Y13</f>
        <v>7.2503030303030309</v>
      </c>
      <c r="G9" s="163">
        <f>PLANTILLA!Z13</f>
        <v>10.600000000000005</v>
      </c>
      <c r="H9" s="163">
        <f>PLANTILLA!AA13</f>
        <v>13.471666666666668</v>
      </c>
      <c r="I9" s="163">
        <f>PLANTILLA!AB13</f>
        <v>10.359999999999998</v>
      </c>
      <c r="J9" s="163">
        <f>PLANTILLA!AC13</f>
        <v>4.99</v>
      </c>
      <c r="K9" s="163">
        <f>PLANTILLA!AD13</f>
        <v>18</v>
      </c>
      <c r="L9" s="333">
        <f>1/10</f>
        <v>0.1</v>
      </c>
      <c r="M9" s="333"/>
      <c r="N9" s="33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05">
        <f>V9</f>
        <v>1.9088636363636363E-2</v>
      </c>
      <c r="Z9" s="405">
        <f>V9</f>
        <v>1.9088636363636363E-2</v>
      </c>
      <c r="AA9" s="405">
        <f t="shared" si="6"/>
        <v>1.9088636363636363E-2</v>
      </c>
      <c r="AD9" t="s">
        <v>503</v>
      </c>
      <c r="AE9" t="s">
        <v>285</v>
      </c>
      <c r="AG9" t="s">
        <v>503</v>
      </c>
      <c r="AH9" t="s">
        <v>285</v>
      </c>
    </row>
    <row r="10" spans="1:34" x14ac:dyDescent="0.25">
      <c r="A10" s="287" t="str">
        <f>PLANTILLA!A14</f>
        <v>#10</v>
      </c>
      <c r="B10" s="669" t="str">
        <f>PLANTILLA!D14</f>
        <v>S. Zobbe</v>
      </c>
      <c r="C10" s="287">
        <f>PLANTILLA!E14</f>
        <v>30</v>
      </c>
      <c r="D10" s="287">
        <f ca="1">PLANTILLA!F14</f>
        <v>84</v>
      </c>
      <c r="E10" s="163">
        <f>PLANTILLA!X14</f>
        <v>0</v>
      </c>
      <c r="F10" s="163">
        <f>PLANTILLA!Y14</f>
        <v>8.3599999999999977</v>
      </c>
      <c r="G10" s="163">
        <f>PLANTILLA!Z14</f>
        <v>12.253412698412699</v>
      </c>
      <c r="H10" s="163">
        <f>PLANTILLA!AA14</f>
        <v>12.45</v>
      </c>
      <c r="I10" s="163">
        <f>PLANTILLA!AB14</f>
        <v>10.24</v>
      </c>
      <c r="J10" s="163">
        <f>PLANTILLA!AC14</f>
        <v>7.4766666666666666</v>
      </c>
      <c r="K10" s="163">
        <f>PLANTILLA!AD14</f>
        <v>16</v>
      </c>
      <c r="L10" s="333">
        <f>1/10</f>
        <v>0.1</v>
      </c>
      <c r="M10" s="333"/>
      <c r="N10" s="33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05">
        <f>V10</f>
        <v>1.9088636363636363E-2</v>
      </c>
      <c r="Z10" s="405">
        <f>V10</f>
        <v>1.9088636363636363E-2</v>
      </c>
      <c r="AA10" s="405">
        <f t="shared" si="6"/>
        <v>1.9088636363636363E-2</v>
      </c>
      <c r="AD10" t="s">
        <v>805</v>
      </c>
      <c r="AE10" t="s">
        <v>815</v>
      </c>
      <c r="AG10" t="s">
        <v>503</v>
      </c>
      <c r="AH10" t="s">
        <v>618</v>
      </c>
    </row>
    <row r="11" spans="1:34" x14ac:dyDescent="0.25">
      <c r="A11" s="287" t="str">
        <f>PLANTILLA!A12</f>
        <v>#7</v>
      </c>
      <c r="B11" s="669" t="str">
        <f>PLANTILLA!D12</f>
        <v>E. Romweber</v>
      </c>
      <c r="C11" s="287">
        <f>PLANTILLA!E12</f>
        <v>34</v>
      </c>
      <c r="D11" s="287">
        <f ca="1">PLANTILLA!F12</f>
        <v>10</v>
      </c>
      <c r="E11" s="163">
        <f>PLANTILLA!X12</f>
        <v>0</v>
      </c>
      <c r="F11" s="163">
        <f>PLANTILLA!Y12</f>
        <v>11.95</v>
      </c>
      <c r="G11" s="163">
        <f>PLANTILLA!Z12</f>
        <v>12.614111111111114</v>
      </c>
      <c r="H11" s="163">
        <f>PLANTILLA!AA12</f>
        <v>12.95</v>
      </c>
      <c r="I11" s="163">
        <f>PLANTILLA!AB12</f>
        <v>10.95</v>
      </c>
      <c r="J11" s="163">
        <f>PLANTILLA!AC12</f>
        <v>6.99</v>
      </c>
      <c r="K11" s="163">
        <f>PLANTILLA!AD12</f>
        <v>17.529999999999998</v>
      </c>
      <c r="L11" s="333">
        <f>1/13</f>
        <v>7.6923076923076927E-2</v>
      </c>
      <c r="M11" s="333"/>
      <c r="N11" s="33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05">
        <f>V11</f>
        <v>1.4683566433566433E-2</v>
      </c>
      <c r="Z11" s="405">
        <f>V11</f>
        <v>1.4683566433566433E-2</v>
      </c>
      <c r="AA11" s="405">
        <f t="shared" si="6"/>
        <v>1.4683566433566433E-2</v>
      </c>
      <c r="AD11" t="s">
        <v>805</v>
      </c>
      <c r="AE11" t="s">
        <v>298</v>
      </c>
      <c r="AG11" t="s">
        <v>805</v>
      </c>
      <c r="AH11" t="s">
        <v>298</v>
      </c>
    </row>
    <row r="12" spans="1:34" x14ac:dyDescent="0.25">
      <c r="A12" s="287" t="str">
        <f>PLANTILLA!A22</f>
        <v>#18</v>
      </c>
      <c r="B12" s="669" t="str">
        <f>PLANTILLA!D22</f>
        <v>L. Calosso</v>
      </c>
      <c r="C12" s="287">
        <f>PLANTILLA!E22</f>
        <v>33</v>
      </c>
      <c r="D12" s="287">
        <f ca="1">PLANTILLA!F22</f>
        <v>78</v>
      </c>
      <c r="E12" s="163">
        <f>PLANTILLA!X22</f>
        <v>0</v>
      </c>
      <c r="F12" s="163">
        <f>PLANTILLA!Y22</f>
        <v>2.95</v>
      </c>
      <c r="G12" s="163">
        <f>PLANTILLA!Z22</f>
        <v>13.95</v>
      </c>
      <c r="H12" s="163">
        <f>PLANTILLA!AA22</f>
        <v>3.04</v>
      </c>
      <c r="I12" s="163">
        <f>PLANTILLA!AB22</f>
        <v>15.02</v>
      </c>
      <c r="J12" s="163">
        <f>PLANTILLA!AC22</f>
        <v>9.9499999999999993</v>
      </c>
      <c r="K12" s="163">
        <f>PLANTILLA!AD22</f>
        <v>11.25</v>
      </c>
      <c r="L12" s="333">
        <f>1/26</f>
        <v>3.8461538461538464E-2</v>
      </c>
      <c r="M12" s="333"/>
      <c r="N12" s="33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05">
        <f>W12</f>
        <v>1.448164335664336E-2</v>
      </c>
      <c r="Z12" s="405">
        <f>W12</f>
        <v>1.448164335664336E-2</v>
      </c>
      <c r="AA12" s="405">
        <f t="shared" si="6"/>
        <v>1.448164335664336E-2</v>
      </c>
      <c r="AD12" t="s">
        <v>66</v>
      </c>
      <c r="AE12" t="s">
        <v>287</v>
      </c>
      <c r="AG12" t="s">
        <v>805</v>
      </c>
      <c r="AH12" t="s">
        <v>507</v>
      </c>
    </row>
    <row r="13" spans="1:34" x14ac:dyDescent="0.25">
      <c r="A13" s="287" t="str">
        <f>PLANTILLA!A23</f>
        <v>#15</v>
      </c>
      <c r="B13" s="669" t="str">
        <f>PLANTILLA!D23</f>
        <v>P .Trivadi</v>
      </c>
      <c r="C13" s="287">
        <f>PLANTILLA!E23</f>
        <v>30</v>
      </c>
      <c r="D13" s="287">
        <f ca="1">PLANTILLA!F23</f>
        <v>40</v>
      </c>
      <c r="E13" s="163">
        <f>PLANTILLA!X23</f>
        <v>0</v>
      </c>
      <c r="F13" s="163">
        <f>PLANTILLA!Y23</f>
        <v>4.0199999999999996</v>
      </c>
      <c r="G13" s="163">
        <f>PLANTILLA!Z23</f>
        <v>6</v>
      </c>
      <c r="H13" s="163">
        <f>PLANTILLA!AA23</f>
        <v>5.5099999999999989</v>
      </c>
      <c r="I13" s="163">
        <f>PLANTILLA!AB23</f>
        <v>11</v>
      </c>
      <c r="J13" s="163">
        <f>PLANTILLA!AC23</f>
        <v>8.384500000000001</v>
      </c>
      <c r="K13" s="163">
        <f>PLANTILLA!AD23</f>
        <v>13.566666666666668</v>
      </c>
      <c r="L13" s="333">
        <f>1/9</f>
        <v>0.1111111111111111</v>
      </c>
      <c r="M13" s="333"/>
      <c r="N13" s="33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05">
        <v>0</v>
      </c>
      <c r="Z13" s="405">
        <v>0</v>
      </c>
      <c r="AA13" s="405">
        <f t="shared" si="6"/>
        <v>0</v>
      </c>
      <c r="AD13" t="s">
        <v>66</v>
      </c>
      <c r="AE13" t="s">
        <v>507</v>
      </c>
      <c r="AG13" t="s">
        <v>66</v>
      </c>
      <c r="AH13" t="s">
        <v>287</v>
      </c>
    </row>
    <row r="14" spans="1:34" x14ac:dyDescent="0.25">
      <c r="A14" s="287" t="str">
        <f>PLANTILLA!A5</f>
        <v>#1</v>
      </c>
      <c r="B14" s="287" t="str">
        <f>PLANTILLA!D5</f>
        <v>D. Gehmacher</v>
      </c>
      <c r="C14" s="287">
        <f>PLANTILLA!E5</f>
        <v>33</v>
      </c>
      <c r="D14" s="287">
        <f ca="1">PLANTILLA!F5</f>
        <v>37</v>
      </c>
      <c r="E14" s="163">
        <f>PLANTILLA!X5</f>
        <v>16.666666666666668</v>
      </c>
      <c r="F14" s="163">
        <f>PLANTILLA!Y5</f>
        <v>12.080559440559444</v>
      </c>
      <c r="G14" s="163">
        <f>PLANTILLA!Z5</f>
        <v>2.0699999999999985</v>
      </c>
      <c r="H14" s="163">
        <f>PLANTILLA!AA5</f>
        <v>2.149999999999999</v>
      </c>
      <c r="I14" s="163">
        <f>PLANTILLA!AB5</f>
        <v>1.0400000000000003</v>
      </c>
      <c r="J14" s="163">
        <f>PLANTILLA!AC5</f>
        <v>0.14055555555555557</v>
      </c>
      <c r="K14" s="163">
        <f>PLANTILLA!AD5</f>
        <v>18.2</v>
      </c>
      <c r="L14" s="333">
        <v>0</v>
      </c>
      <c r="M14" s="333"/>
      <c r="N14" s="33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05">
        <f>L14</f>
        <v>0</v>
      </c>
      <c r="Z14" s="405">
        <f>L14</f>
        <v>0</v>
      </c>
      <c r="AA14" s="405">
        <f t="shared" si="6"/>
        <v>0</v>
      </c>
    </row>
    <row r="15" spans="1:34" x14ac:dyDescent="0.25">
      <c r="A15" s="287" t="str">
        <f>PLANTILLA!A7</f>
        <v>#17</v>
      </c>
      <c r="B15" s="669" t="str">
        <f>PLANTILLA!D7</f>
        <v>B. Pinczehelyi</v>
      </c>
      <c r="C15" s="287">
        <f>PLANTILLA!E7</f>
        <v>33</v>
      </c>
      <c r="D15" s="287">
        <f ca="1">PLANTILLA!F7</f>
        <v>49</v>
      </c>
      <c r="E15" s="163">
        <f>PLANTILLA!X7</f>
        <v>0</v>
      </c>
      <c r="F15" s="163">
        <f>PLANTILLA!Y7</f>
        <v>14.300000000000004</v>
      </c>
      <c r="G15" s="163">
        <f>PLANTILLA!Z7</f>
        <v>9.3793333333333351</v>
      </c>
      <c r="H15" s="163">
        <f>PLANTILLA!AA7</f>
        <v>13.95</v>
      </c>
      <c r="I15" s="163">
        <f>PLANTILLA!AB7</f>
        <v>9.4199999999999982</v>
      </c>
      <c r="J15" s="163">
        <f>PLANTILLA!AC7</f>
        <v>0.95</v>
      </c>
      <c r="K15" s="163">
        <f>PLANTILLA!AD7</f>
        <v>11.25</v>
      </c>
      <c r="L15" s="333">
        <f>1/10</f>
        <v>0.1</v>
      </c>
      <c r="M15" s="333"/>
      <c r="N15" s="33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05">
        <v>0</v>
      </c>
      <c r="Z15" s="405">
        <v>0</v>
      </c>
      <c r="AA15" s="405">
        <f t="shared" si="6"/>
        <v>0</v>
      </c>
    </row>
    <row r="16" spans="1:34" x14ac:dyDescent="0.25">
      <c r="A16" s="287" t="str">
        <f>PLANTILLA!A8</f>
        <v>#8</v>
      </c>
      <c r="B16" s="669" t="str">
        <f>PLANTILLA!D8</f>
        <v>D. Toh</v>
      </c>
      <c r="C16" s="287">
        <f>PLANTILLA!E8</f>
        <v>34</v>
      </c>
      <c r="D16" s="287">
        <f ca="1">PLANTILLA!F8</f>
        <v>94</v>
      </c>
      <c r="E16" s="163">
        <f>PLANTILLA!X8</f>
        <v>0</v>
      </c>
      <c r="F16" s="163">
        <f>PLANTILLA!Y8</f>
        <v>10.95</v>
      </c>
      <c r="G16" s="163">
        <f>PLANTILLA!Z8</f>
        <v>5.95</v>
      </c>
      <c r="H16" s="163">
        <f>PLANTILLA!AA8</f>
        <v>5.95</v>
      </c>
      <c r="I16" s="163">
        <f>PLANTILLA!AB8</f>
        <v>7.7227777777777789</v>
      </c>
      <c r="J16" s="163">
        <f>PLANTILLA!AC8</f>
        <v>2.99</v>
      </c>
      <c r="K16" s="163">
        <f>PLANTILLA!AD8</f>
        <v>16</v>
      </c>
      <c r="L16" s="333">
        <f>1/8</f>
        <v>0.125</v>
      </c>
      <c r="M16" s="333"/>
      <c r="N16" s="33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05">
        <v>0</v>
      </c>
      <c r="Z16" s="405">
        <v>0</v>
      </c>
      <c r="AA16" s="405">
        <f t="shared" si="6"/>
        <v>0</v>
      </c>
    </row>
    <row r="17" spans="1:27" x14ac:dyDescent="0.25">
      <c r="A17" s="287" t="str">
        <f>PLANTILLA!A9</f>
        <v>#2</v>
      </c>
      <c r="B17" s="669" t="str">
        <f>PLANTILLA!D9</f>
        <v>E. Toney</v>
      </c>
      <c r="C17" s="287">
        <f>PLANTILLA!E9</f>
        <v>34</v>
      </c>
      <c r="D17" s="287">
        <f ca="1">PLANTILLA!F9</f>
        <v>48</v>
      </c>
      <c r="E17" s="163">
        <f>PLANTILLA!X9</f>
        <v>0</v>
      </c>
      <c r="F17" s="163">
        <f>PLANTILLA!Y9</f>
        <v>12.200000000000005</v>
      </c>
      <c r="G17" s="163">
        <f>PLANTILLA!Z9</f>
        <v>12.95</v>
      </c>
      <c r="H17" s="163">
        <f>PLANTILLA!AA9</f>
        <v>9.8750000000000053</v>
      </c>
      <c r="I17" s="163">
        <f>PLANTILLA!AB9</f>
        <v>9.6</v>
      </c>
      <c r="J17" s="163">
        <f>PLANTILLA!AC9</f>
        <v>2.99</v>
      </c>
      <c r="K17" s="163">
        <f>PLANTILLA!AD9</f>
        <v>17.177777777777774</v>
      </c>
      <c r="L17" s="333">
        <f>1/11</f>
        <v>9.0909090909090912E-2</v>
      </c>
      <c r="M17" s="333"/>
      <c r="N17" s="33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05">
        <f>S17</f>
        <v>0</v>
      </c>
      <c r="Z17" s="405">
        <f>S17</f>
        <v>0</v>
      </c>
      <c r="AA17" s="405">
        <f t="shared" si="6"/>
        <v>0</v>
      </c>
    </row>
    <row r="18" spans="1:27" x14ac:dyDescent="0.25">
      <c r="A18" s="287" t="str">
        <f>PLANTILLA!A17</f>
        <v>#12</v>
      </c>
      <c r="B18" s="669" t="str">
        <f>PLANTILLA!D17</f>
        <v>E. Gross</v>
      </c>
      <c r="C18" s="287">
        <f>PLANTILLA!E17</f>
        <v>33</v>
      </c>
      <c r="D18" s="287">
        <f ca="1">PLANTILLA!F17</f>
        <v>109</v>
      </c>
      <c r="E18" s="163">
        <f>PLANTILLA!X17</f>
        <v>0</v>
      </c>
      <c r="F18" s="163">
        <f>PLANTILLA!Y17</f>
        <v>10.549999999999995</v>
      </c>
      <c r="G18" s="163">
        <f>PLANTILLA!Z17</f>
        <v>13</v>
      </c>
      <c r="H18" s="163">
        <f>PLANTILLA!AA17</f>
        <v>4.95</v>
      </c>
      <c r="I18" s="163">
        <f>PLANTILLA!AB17</f>
        <v>9.24</v>
      </c>
      <c r="J18" s="163">
        <f>PLANTILLA!AC17</f>
        <v>1.95</v>
      </c>
      <c r="K18" s="163">
        <f>PLANTILLA!AD17</f>
        <v>17.459999999999997</v>
      </c>
      <c r="L18" s="333">
        <f>1/10</f>
        <v>0.1</v>
      </c>
      <c r="M18" s="333"/>
      <c r="N18" s="33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05">
        <v>0</v>
      </c>
      <c r="Z18" s="405">
        <v>0</v>
      </c>
      <c r="AA18" s="405">
        <f t="shared" si="6"/>
        <v>0</v>
      </c>
    </row>
    <row r="19" spans="1:27" x14ac:dyDescent="0.25">
      <c r="A19" s="287" t="str">
        <f>PLANTILLA!A10</f>
        <v>#3</v>
      </c>
      <c r="B19" s="669" t="str">
        <f>PLANTILLA!D10</f>
        <v>B. Bartolache</v>
      </c>
      <c r="C19" s="287">
        <f>PLANTILLA!E10</f>
        <v>34</v>
      </c>
      <c r="D19" s="287">
        <f ca="1">PLANTILLA!F10</f>
        <v>33</v>
      </c>
      <c r="E19" s="163">
        <f>PLANTILLA!X10</f>
        <v>0</v>
      </c>
      <c r="F19" s="163">
        <f>PLANTILLA!Y10</f>
        <v>11.95</v>
      </c>
      <c r="G19" s="163">
        <f>PLANTILLA!Z10</f>
        <v>6.95</v>
      </c>
      <c r="H19" s="163">
        <f>PLANTILLA!AA10</f>
        <v>7.5000000000000018</v>
      </c>
      <c r="I19" s="163">
        <f>PLANTILLA!AB10</f>
        <v>8.9</v>
      </c>
      <c r="J19" s="163">
        <f>PLANTILLA!AC10</f>
        <v>3.9</v>
      </c>
      <c r="K19" s="163">
        <f>PLANTILLA!AD10</f>
        <v>16</v>
      </c>
      <c r="L19" s="333">
        <f>1/10</f>
        <v>0.1</v>
      </c>
      <c r="M19" s="333"/>
      <c r="N19" s="33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05">
        <v>0</v>
      </c>
      <c r="Z19" s="405">
        <f>S19</f>
        <v>0</v>
      </c>
      <c r="AA19" s="405">
        <f t="shared" si="6"/>
        <v>0</v>
      </c>
    </row>
    <row r="20" spans="1:27" x14ac:dyDescent="0.25">
      <c r="A20" s="287" t="str">
        <f>PLANTILLA!A6</f>
        <v>#16</v>
      </c>
      <c r="B20" s="287" t="str">
        <f>PLANTILLA!D6</f>
        <v>T. Hammond</v>
      </c>
      <c r="C20" s="287">
        <f>PLANTILLA!E6</f>
        <v>37</v>
      </c>
      <c r="D20" s="287">
        <f ca="1">PLANTILLA!F6</f>
        <v>46</v>
      </c>
      <c r="E20" s="163">
        <f>PLANTILLA!X6</f>
        <v>8.9499999999999993</v>
      </c>
      <c r="F20" s="163">
        <f>PLANTILLA!Y6</f>
        <v>8.9499999999999993</v>
      </c>
      <c r="G20" s="163">
        <f>PLANTILLA!Z6</f>
        <v>2.95</v>
      </c>
      <c r="H20" s="163">
        <f>PLANTILLA!AA6</f>
        <v>2.95</v>
      </c>
      <c r="I20" s="163">
        <f>PLANTILLA!AB6</f>
        <v>3.95</v>
      </c>
      <c r="J20" s="163">
        <f>PLANTILLA!AC6</f>
        <v>0.95</v>
      </c>
      <c r="K20" s="163">
        <f>PLANTILLA!AD6</f>
        <v>15.778888888888888</v>
      </c>
      <c r="L20" s="333"/>
      <c r="M20" s="333"/>
      <c r="N20" s="33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05"/>
      <c r="Z20" s="405"/>
      <c r="AA20" s="405">
        <f t="shared" si="6"/>
        <v>0</v>
      </c>
    </row>
    <row r="21" spans="1:27" x14ac:dyDescent="0.25">
      <c r="A21" s="287" t="str">
        <f>PLANTILLA!A11</f>
        <v>#13</v>
      </c>
      <c r="B21" s="287" t="str">
        <f>PLANTILLA!D11</f>
        <v>F. Lasprilla</v>
      </c>
      <c r="C21" s="287">
        <f>PLANTILLA!E11</f>
        <v>30</v>
      </c>
      <c r="D21" s="287">
        <f ca="1">PLANTILLA!F11</f>
        <v>56</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13.33611111111111</v>
      </c>
      <c r="L21" s="333"/>
      <c r="M21" s="333"/>
      <c r="N21" s="33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05"/>
      <c r="Z21" s="405"/>
      <c r="AA21" s="405">
        <f t="shared" si="6"/>
        <v>0</v>
      </c>
    </row>
    <row r="22" spans="1:27" x14ac:dyDescent="0.25">
      <c r="A22" s="287" t="str">
        <f>PLANTILLA!A19</f>
        <v>#14</v>
      </c>
      <c r="B22" s="287" t="str">
        <f>PLANTILLA!D19</f>
        <v>W. Gelifini</v>
      </c>
      <c r="C22" s="287">
        <f>PLANTILLA!E19</f>
        <v>32</v>
      </c>
      <c r="D22" s="287">
        <f ca="1">PLANTILLA!F19</f>
        <v>34</v>
      </c>
      <c r="E22" s="163">
        <f>PLANTILLA!X19</f>
        <v>0</v>
      </c>
      <c r="F22" s="163">
        <f>PLANTILLA!Y19</f>
        <v>5.6515555555555519</v>
      </c>
      <c r="G22" s="163">
        <f>PLANTILLA!Z19</f>
        <v>9.9499999999999993</v>
      </c>
      <c r="H22" s="163">
        <f>PLANTILLA!AA19</f>
        <v>6.95</v>
      </c>
      <c r="I22" s="163">
        <f>PLANTILLA!AB19</f>
        <v>9.2666666666666639</v>
      </c>
      <c r="J22" s="163">
        <f>PLANTILLA!AC19</f>
        <v>3.5417777777777766</v>
      </c>
      <c r="K22" s="163">
        <f>PLANTILLA!AD19</f>
        <v>12.847222222222223</v>
      </c>
      <c r="L22" s="333"/>
      <c r="M22" s="333"/>
      <c r="N22" s="33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05"/>
      <c r="Z22" s="405"/>
      <c r="AA22" s="405">
        <f t="shared" si="6"/>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05"/>
      <c r="Z23" s="405"/>
      <c r="AA23" s="405">
        <f t="shared" si="6"/>
        <v>0</v>
      </c>
    </row>
    <row r="26" spans="1:27" x14ac:dyDescent="0.25">
      <c r="B26" s="29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39997558519241921"/>
  </sheetPr>
  <dimension ref="A1:AH25"/>
  <sheetViews>
    <sheetView workbookViewId="0">
      <selection activeCell="J11" sqref="J11"/>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6" bestFit="1" customWidth="1"/>
    <col min="13" max="13" width="6.5703125" style="616" customWidth="1"/>
    <col min="14" max="14" width="8.28515625" style="616"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835</v>
      </c>
      <c r="AD1" t="s">
        <v>836</v>
      </c>
      <c r="AG1" t="s">
        <v>837</v>
      </c>
    </row>
    <row r="2" spans="1:34" x14ac:dyDescent="0.25">
      <c r="B2" s="290">
        <v>43060</v>
      </c>
      <c r="Y2" s="618">
        <f>SUM(Y4:Y22)</f>
        <v>0.35961805555555554</v>
      </c>
      <c r="Z2" s="618">
        <f>SUM(Z4:Z22)</f>
        <v>0.49770896464646464</v>
      </c>
      <c r="AA2" s="618"/>
      <c r="AD2" s="492" t="s">
        <v>276</v>
      </c>
      <c r="AE2" s="492" t="s">
        <v>179</v>
      </c>
      <c r="AG2" s="492" t="s">
        <v>276</v>
      </c>
      <c r="AH2" s="492" t="s">
        <v>179</v>
      </c>
    </row>
    <row r="3" spans="1:34" x14ac:dyDescent="0.25">
      <c r="A3" s="299" t="s">
        <v>867</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840</v>
      </c>
      <c r="O3" s="613" t="s">
        <v>1</v>
      </c>
      <c r="P3" s="613" t="s">
        <v>803</v>
      </c>
      <c r="Q3" s="612" t="s">
        <v>833</v>
      </c>
      <c r="R3" s="612" t="s">
        <v>839</v>
      </c>
      <c r="S3" s="612" t="s">
        <v>834</v>
      </c>
      <c r="T3" s="612" t="s">
        <v>804</v>
      </c>
      <c r="U3" s="612" t="s">
        <v>503</v>
      </c>
      <c r="V3" s="612" t="s">
        <v>838</v>
      </c>
      <c r="W3" s="613" t="s">
        <v>602</v>
      </c>
      <c r="X3" s="613" t="s">
        <v>66</v>
      </c>
      <c r="Y3" s="615" t="s">
        <v>836</v>
      </c>
      <c r="Z3" s="615" t="s">
        <v>837</v>
      </c>
      <c r="AA3" s="615" t="s">
        <v>842</v>
      </c>
      <c r="AD3" t="s">
        <v>1</v>
      </c>
      <c r="AE3" t="s">
        <v>782</v>
      </c>
      <c r="AG3" t="s">
        <v>1</v>
      </c>
      <c r="AH3" t="s">
        <v>782</v>
      </c>
    </row>
    <row r="4" spans="1:34" x14ac:dyDescent="0.25">
      <c r="A4" s="287" t="str">
        <f>PLANTILLA!A8</f>
        <v>#8</v>
      </c>
      <c r="B4" s="669" t="str">
        <f>PLANTILLA!D8</f>
        <v>D. Toh</v>
      </c>
      <c r="C4" s="287">
        <f>PLANTILLA!E8</f>
        <v>34</v>
      </c>
      <c r="D4" s="287">
        <f ca="1">PLANTILLA!F8</f>
        <v>94</v>
      </c>
      <c r="E4" s="163">
        <f>PLANTILLA!X8</f>
        <v>0</v>
      </c>
      <c r="F4" s="163">
        <f>PLANTILLA!Y8</f>
        <v>10.95</v>
      </c>
      <c r="G4" s="163">
        <f>PLANTILLA!Z8</f>
        <v>5.95</v>
      </c>
      <c r="H4" s="163">
        <f>PLANTILLA!AA8</f>
        <v>5.95</v>
      </c>
      <c r="I4" s="163">
        <f>PLANTILLA!AB8</f>
        <v>7.7227777777777789</v>
      </c>
      <c r="J4" s="163">
        <f>PLANTILLA!AC8</f>
        <v>2.99</v>
      </c>
      <c r="K4" s="163">
        <f>PLANTILLA!AD8</f>
        <v>16</v>
      </c>
      <c r="L4" s="333">
        <f>1/4</f>
        <v>0.25</v>
      </c>
      <c r="M4" s="333">
        <f t="shared" ref="M4:M23" si="0">L4/2</f>
        <v>0.125</v>
      </c>
      <c r="N4" s="33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05"/>
      <c r="Z4" s="405">
        <f>R4</f>
        <v>7.1499999999999994E-2</v>
      </c>
      <c r="AA4" s="405">
        <f t="shared" ref="AA4:AA23" si="8">MAX(Z4,Y4)</f>
        <v>7.1499999999999994E-2</v>
      </c>
      <c r="AD4" t="s">
        <v>802</v>
      </c>
      <c r="AE4" s="634" t="s">
        <v>855</v>
      </c>
      <c r="AG4" t="s">
        <v>802</v>
      </c>
      <c r="AH4" s="634" t="str">
        <f>AE4</f>
        <v>B. Pinczehelyi</v>
      </c>
    </row>
    <row r="5" spans="1:34" x14ac:dyDescent="0.25">
      <c r="A5" s="287" t="str">
        <f>PLANTILLA!A10</f>
        <v>#3</v>
      </c>
      <c r="B5" s="669" t="str">
        <f>PLANTILLA!D10</f>
        <v>B. Bartolache</v>
      </c>
      <c r="C5" s="287">
        <f>PLANTILLA!E10</f>
        <v>34</v>
      </c>
      <c r="D5" s="287">
        <f ca="1">PLANTILLA!F10</f>
        <v>33</v>
      </c>
      <c r="E5" s="163">
        <f>PLANTILLA!X10</f>
        <v>0</v>
      </c>
      <c r="F5" s="163">
        <f>PLANTILLA!Y10</f>
        <v>11.95</v>
      </c>
      <c r="G5" s="163">
        <f>PLANTILLA!Z10</f>
        <v>6.95</v>
      </c>
      <c r="H5" s="163">
        <f>PLANTILLA!AA10</f>
        <v>7.5000000000000018</v>
      </c>
      <c r="I5" s="163">
        <f>PLANTILLA!AB10</f>
        <v>8.9</v>
      </c>
      <c r="J5" s="163">
        <f>PLANTILLA!AC10</f>
        <v>3.9</v>
      </c>
      <c r="K5" s="163">
        <f>PLANTILLA!AD10</f>
        <v>16</v>
      </c>
      <c r="L5" s="333">
        <f>1/6</f>
        <v>0.16666666666666666</v>
      </c>
      <c r="M5" s="333">
        <f t="shared" si="0"/>
        <v>8.3333333333333329E-2</v>
      </c>
      <c r="N5" s="33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05"/>
      <c r="Z5" s="405">
        <f>S5</f>
        <v>5.5681818181818173E-2</v>
      </c>
      <c r="AA5" s="405">
        <f t="shared" si="8"/>
        <v>5.5681818181818173E-2</v>
      </c>
      <c r="AD5" t="s">
        <v>803</v>
      </c>
      <c r="AE5" t="s">
        <v>272</v>
      </c>
      <c r="AG5" t="s">
        <v>814</v>
      </c>
      <c r="AH5" t="s">
        <v>273</v>
      </c>
    </row>
    <row r="6" spans="1:34" x14ac:dyDescent="0.25">
      <c r="A6" s="287" t="str">
        <f>PLANTILLA!A14</f>
        <v>#10</v>
      </c>
      <c r="B6" s="669" t="str">
        <f>PLANTILLA!D14</f>
        <v>S. Zobbe</v>
      </c>
      <c r="C6" s="287">
        <f>PLANTILLA!E14</f>
        <v>30</v>
      </c>
      <c r="D6" s="287">
        <f ca="1">PLANTILLA!F14</f>
        <v>84</v>
      </c>
      <c r="E6" s="163">
        <f>PLANTILLA!X14</f>
        <v>0</v>
      </c>
      <c r="F6" s="163">
        <f>PLANTILLA!Y14</f>
        <v>8.3599999999999977</v>
      </c>
      <c r="G6" s="163">
        <f>PLANTILLA!Z14</f>
        <v>12.253412698412699</v>
      </c>
      <c r="H6" s="163">
        <f>PLANTILLA!AA14</f>
        <v>12.45</v>
      </c>
      <c r="I6" s="163">
        <f>PLANTILLA!AB14</f>
        <v>10.24</v>
      </c>
      <c r="J6" s="163">
        <f>PLANTILLA!AC14</f>
        <v>7.4766666666666666</v>
      </c>
      <c r="K6" s="163">
        <f>PLANTILLA!AD14</f>
        <v>16</v>
      </c>
      <c r="L6" s="333">
        <f>1/9</f>
        <v>0.1111111111111111</v>
      </c>
      <c r="M6" s="333">
        <f t="shared" si="0"/>
        <v>5.5555555555555552E-2</v>
      </c>
      <c r="N6" s="33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05">
        <f>V6</f>
        <v>5.4545454545454536E-2</v>
      </c>
      <c r="Z6" s="405">
        <f>V6</f>
        <v>5.4545454545454536E-2</v>
      </c>
      <c r="AA6" s="405">
        <f t="shared" si="8"/>
        <v>5.4545454545454536E-2</v>
      </c>
      <c r="AD6" t="s">
        <v>802</v>
      </c>
      <c r="AE6" t="s">
        <v>269</v>
      </c>
      <c r="AG6" t="s">
        <v>813</v>
      </c>
      <c r="AH6" t="s">
        <v>269</v>
      </c>
    </row>
    <row r="7" spans="1:34" x14ac:dyDescent="0.25">
      <c r="A7" s="287" t="str">
        <f>PLANTILLA!A9</f>
        <v>#2</v>
      </c>
      <c r="B7" s="669" t="str">
        <f>PLANTILLA!D9</f>
        <v>E. Toney</v>
      </c>
      <c r="C7" s="287">
        <f>PLANTILLA!E9</f>
        <v>34</v>
      </c>
      <c r="D7" s="287">
        <f ca="1">PLANTILLA!F9</f>
        <v>48</v>
      </c>
      <c r="E7" s="163">
        <f>PLANTILLA!X9</f>
        <v>0</v>
      </c>
      <c r="F7" s="163">
        <f>PLANTILLA!Y9</f>
        <v>12.200000000000005</v>
      </c>
      <c r="G7" s="163">
        <f>PLANTILLA!Z9</f>
        <v>12.95</v>
      </c>
      <c r="H7" s="163">
        <f>PLANTILLA!AA9</f>
        <v>9.8750000000000053</v>
      </c>
      <c r="I7" s="163">
        <f>PLANTILLA!AB9</f>
        <v>9.6</v>
      </c>
      <c r="J7" s="163">
        <f>PLANTILLA!AC9</f>
        <v>2.99</v>
      </c>
      <c r="K7" s="163">
        <f>PLANTILLA!AD9</f>
        <v>17.177777777777774</v>
      </c>
      <c r="L7" s="333">
        <f>1/7</f>
        <v>0.14285714285714285</v>
      </c>
      <c r="M7" s="333">
        <f t="shared" si="0"/>
        <v>7.1428571428571425E-2</v>
      </c>
      <c r="N7" s="33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05">
        <f>S7</f>
        <v>4.7727272727272722E-2</v>
      </c>
      <c r="Z7" s="405">
        <f>S7</f>
        <v>4.7727272727272722E-2</v>
      </c>
      <c r="AA7" s="405">
        <f t="shared" si="8"/>
        <v>4.7727272727272722E-2</v>
      </c>
      <c r="AD7" t="s">
        <v>503</v>
      </c>
      <c r="AE7" t="s">
        <v>618</v>
      </c>
      <c r="AG7" t="s">
        <v>814</v>
      </c>
      <c r="AH7" t="s">
        <v>275</v>
      </c>
    </row>
    <row r="8" spans="1:34" x14ac:dyDescent="0.25">
      <c r="A8" s="287" t="str">
        <f>PLANTILLA!A12</f>
        <v>#7</v>
      </c>
      <c r="B8" s="670" t="str">
        <f>PLANTILLA!D12</f>
        <v>E. Romweber</v>
      </c>
      <c r="C8" s="287">
        <f>PLANTILLA!E12</f>
        <v>34</v>
      </c>
      <c r="D8" s="287">
        <f ca="1">PLANTILLA!F12</f>
        <v>10</v>
      </c>
      <c r="E8" s="163">
        <f>PLANTILLA!X12</f>
        <v>0</v>
      </c>
      <c r="F8" s="163">
        <f>PLANTILLA!Y12</f>
        <v>11.95</v>
      </c>
      <c r="G8" s="163">
        <f>PLANTILLA!Z12</f>
        <v>12.614111111111114</v>
      </c>
      <c r="H8" s="163">
        <f>PLANTILLA!AA12</f>
        <v>12.95</v>
      </c>
      <c r="I8" s="163">
        <f>PLANTILLA!AB12</f>
        <v>10.95</v>
      </c>
      <c r="J8" s="163">
        <f>PLANTILLA!AC12</f>
        <v>6.99</v>
      </c>
      <c r="K8" s="163">
        <f>PLANTILLA!AD12</f>
        <v>17.529999999999998</v>
      </c>
      <c r="L8" s="333">
        <f>1/12</f>
        <v>8.3333333333333329E-2</v>
      </c>
      <c r="M8" s="333">
        <f t="shared" si="0"/>
        <v>4.1666666666666664E-2</v>
      </c>
      <c r="N8" s="33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05">
        <f>V8</f>
        <v>4.0909090909090909E-2</v>
      </c>
      <c r="Z8" s="405">
        <f>V8</f>
        <v>4.0909090909090909E-2</v>
      </c>
      <c r="AA8" s="405">
        <f t="shared" si="8"/>
        <v>4.0909090909090909E-2</v>
      </c>
      <c r="AD8" t="s">
        <v>804</v>
      </c>
      <c r="AE8" t="s">
        <v>400</v>
      </c>
      <c r="AG8" t="s">
        <v>802</v>
      </c>
      <c r="AH8" t="s">
        <v>815</v>
      </c>
    </row>
    <row r="9" spans="1:34" x14ac:dyDescent="0.25">
      <c r="A9" s="287" t="str">
        <f>PLANTILLA!A13</f>
        <v>#11</v>
      </c>
      <c r="B9" s="670" t="str">
        <f>PLANTILLA!D13</f>
        <v>K. Helms</v>
      </c>
      <c r="C9" s="287">
        <f>PLANTILLA!E13</f>
        <v>33</v>
      </c>
      <c r="D9" s="287">
        <f ca="1">PLANTILLA!F13</f>
        <v>69</v>
      </c>
      <c r="E9" s="163">
        <f>PLANTILLA!X13</f>
        <v>0</v>
      </c>
      <c r="F9" s="163">
        <f>PLANTILLA!Y13</f>
        <v>7.2503030303030309</v>
      </c>
      <c r="G9" s="163">
        <f>PLANTILLA!Z13</f>
        <v>10.600000000000005</v>
      </c>
      <c r="H9" s="163">
        <f>PLANTILLA!AA13</f>
        <v>13.471666666666668</v>
      </c>
      <c r="I9" s="163">
        <f>PLANTILLA!AB13</f>
        <v>10.359999999999998</v>
      </c>
      <c r="J9" s="163">
        <f>PLANTILLA!AC13</f>
        <v>4.99</v>
      </c>
      <c r="K9" s="163">
        <f>PLANTILLA!AD13</f>
        <v>18</v>
      </c>
      <c r="L9" s="333">
        <f>1/12</f>
        <v>8.3333333333333329E-2</v>
      </c>
      <c r="M9" s="333">
        <f t="shared" si="0"/>
        <v>4.1666666666666664E-2</v>
      </c>
      <c r="N9" s="33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05">
        <f>V9</f>
        <v>4.0909090909090909E-2</v>
      </c>
      <c r="Z9" s="405">
        <f>V9</f>
        <v>4.0909090909090909E-2</v>
      </c>
      <c r="AA9" s="405">
        <f t="shared" si="8"/>
        <v>4.0909090909090909E-2</v>
      </c>
      <c r="AD9" t="s">
        <v>503</v>
      </c>
      <c r="AE9" t="s">
        <v>285</v>
      </c>
      <c r="AG9" t="s">
        <v>503</v>
      </c>
      <c r="AH9" t="s">
        <v>285</v>
      </c>
    </row>
    <row r="10" spans="1:34" x14ac:dyDescent="0.25">
      <c r="A10" s="287" t="str">
        <f>PLANTILLA!A16</f>
        <v>#4</v>
      </c>
      <c r="B10" s="670" t="str">
        <f>PLANTILLA!D16</f>
        <v>C. Rojas</v>
      </c>
      <c r="C10" s="287">
        <f>PLANTILLA!E16</f>
        <v>35</v>
      </c>
      <c r="D10" s="287">
        <f ca="1">PLANTILLA!F16</f>
        <v>3</v>
      </c>
      <c r="E10" s="163">
        <f>PLANTILLA!X16</f>
        <v>0</v>
      </c>
      <c r="F10" s="163">
        <f>PLANTILLA!Y16</f>
        <v>8.6275555555555581</v>
      </c>
      <c r="G10" s="163">
        <f>PLANTILLA!Z16</f>
        <v>13.95</v>
      </c>
      <c r="H10" s="163">
        <f>PLANTILLA!AA16</f>
        <v>9.9499999999999993</v>
      </c>
      <c r="I10" s="163">
        <f>PLANTILLA!AB16</f>
        <v>9.9499999999999993</v>
      </c>
      <c r="J10" s="163">
        <f>PLANTILLA!AC16</f>
        <v>2.95</v>
      </c>
      <c r="K10" s="163">
        <f>PLANTILLA!AD16</f>
        <v>17.144444444444439</v>
      </c>
      <c r="L10" s="333">
        <f>1/8</f>
        <v>0.125</v>
      </c>
      <c r="M10" s="333">
        <f t="shared" si="0"/>
        <v>6.25E-2</v>
      </c>
      <c r="N10" s="33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05">
        <f>U10</f>
        <v>4.0767045454545452E-2</v>
      </c>
      <c r="Z10" s="405">
        <f>U10</f>
        <v>4.0767045454545452E-2</v>
      </c>
      <c r="AA10" s="405">
        <f t="shared" si="8"/>
        <v>4.0767045454545452E-2</v>
      </c>
      <c r="AD10" t="s">
        <v>805</v>
      </c>
      <c r="AE10" t="s">
        <v>815</v>
      </c>
      <c r="AG10" t="s">
        <v>503</v>
      </c>
      <c r="AH10" t="s">
        <v>618</v>
      </c>
    </row>
    <row r="11" spans="1:34" x14ac:dyDescent="0.25">
      <c r="A11" s="287" t="str">
        <f>PLANTILLA!A15</f>
        <v>#6</v>
      </c>
      <c r="B11" s="670" t="str">
        <f>PLANTILLA!D15</f>
        <v>S. Buschelman</v>
      </c>
      <c r="C11" s="287">
        <f>PLANTILLA!E15</f>
        <v>32</v>
      </c>
      <c r="D11" s="287">
        <f ca="1">PLANTILLA!F15</f>
        <v>81</v>
      </c>
      <c r="E11" s="163">
        <f>PLANTILLA!X15</f>
        <v>0</v>
      </c>
      <c r="F11" s="163">
        <f>PLANTILLA!Y15</f>
        <v>9.3036666666666648</v>
      </c>
      <c r="G11" s="163">
        <f>PLANTILLA!Z15</f>
        <v>14</v>
      </c>
      <c r="H11" s="163">
        <f>PLANTILLA!AA15</f>
        <v>12.945</v>
      </c>
      <c r="I11" s="163">
        <f>PLANTILLA!AB15</f>
        <v>10</v>
      </c>
      <c r="J11" s="163">
        <f>PLANTILLA!AC15</f>
        <v>4.99</v>
      </c>
      <c r="K11" s="163">
        <f>PLANTILLA!AD15</f>
        <v>16</v>
      </c>
      <c r="L11" s="333">
        <f>1/9</f>
        <v>0.1111111111111111</v>
      </c>
      <c r="M11" s="333">
        <f t="shared" si="0"/>
        <v>5.5555555555555552E-2</v>
      </c>
      <c r="N11" s="33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05">
        <f>U11</f>
        <v>3.6237373737373728E-2</v>
      </c>
      <c r="Z11" s="405">
        <f>U11</f>
        <v>3.6237373737373728E-2</v>
      </c>
      <c r="AA11" s="405">
        <f t="shared" si="8"/>
        <v>3.6237373737373728E-2</v>
      </c>
      <c r="AD11" t="s">
        <v>805</v>
      </c>
      <c r="AE11" t="s">
        <v>298</v>
      </c>
      <c r="AG11" t="s">
        <v>805</v>
      </c>
      <c r="AH11" t="s">
        <v>298</v>
      </c>
    </row>
    <row r="12" spans="1:34" x14ac:dyDescent="0.25">
      <c r="A12" s="287" t="str">
        <f>PLANTILLA!A20</f>
        <v>#19</v>
      </c>
      <c r="B12" s="219" t="str">
        <f>PLANTILLA!D20</f>
        <v>G. Kerschl</v>
      </c>
      <c r="C12" s="287">
        <f>PLANTILLA!E20</f>
        <v>31</v>
      </c>
      <c r="D12" s="287">
        <f ca="1">PLANTILLA!F20</f>
        <v>111</v>
      </c>
      <c r="E12" s="163">
        <f>PLANTILLA!X20</f>
        <v>0</v>
      </c>
      <c r="F12" s="163">
        <f>PLANTILLA!Y20</f>
        <v>3</v>
      </c>
      <c r="G12" s="163">
        <f>PLANTILLA!Z20</f>
        <v>15.07</v>
      </c>
      <c r="H12" s="163">
        <f>PLANTILLA!AA20</f>
        <v>12.12</v>
      </c>
      <c r="I12" s="163">
        <f>PLANTILLA!AB20</f>
        <v>13</v>
      </c>
      <c r="J12" s="163">
        <f>PLANTILLA!AC20</f>
        <v>7.95</v>
      </c>
      <c r="K12" s="163">
        <f>PLANTILLA!AD20</f>
        <v>7</v>
      </c>
      <c r="L12" s="333">
        <f>1/10</f>
        <v>0.1</v>
      </c>
      <c r="M12" s="333">
        <f t="shared" si="0"/>
        <v>0.05</v>
      </c>
      <c r="N12" s="33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05">
        <f>U12</f>
        <v>3.2613636363636365E-2</v>
      </c>
      <c r="Z12" s="405">
        <f>U12</f>
        <v>3.2613636363636365E-2</v>
      </c>
      <c r="AA12" s="405">
        <f t="shared" si="8"/>
        <v>3.2613636363636365E-2</v>
      </c>
      <c r="AD12" t="s">
        <v>66</v>
      </c>
      <c r="AE12" t="s">
        <v>287</v>
      </c>
      <c r="AG12" t="s">
        <v>805</v>
      </c>
      <c r="AH12" t="s">
        <v>507</v>
      </c>
    </row>
    <row r="13" spans="1:34" x14ac:dyDescent="0.25">
      <c r="A13" s="287" t="str">
        <f>PLANTILLA!A22</f>
        <v>#18</v>
      </c>
      <c r="B13" s="219" t="str">
        <f>PLANTILLA!D22</f>
        <v>L. Calosso</v>
      </c>
      <c r="C13" s="287">
        <f>PLANTILLA!E22</f>
        <v>33</v>
      </c>
      <c r="D13" s="287">
        <f ca="1">PLANTILLA!F22</f>
        <v>78</v>
      </c>
      <c r="E13" s="163">
        <f>PLANTILLA!X22</f>
        <v>0</v>
      </c>
      <c r="F13" s="163">
        <f>PLANTILLA!Y22</f>
        <v>2.95</v>
      </c>
      <c r="G13" s="163">
        <f>PLANTILLA!Z22</f>
        <v>13.95</v>
      </c>
      <c r="H13" s="163">
        <f>PLANTILLA!AA22</f>
        <v>3.04</v>
      </c>
      <c r="I13" s="163">
        <f>PLANTILLA!AB22</f>
        <v>15.02</v>
      </c>
      <c r="J13" s="163">
        <f>PLANTILLA!AC22</f>
        <v>9.9499999999999993</v>
      </c>
      <c r="K13" s="163">
        <f>PLANTILLA!AD22</f>
        <v>11.25</v>
      </c>
      <c r="L13" s="333">
        <f>1/3</f>
        <v>0.33333333333333331</v>
      </c>
      <c r="M13" s="333">
        <f t="shared" si="0"/>
        <v>0.16666666666666666</v>
      </c>
      <c r="N13" s="33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05">
        <f>W13</f>
        <v>2.7272727272727268E-2</v>
      </c>
      <c r="Z13" s="405">
        <f>W13</f>
        <v>2.7272727272727268E-2</v>
      </c>
      <c r="AA13" s="405">
        <f t="shared" si="8"/>
        <v>2.7272727272727268E-2</v>
      </c>
      <c r="AD13" t="s">
        <v>66</v>
      </c>
      <c r="AE13" t="s">
        <v>507</v>
      </c>
      <c r="AG13" t="s">
        <v>66</v>
      </c>
      <c r="AH13" t="s">
        <v>287</v>
      </c>
    </row>
    <row r="14" spans="1:34" x14ac:dyDescent="0.25">
      <c r="A14" s="287" t="str">
        <f>PLANTILLA!A18</f>
        <v>#5</v>
      </c>
      <c r="B14" s="219" t="str">
        <f>PLANTILLA!D18</f>
        <v>L. Bauman</v>
      </c>
      <c r="C14" s="287">
        <f>PLANTILLA!E18</f>
        <v>33</v>
      </c>
      <c r="D14" s="287">
        <f ca="1">PLANTILLA!F18</f>
        <v>84</v>
      </c>
      <c r="E14" s="163">
        <f>PLANTILLA!X18</f>
        <v>0</v>
      </c>
      <c r="F14" s="163">
        <f>PLANTILLA!Y18</f>
        <v>6</v>
      </c>
      <c r="G14" s="163">
        <f>PLANTILLA!Z18</f>
        <v>14.1</v>
      </c>
      <c r="H14" s="163">
        <f>PLANTILLA!AA18</f>
        <v>3.5124999999999993</v>
      </c>
      <c r="I14" s="163">
        <f>PLANTILLA!AB18</f>
        <v>9.1400000000000041</v>
      </c>
      <c r="J14" s="163">
        <f>PLANTILLA!AC18</f>
        <v>6.95</v>
      </c>
      <c r="K14" s="163">
        <f>PLANTILLA!AD18</f>
        <v>17</v>
      </c>
      <c r="L14" s="333">
        <f>1/3</f>
        <v>0.33333333333333331</v>
      </c>
      <c r="M14" s="333">
        <f t="shared" si="0"/>
        <v>0.16666666666666666</v>
      </c>
      <c r="N14" s="33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05">
        <f>T14</f>
        <v>0</v>
      </c>
      <c r="Z14" s="405">
        <f>W14</f>
        <v>2.7272727272727268E-2</v>
      </c>
      <c r="AA14" s="405">
        <f t="shared" si="8"/>
        <v>2.7272727272727268E-2</v>
      </c>
    </row>
    <row r="15" spans="1:34" x14ac:dyDescent="0.25">
      <c r="A15" s="287" t="str">
        <f>PLANTILLA!A7</f>
        <v>#17</v>
      </c>
      <c r="B15" s="219" t="str">
        <f>PLANTILLA!D7</f>
        <v>B. Pinczehelyi</v>
      </c>
      <c r="C15" s="287">
        <f>PLANTILLA!E7</f>
        <v>33</v>
      </c>
      <c r="D15" s="287">
        <f ca="1">PLANTILLA!F7</f>
        <v>49</v>
      </c>
      <c r="E15" s="163">
        <f>PLANTILLA!X7</f>
        <v>0</v>
      </c>
      <c r="F15" s="163">
        <f>PLANTILLA!Y7</f>
        <v>14.300000000000004</v>
      </c>
      <c r="G15" s="163">
        <f>PLANTILLA!Z7</f>
        <v>9.3793333333333351</v>
      </c>
      <c r="H15" s="163">
        <f>PLANTILLA!AA7</f>
        <v>13.95</v>
      </c>
      <c r="I15" s="163">
        <f>PLANTILLA!AB7</f>
        <v>9.4199999999999982</v>
      </c>
      <c r="J15" s="163">
        <f>PLANTILLA!AC7</f>
        <v>0.95</v>
      </c>
      <c r="K15" s="163">
        <f>PLANTILLA!AD7</f>
        <v>11.25</v>
      </c>
      <c r="L15" s="333">
        <f>1/15</f>
        <v>6.6666666666666666E-2</v>
      </c>
      <c r="M15" s="333">
        <f t="shared" si="0"/>
        <v>3.3333333333333333E-2</v>
      </c>
      <c r="N15" s="33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05">
        <f>S15</f>
        <v>2.227272727272727E-2</v>
      </c>
      <c r="Z15" s="405">
        <f>S15</f>
        <v>2.227272727272727E-2</v>
      </c>
      <c r="AA15" s="405">
        <f t="shared" si="8"/>
        <v>2.227272727272727E-2</v>
      </c>
    </row>
    <row r="16" spans="1:34" x14ac:dyDescent="0.25">
      <c r="A16" s="287" t="str">
        <f>PLANTILLA!A21</f>
        <v>#9</v>
      </c>
      <c r="B16" s="219" t="str">
        <f>PLANTILLA!D21</f>
        <v>J. Limon</v>
      </c>
      <c r="C16" s="287">
        <f>PLANTILLA!E21</f>
        <v>33</v>
      </c>
      <c r="D16" s="287">
        <f ca="1">PLANTILLA!F21</f>
        <v>9</v>
      </c>
      <c r="E16" s="163">
        <f>PLANTILLA!X21</f>
        <v>0</v>
      </c>
      <c r="F16" s="163">
        <f>PLANTILLA!Y21</f>
        <v>6.8376190476190493</v>
      </c>
      <c r="G16" s="163">
        <f>PLANTILLA!Z21</f>
        <v>9</v>
      </c>
      <c r="H16" s="163">
        <f>PLANTILLA!AA21</f>
        <v>8.7399999999999967</v>
      </c>
      <c r="I16" s="163">
        <f>PLANTILLA!AB21</f>
        <v>9.9499999999999993</v>
      </c>
      <c r="J16" s="163">
        <f>PLANTILLA!AC21</f>
        <v>7.95</v>
      </c>
      <c r="K16" s="163">
        <f>PLANTILLA!AD21</f>
        <v>18.999999999999993</v>
      </c>
      <c r="L16" s="333">
        <f>1/5</f>
        <v>0.2</v>
      </c>
      <c r="M16" s="333">
        <f t="shared" si="0"/>
        <v>0.1</v>
      </c>
      <c r="N16" s="33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05">
        <f>W16</f>
        <v>1.6363636363636361E-2</v>
      </c>
      <c r="Z16" s="405"/>
      <c r="AA16" s="405">
        <f t="shared" si="8"/>
        <v>1.6363636363636361E-2</v>
      </c>
    </row>
    <row r="17" spans="1:27" x14ac:dyDescent="0.25">
      <c r="A17" s="287" t="str">
        <f>PLANTILLA!A23</f>
        <v>#15</v>
      </c>
      <c r="B17" s="219" t="str">
        <f>PLANTILLA!D23</f>
        <v>P .Trivadi</v>
      </c>
      <c r="C17" s="287">
        <f>PLANTILLA!E23</f>
        <v>30</v>
      </c>
      <c r="D17" s="287">
        <f ca="1">PLANTILLA!F23</f>
        <v>40</v>
      </c>
      <c r="E17" s="163">
        <f>PLANTILLA!X23</f>
        <v>0</v>
      </c>
      <c r="F17" s="163">
        <f>PLANTILLA!Y23</f>
        <v>4.0199999999999996</v>
      </c>
      <c r="G17" s="163">
        <f>PLANTILLA!Z23</f>
        <v>6</v>
      </c>
      <c r="H17" s="163">
        <f>PLANTILLA!AA23</f>
        <v>5.5099999999999989</v>
      </c>
      <c r="I17" s="163">
        <f>PLANTILLA!AB23</f>
        <v>11</v>
      </c>
      <c r="J17" s="163">
        <f>PLANTILLA!AC23</f>
        <v>8.384500000000001</v>
      </c>
      <c r="K17" s="163">
        <f>PLANTILLA!AD23</f>
        <v>13.566666666666668</v>
      </c>
      <c r="L17" s="333">
        <f>1/5</f>
        <v>0.2</v>
      </c>
      <c r="M17" s="333">
        <f t="shared" si="0"/>
        <v>0.1</v>
      </c>
      <c r="N17" s="33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05">
        <v>0</v>
      </c>
      <c r="Z17" s="405">
        <v>0</v>
      </c>
      <c r="AA17" s="405">
        <f t="shared" si="8"/>
        <v>0</v>
      </c>
    </row>
    <row r="18" spans="1:27" x14ac:dyDescent="0.25">
      <c r="A18" s="287" t="str">
        <f>PLANTILLA!A5</f>
        <v>#1</v>
      </c>
      <c r="B18" s="287" t="str">
        <f>PLANTILLA!D5</f>
        <v>D. Gehmacher</v>
      </c>
      <c r="C18" s="287">
        <f>PLANTILLA!E5</f>
        <v>33</v>
      </c>
      <c r="D18" s="287">
        <f ca="1">PLANTILLA!F5</f>
        <v>37</v>
      </c>
      <c r="E18" s="163">
        <f>PLANTILLA!X5</f>
        <v>16.666666666666668</v>
      </c>
      <c r="F18" s="163">
        <f>PLANTILLA!Y5</f>
        <v>12.080559440559444</v>
      </c>
      <c r="G18" s="163">
        <f>PLANTILLA!Z5</f>
        <v>2.0699999999999985</v>
      </c>
      <c r="H18" s="163">
        <f>PLANTILLA!AA5</f>
        <v>2.149999999999999</v>
      </c>
      <c r="I18" s="163">
        <f>PLANTILLA!AB5</f>
        <v>1.0400000000000003</v>
      </c>
      <c r="J18" s="163">
        <f>PLANTILLA!AC5</f>
        <v>0.14055555555555557</v>
      </c>
      <c r="K18" s="163">
        <f>PLANTILLA!AD5</f>
        <v>18.2</v>
      </c>
      <c r="L18" s="333">
        <f>0</f>
        <v>0</v>
      </c>
      <c r="M18" s="333">
        <f t="shared" si="0"/>
        <v>0</v>
      </c>
      <c r="N18" s="33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05">
        <f>L18</f>
        <v>0</v>
      </c>
      <c r="Z18" s="405">
        <f>L18</f>
        <v>0</v>
      </c>
      <c r="AA18" s="405">
        <f t="shared" si="8"/>
        <v>0</v>
      </c>
    </row>
    <row r="19" spans="1:27" x14ac:dyDescent="0.25">
      <c r="A19" s="287" t="str">
        <f>PLANTILLA!A17</f>
        <v>#12</v>
      </c>
      <c r="B19" s="287" t="str">
        <f>PLANTILLA!D17</f>
        <v>E. Gross</v>
      </c>
      <c r="C19" s="287">
        <f>PLANTILLA!E17</f>
        <v>33</v>
      </c>
      <c r="D19" s="287">
        <f ca="1">PLANTILLA!F17</f>
        <v>109</v>
      </c>
      <c r="E19" s="163">
        <f>PLANTILLA!X17</f>
        <v>0</v>
      </c>
      <c r="F19" s="163">
        <f>PLANTILLA!Y17</f>
        <v>10.549999999999995</v>
      </c>
      <c r="G19" s="163">
        <f>PLANTILLA!Z17</f>
        <v>13</v>
      </c>
      <c r="H19" s="163">
        <f>PLANTILLA!AA17</f>
        <v>4.95</v>
      </c>
      <c r="I19" s="163">
        <f>PLANTILLA!AB17</f>
        <v>9.24</v>
      </c>
      <c r="J19" s="163">
        <f>PLANTILLA!AC17</f>
        <v>1.95</v>
      </c>
      <c r="K19" s="163">
        <f>PLANTILLA!AD17</f>
        <v>17.459999999999997</v>
      </c>
      <c r="L19" s="333">
        <f>1/4</f>
        <v>0.25</v>
      </c>
      <c r="M19" s="333">
        <f t="shared" si="0"/>
        <v>0.125</v>
      </c>
      <c r="N19" s="33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05">
        <v>0</v>
      </c>
      <c r="Z19" s="405">
        <v>0</v>
      </c>
      <c r="AA19" s="405">
        <f t="shared" si="8"/>
        <v>0</v>
      </c>
    </row>
    <row r="20" spans="1:27" x14ac:dyDescent="0.25">
      <c r="A20" s="287" t="str">
        <f>PLANTILLA!A6</f>
        <v>#16</v>
      </c>
      <c r="B20" s="287" t="str">
        <f>PLANTILLA!D6</f>
        <v>T. Hammond</v>
      </c>
      <c r="C20" s="287">
        <f>PLANTILLA!E6</f>
        <v>37</v>
      </c>
      <c r="D20" s="287">
        <f ca="1">PLANTILLA!F6</f>
        <v>46</v>
      </c>
      <c r="E20" s="163">
        <f>PLANTILLA!X6</f>
        <v>8.9499999999999993</v>
      </c>
      <c r="F20" s="163">
        <f>PLANTILLA!Y6</f>
        <v>8.9499999999999993</v>
      </c>
      <c r="G20" s="163">
        <f>PLANTILLA!Z6</f>
        <v>2.95</v>
      </c>
      <c r="H20" s="163">
        <f>PLANTILLA!AA6</f>
        <v>2.95</v>
      </c>
      <c r="I20" s="163">
        <f>PLANTILLA!AB6</f>
        <v>3.95</v>
      </c>
      <c r="J20" s="163">
        <f>PLANTILLA!AC6</f>
        <v>0.95</v>
      </c>
      <c r="K20" s="163">
        <f>PLANTILLA!AD6</f>
        <v>15.778888888888888</v>
      </c>
      <c r="L20" s="333"/>
      <c r="M20" s="333">
        <f t="shared" si="0"/>
        <v>0</v>
      </c>
      <c r="N20" s="33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05"/>
      <c r="Z20" s="405"/>
      <c r="AA20" s="405">
        <f t="shared" si="8"/>
        <v>0</v>
      </c>
    </row>
    <row r="21" spans="1:27" x14ac:dyDescent="0.25">
      <c r="A21" s="287" t="str">
        <f>PLANTILLA!A11</f>
        <v>#13</v>
      </c>
      <c r="B21" s="287" t="str">
        <f>PLANTILLA!D11</f>
        <v>F. Lasprilla</v>
      </c>
      <c r="C21" s="287">
        <f>PLANTILLA!E11</f>
        <v>30</v>
      </c>
      <c r="D21" s="287">
        <f ca="1">PLANTILLA!F11</f>
        <v>56</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13.33611111111111</v>
      </c>
      <c r="L21" s="333"/>
      <c r="M21" s="333">
        <f t="shared" si="0"/>
        <v>0</v>
      </c>
      <c r="N21" s="33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05"/>
      <c r="Z21" s="405"/>
      <c r="AA21" s="405">
        <f t="shared" si="8"/>
        <v>0</v>
      </c>
    </row>
    <row r="22" spans="1:27" x14ac:dyDescent="0.25">
      <c r="A22" s="287" t="str">
        <f>PLANTILLA!A19</f>
        <v>#14</v>
      </c>
      <c r="B22" s="287" t="str">
        <f>PLANTILLA!D19</f>
        <v>W. Gelifini</v>
      </c>
      <c r="C22" s="287">
        <f>PLANTILLA!E19</f>
        <v>32</v>
      </c>
      <c r="D22" s="287">
        <f ca="1">PLANTILLA!F19</f>
        <v>34</v>
      </c>
      <c r="E22" s="163">
        <f>PLANTILLA!X19</f>
        <v>0</v>
      </c>
      <c r="F22" s="163">
        <f>PLANTILLA!Y19</f>
        <v>5.6515555555555519</v>
      </c>
      <c r="G22" s="163">
        <f>PLANTILLA!Z19</f>
        <v>9.9499999999999993</v>
      </c>
      <c r="H22" s="163">
        <f>PLANTILLA!AA19</f>
        <v>6.95</v>
      </c>
      <c r="I22" s="163">
        <f>PLANTILLA!AB19</f>
        <v>9.2666666666666639</v>
      </c>
      <c r="J22" s="163">
        <f>PLANTILLA!AC19</f>
        <v>3.5417777777777766</v>
      </c>
      <c r="K22" s="163">
        <f>PLANTILLA!AD19</f>
        <v>12.847222222222223</v>
      </c>
      <c r="L22" s="333"/>
      <c r="M22" s="333">
        <f t="shared" si="0"/>
        <v>0</v>
      </c>
      <c r="N22" s="33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05"/>
      <c r="Z22" s="405"/>
      <c r="AA22" s="405">
        <f t="shared" si="8"/>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f t="shared" si="0"/>
        <v>0</v>
      </c>
      <c r="N23" s="33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05"/>
      <c r="Z23" s="405"/>
      <c r="AA23" s="405">
        <f t="shared" si="8"/>
        <v>0</v>
      </c>
    </row>
    <row r="25" spans="1:27" x14ac:dyDescent="0.25">
      <c r="B25" s="29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249977111117893"/>
  </sheetPr>
  <dimension ref="A1:X37"/>
  <sheetViews>
    <sheetView zoomScale="90" zoomScaleNormal="90" workbookViewId="0">
      <selection activeCell="R23" sqref="R23"/>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17"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28"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22" t="s">
        <v>443</v>
      </c>
    </row>
    <row r="2" spans="1:24" ht="18.75" x14ac:dyDescent="0.3">
      <c r="A2" s="323">
        <v>43416</v>
      </c>
      <c r="F2" s="291"/>
      <c r="G2" s="705" t="s">
        <v>444</v>
      </c>
      <c r="H2" s="705"/>
      <c r="J2" s="291"/>
      <c r="K2" s="291"/>
      <c r="L2" s="705" t="s">
        <v>863</v>
      </c>
      <c r="M2" s="705"/>
      <c r="N2" s="705"/>
      <c r="O2" s="629"/>
      <c r="P2" s="309"/>
      <c r="Q2" s="309"/>
      <c r="R2" s="705" t="s">
        <v>446</v>
      </c>
      <c r="S2" s="705"/>
      <c r="U2" s="4" t="s">
        <v>869</v>
      </c>
      <c r="V2" s="3" t="s">
        <v>176</v>
      </c>
      <c r="W2" s="291"/>
      <c r="X2" s="291"/>
    </row>
    <row r="3" spans="1:24" x14ac:dyDescent="0.25">
      <c r="F3">
        <v>1</v>
      </c>
      <c r="G3" s="3">
        <v>81</v>
      </c>
      <c r="H3" t="s">
        <v>783</v>
      </c>
      <c r="I3" t="s">
        <v>1</v>
      </c>
      <c r="K3" s="619">
        <v>1</v>
      </c>
      <c r="L3" s="3">
        <v>340</v>
      </c>
      <c r="M3" t="s">
        <v>473</v>
      </c>
      <c r="N3" s="290" t="s">
        <v>439</v>
      </c>
      <c r="O3" s="370">
        <f>L3/$G$22</f>
        <v>0.89005235602094246</v>
      </c>
      <c r="Q3" s="619">
        <v>1</v>
      </c>
      <c r="R3" s="3">
        <v>233</v>
      </c>
      <c r="S3" t="s">
        <v>447</v>
      </c>
      <c r="T3" t="s">
        <v>212</v>
      </c>
      <c r="U3" s="159">
        <f>R3/L8</f>
        <v>0.85977859778597787</v>
      </c>
      <c r="V3" s="47">
        <f t="shared" ref="V3:V18" si="0">R3/$R$33</f>
        <v>0.17584905660377359</v>
      </c>
    </row>
    <row r="4" spans="1:24" s="291" customFormat="1" ht="18.75" x14ac:dyDescent="0.3">
      <c r="A4" s="291" t="s">
        <v>441</v>
      </c>
      <c r="F4">
        <v>2</v>
      </c>
      <c r="G4" s="3">
        <v>61</v>
      </c>
      <c r="H4" t="s">
        <v>206</v>
      </c>
      <c r="I4" s="290" t="s">
        <v>1</v>
      </c>
      <c r="J4"/>
      <c r="K4" s="619">
        <v>2</v>
      </c>
      <c r="L4" s="3">
        <v>332</v>
      </c>
      <c r="M4" t="s">
        <v>460</v>
      </c>
      <c r="N4" t="s">
        <v>459</v>
      </c>
      <c r="O4" s="370">
        <f t="shared" ref="O4:O8" si="1">L4/$G$22</f>
        <v>0.86910994764397909</v>
      </c>
      <c r="P4"/>
      <c r="Q4" s="619">
        <v>2</v>
      </c>
      <c r="R4" s="3">
        <v>112</v>
      </c>
      <c r="S4" t="s">
        <v>547</v>
      </c>
      <c r="T4" t="s">
        <v>65</v>
      </c>
      <c r="U4" s="159">
        <f>R4/L11</f>
        <v>0.46473029045643155</v>
      </c>
      <c r="V4" s="47">
        <f t="shared" si="0"/>
        <v>8.4528301886792459E-2</v>
      </c>
      <c r="W4"/>
      <c r="X4"/>
    </row>
    <row r="5" spans="1:24" x14ac:dyDescent="0.25">
      <c r="A5" s="681" t="s">
        <v>442</v>
      </c>
      <c r="B5" s="682" t="s">
        <v>877</v>
      </c>
      <c r="C5" s="290">
        <v>43276</v>
      </c>
      <c r="D5" t="s">
        <v>878</v>
      </c>
      <c r="F5">
        <v>3</v>
      </c>
      <c r="G5" s="664">
        <v>46</v>
      </c>
      <c r="H5" s="662" t="s">
        <v>204</v>
      </c>
      <c r="I5" s="663" t="s">
        <v>1</v>
      </c>
      <c r="K5" s="631">
        <v>3</v>
      </c>
      <c r="L5" s="3">
        <v>286</v>
      </c>
      <c r="M5" t="s">
        <v>449</v>
      </c>
      <c r="N5" s="290" t="s">
        <v>64</v>
      </c>
      <c r="O5" s="370">
        <f t="shared" si="1"/>
        <v>0.74869109947643975</v>
      </c>
      <c r="Q5" s="619">
        <v>3</v>
      </c>
      <c r="R5" s="3">
        <v>97</v>
      </c>
      <c r="S5" t="s">
        <v>449</v>
      </c>
      <c r="T5" t="s">
        <v>64</v>
      </c>
      <c r="U5" s="159">
        <f>R5/L5</f>
        <v>0.33916083916083917</v>
      </c>
      <c r="V5" s="47">
        <f t="shared" si="0"/>
        <v>7.3207547169811316E-2</v>
      </c>
    </row>
    <row r="6" spans="1:24" ht="18.75" x14ac:dyDescent="0.3">
      <c r="A6" s="681" t="s">
        <v>861</v>
      </c>
      <c r="B6" s="491" t="s">
        <v>876</v>
      </c>
      <c r="C6" s="290">
        <v>43258</v>
      </c>
      <c r="D6" t="s">
        <v>879</v>
      </c>
      <c r="F6">
        <v>4</v>
      </c>
      <c r="G6" s="664">
        <v>2</v>
      </c>
      <c r="H6" s="662" t="s">
        <v>200</v>
      </c>
      <c r="I6" s="662" t="s">
        <v>1</v>
      </c>
      <c r="J6" s="291"/>
      <c r="K6" s="631">
        <v>4</v>
      </c>
      <c r="L6" s="342">
        <v>279</v>
      </c>
      <c r="M6" t="s">
        <v>498</v>
      </c>
      <c r="N6" s="290" t="s">
        <v>64</v>
      </c>
      <c r="O6" s="370">
        <f t="shared" si="1"/>
        <v>0.73036649214659688</v>
      </c>
      <c r="P6" s="291"/>
      <c r="Q6" s="683">
        <v>3</v>
      </c>
      <c r="R6" s="3">
        <v>97</v>
      </c>
      <c r="S6" t="s">
        <v>460</v>
      </c>
      <c r="T6" t="s">
        <v>459</v>
      </c>
      <c r="U6" s="159">
        <f>R6/L4</f>
        <v>0.29216867469879521</v>
      </c>
      <c r="V6" s="47">
        <f t="shared" si="0"/>
        <v>7.3207547169811316E-2</v>
      </c>
      <c r="X6" s="291"/>
    </row>
    <row r="7" spans="1:24" ht="18.75" x14ac:dyDescent="0.3">
      <c r="F7">
        <v>5</v>
      </c>
      <c r="G7" s="3">
        <v>1</v>
      </c>
      <c r="H7" t="s">
        <v>448</v>
      </c>
      <c r="I7" t="s">
        <v>2</v>
      </c>
      <c r="K7" s="631">
        <v>5</v>
      </c>
      <c r="L7" s="317">
        <v>272</v>
      </c>
      <c r="M7" t="s">
        <v>457</v>
      </c>
      <c r="N7" s="290" t="s">
        <v>64</v>
      </c>
      <c r="O7" s="370">
        <f>L7/$G$22</f>
        <v>0.7120418848167539</v>
      </c>
      <c r="Q7" s="683">
        <v>5</v>
      </c>
      <c r="R7" s="317">
        <v>76</v>
      </c>
      <c r="S7" t="s">
        <v>498</v>
      </c>
      <c r="T7" s="290" t="s">
        <v>64</v>
      </c>
      <c r="U7" s="159">
        <f>R7/L6</f>
        <v>0.27240143369175629</v>
      </c>
      <c r="V7" s="47">
        <f t="shared" si="0"/>
        <v>5.7358490566037736E-2</v>
      </c>
      <c r="W7" s="291"/>
    </row>
    <row r="8" spans="1:24" s="291" customFormat="1" ht="18.75" x14ac:dyDescent="0.3">
      <c r="A8" s="705" t="s">
        <v>862</v>
      </c>
      <c r="B8" s="705"/>
      <c r="F8">
        <v>5</v>
      </c>
      <c r="G8" s="664">
        <v>1</v>
      </c>
      <c r="H8" s="662" t="s">
        <v>462</v>
      </c>
      <c r="I8" s="662" t="s">
        <v>439</v>
      </c>
      <c r="J8"/>
      <c r="K8" s="631">
        <v>6</v>
      </c>
      <c r="L8" s="342">
        <v>271</v>
      </c>
      <c r="M8" t="s">
        <v>496</v>
      </c>
      <c r="N8" s="290" t="s">
        <v>212</v>
      </c>
      <c r="O8" s="370">
        <f t="shared" si="1"/>
        <v>0.70942408376963351</v>
      </c>
      <c r="P8"/>
      <c r="Q8" s="683">
        <v>5</v>
      </c>
      <c r="R8" s="380">
        <v>76</v>
      </c>
      <c r="S8" t="s">
        <v>497</v>
      </c>
      <c r="T8" s="290" t="s">
        <v>65</v>
      </c>
      <c r="U8" s="159">
        <f>R8/L9</f>
        <v>0.29921259842519687</v>
      </c>
      <c r="V8" s="47">
        <f t="shared" si="0"/>
        <v>5.7358490566037736E-2</v>
      </c>
      <c r="X8"/>
    </row>
    <row r="9" spans="1:24" x14ac:dyDescent="0.25">
      <c r="A9" s="659" t="s">
        <v>875</v>
      </c>
      <c r="B9" t="s">
        <v>859</v>
      </c>
      <c r="C9" s="290" t="s">
        <v>66</v>
      </c>
      <c r="K9" s="631">
        <v>7</v>
      </c>
      <c r="L9" s="342">
        <v>254</v>
      </c>
      <c r="M9" t="s">
        <v>497</v>
      </c>
      <c r="N9" s="290" t="s">
        <v>65</v>
      </c>
      <c r="O9" s="370">
        <f>L10/$G$22</f>
        <v>0.65968586387434558</v>
      </c>
      <c r="Q9" s="683">
        <v>7</v>
      </c>
      <c r="R9" s="321">
        <v>69</v>
      </c>
      <c r="S9" t="s">
        <v>473</v>
      </c>
      <c r="T9" s="290" t="s">
        <v>439</v>
      </c>
      <c r="U9" s="159">
        <f>R9/L3</f>
        <v>0.20294117647058824</v>
      </c>
      <c r="V9" s="47">
        <f t="shared" si="0"/>
        <v>5.2075471698113204E-2</v>
      </c>
    </row>
    <row r="10" spans="1:24" ht="18.75" x14ac:dyDescent="0.3">
      <c r="A10" s="567" t="s">
        <v>865</v>
      </c>
      <c r="B10" t="s">
        <v>783</v>
      </c>
      <c r="C10" t="s">
        <v>1</v>
      </c>
      <c r="F10" s="291"/>
      <c r="G10" s="705" t="s">
        <v>445</v>
      </c>
      <c r="H10" s="705"/>
      <c r="J10" s="291"/>
      <c r="K10" s="631">
        <v>8</v>
      </c>
      <c r="L10" s="317">
        <v>252</v>
      </c>
      <c r="M10" t="s">
        <v>461</v>
      </c>
      <c r="N10" s="290" t="s">
        <v>439</v>
      </c>
      <c r="O10" s="370">
        <f>L9/$G$22</f>
        <v>0.66492146596858637</v>
      </c>
      <c r="P10" s="291"/>
      <c r="Q10" s="683">
        <v>8</v>
      </c>
      <c r="R10" s="443">
        <v>67</v>
      </c>
      <c r="S10" s="246" t="s">
        <v>859</v>
      </c>
      <c r="T10" s="246" t="s">
        <v>66</v>
      </c>
      <c r="U10" s="159">
        <f>R10/L19</f>
        <v>0.62037037037037035</v>
      </c>
      <c r="V10" s="47">
        <f t="shared" si="0"/>
        <v>5.0566037735849056E-2</v>
      </c>
      <c r="W10">
        <v>146</v>
      </c>
      <c r="X10" s="291"/>
    </row>
    <row r="11" spans="1:24" x14ac:dyDescent="0.25">
      <c r="A11" s="382" t="s">
        <v>865</v>
      </c>
      <c r="B11" t="s">
        <v>460</v>
      </c>
      <c r="C11" t="s">
        <v>459</v>
      </c>
      <c r="F11">
        <v>1</v>
      </c>
      <c r="G11" s="443">
        <v>171</v>
      </c>
      <c r="H11" t="s">
        <v>783</v>
      </c>
      <c r="I11" t="s">
        <v>1</v>
      </c>
      <c r="K11" s="631">
        <v>9</v>
      </c>
      <c r="L11" s="443">
        <v>241</v>
      </c>
      <c r="M11" t="s">
        <v>547</v>
      </c>
      <c r="N11" t="s">
        <v>65</v>
      </c>
      <c r="O11" s="370">
        <f>L11/$G$22</f>
        <v>0.63089005235602091</v>
      </c>
      <c r="Q11" s="683">
        <v>9</v>
      </c>
      <c r="R11" s="360">
        <v>66</v>
      </c>
      <c r="S11" t="s">
        <v>476</v>
      </c>
      <c r="T11" s="290" t="s">
        <v>64</v>
      </c>
      <c r="U11" s="159">
        <f>R11/L12</f>
        <v>0.2857142857142857</v>
      </c>
      <c r="V11" s="47">
        <f t="shared" si="0"/>
        <v>4.9811320754716983E-2</v>
      </c>
    </row>
    <row r="12" spans="1:24" s="291" customFormat="1" ht="18.75" x14ac:dyDescent="0.3">
      <c r="A12" s="382" t="s">
        <v>865</v>
      </c>
      <c r="B12" t="s">
        <v>498</v>
      </c>
      <c r="C12" s="290" t="s">
        <v>64</v>
      </c>
      <c r="F12">
        <v>2</v>
      </c>
      <c r="G12" s="664">
        <v>88</v>
      </c>
      <c r="H12" s="662" t="s">
        <v>204</v>
      </c>
      <c r="I12" s="663" t="s">
        <v>1</v>
      </c>
      <c r="J12"/>
      <c r="K12" s="631">
        <v>10</v>
      </c>
      <c r="L12" s="317">
        <v>231</v>
      </c>
      <c r="M12" t="s">
        <v>476</v>
      </c>
      <c r="N12" s="290" t="s">
        <v>64</v>
      </c>
      <c r="O12" s="370">
        <f>L12/$G$22</f>
        <v>0.60471204188481675</v>
      </c>
      <c r="P12"/>
      <c r="Q12" s="683">
        <v>10</v>
      </c>
      <c r="R12" s="321">
        <v>64</v>
      </c>
      <c r="S12" t="s">
        <v>461</v>
      </c>
      <c r="T12" s="290" t="s">
        <v>439</v>
      </c>
      <c r="U12" s="159">
        <f>R12/L10</f>
        <v>0.25396825396825395</v>
      </c>
      <c r="V12" s="47">
        <f t="shared" si="0"/>
        <v>4.8301886792452828E-2</v>
      </c>
      <c r="W12"/>
      <c r="X12"/>
    </row>
    <row r="13" spans="1:24" x14ac:dyDescent="0.25">
      <c r="A13" s="677" t="s">
        <v>865</v>
      </c>
      <c r="B13" s="246" t="s">
        <v>872</v>
      </c>
      <c r="C13" s="246" t="s">
        <v>66</v>
      </c>
      <c r="F13">
        <v>3</v>
      </c>
      <c r="G13" s="317">
        <v>75</v>
      </c>
      <c r="H13" t="s">
        <v>473</v>
      </c>
      <c r="I13" s="290" t="s">
        <v>439</v>
      </c>
      <c r="K13" s="631">
        <v>11</v>
      </c>
      <c r="L13" s="317">
        <v>197</v>
      </c>
      <c r="M13" t="s">
        <v>448</v>
      </c>
      <c r="N13" s="290" t="s">
        <v>439</v>
      </c>
      <c r="O13" s="370">
        <f>L14/$G$22</f>
        <v>0.50523560209424079</v>
      </c>
      <c r="Q13" s="683">
        <v>11</v>
      </c>
      <c r="R13" s="381">
        <v>57</v>
      </c>
      <c r="S13" t="s">
        <v>550</v>
      </c>
      <c r="T13" s="290" t="s">
        <v>212</v>
      </c>
      <c r="U13" s="159">
        <f>R13/L18</f>
        <v>0.47499999999999998</v>
      </c>
      <c r="V13" s="47">
        <f t="shared" si="0"/>
        <v>4.3018867924528303E-2</v>
      </c>
    </row>
    <row r="14" spans="1:24" x14ac:dyDescent="0.25">
      <c r="A14" s="655" t="s">
        <v>791</v>
      </c>
      <c r="B14" t="s">
        <v>856</v>
      </c>
      <c r="C14" t="s">
        <v>2</v>
      </c>
      <c r="F14">
        <v>4</v>
      </c>
      <c r="G14" s="661">
        <v>21</v>
      </c>
      <c r="H14" s="662" t="s">
        <v>190</v>
      </c>
      <c r="I14" s="662" t="s">
        <v>65</v>
      </c>
      <c r="K14" s="631">
        <v>12</v>
      </c>
      <c r="L14" s="321">
        <v>193</v>
      </c>
      <c r="M14" t="s">
        <v>206</v>
      </c>
      <c r="N14" s="290" t="s">
        <v>1</v>
      </c>
      <c r="O14" s="370">
        <f>L13/$G$22</f>
        <v>0.51570680628272247</v>
      </c>
      <c r="Q14" s="683">
        <v>12</v>
      </c>
      <c r="R14" s="321">
        <v>54</v>
      </c>
      <c r="S14" t="s">
        <v>457</v>
      </c>
      <c r="T14" t="s">
        <v>64</v>
      </c>
      <c r="U14" s="159">
        <f>R14/L7</f>
        <v>0.19852941176470587</v>
      </c>
      <c r="V14" s="47">
        <f t="shared" si="0"/>
        <v>4.0754716981132075E-2</v>
      </c>
    </row>
    <row r="15" spans="1:24" x14ac:dyDescent="0.25">
      <c r="A15" s="382" t="s">
        <v>791</v>
      </c>
      <c r="B15" t="s">
        <v>449</v>
      </c>
      <c r="C15" s="290" t="s">
        <v>64</v>
      </c>
      <c r="F15">
        <v>5</v>
      </c>
      <c r="G15" s="443">
        <v>8</v>
      </c>
      <c r="H15" t="s">
        <v>449</v>
      </c>
      <c r="I15" s="290" t="s">
        <v>64</v>
      </c>
      <c r="K15" s="631">
        <v>13</v>
      </c>
      <c r="L15" s="443">
        <v>191</v>
      </c>
      <c r="M15" t="s">
        <v>783</v>
      </c>
      <c r="N15" t="s">
        <v>1</v>
      </c>
      <c r="O15" s="370">
        <f>L15/$G$22</f>
        <v>0.5</v>
      </c>
      <c r="Q15" s="683">
        <v>13</v>
      </c>
      <c r="R15" s="317">
        <v>52</v>
      </c>
      <c r="S15" t="s">
        <v>448</v>
      </c>
      <c r="T15" t="s">
        <v>2</v>
      </c>
      <c r="U15" s="159">
        <f>R15/L13</f>
        <v>0.26395939086294418</v>
      </c>
      <c r="V15" s="47">
        <f t="shared" si="0"/>
        <v>3.9245283018867927E-2</v>
      </c>
    </row>
    <row r="16" spans="1:24" x14ac:dyDescent="0.25">
      <c r="A16" s="380" t="s">
        <v>791</v>
      </c>
      <c r="B16" t="s">
        <v>473</v>
      </c>
      <c r="C16" s="290" t="s">
        <v>439</v>
      </c>
      <c r="F16">
        <v>6</v>
      </c>
      <c r="G16" s="661">
        <v>6</v>
      </c>
      <c r="H16" s="662" t="s">
        <v>194</v>
      </c>
      <c r="I16" s="663" t="s">
        <v>64</v>
      </c>
      <c r="K16" s="631">
        <v>14</v>
      </c>
      <c r="L16" s="661">
        <v>146</v>
      </c>
      <c r="M16" s="662" t="s">
        <v>204</v>
      </c>
      <c r="N16" s="663" t="s">
        <v>1</v>
      </c>
      <c r="O16" s="665">
        <f>L16/$G$22</f>
        <v>0.38219895287958117</v>
      </c>
      <c r="Q16" s="683">
        <v>14</v>
      </c>
      <c r="R16" s="593">
        <v>26</v>
      </c>
      <c r="S16" t="s">
        <v>856</v>
      </c>
      <c r="T16" t="s">
        <v>2</v>
      </c>
      <c r="U16" s="159">
        <f>R16/L19</f>
        <v>0.24074074074074073</v>
      </c>
      <c r="V16" s="47">
        <f t="shared" si="0"/>
        <v>1.9622641509433963E-2</v>
      </c>
      <c r="W16">
        <v>72</v>
      </c>
    </row>
    <row r="17" spans="1:23" x14ac:dyDescent="0.25">
      <c r="A17" s="380" t="s">
        <v>874</v>
      </c>
      <c r="B17" t="s">
        <v>547</v>
      </c>
      <c r="C17" s="290" t="s">
        <v>65</v>
      </c>
      <c r="F17">
        <v>7</v>
      </c>
      <c r="G17" s="664">
        <v>5</v>
      </c>
      <c r="H17" s="662" t="s">
        <v>193</v>
      </c>
      <c r="I17" s="663" t="s">
        <v>64</v>
      </c>
      <c r="K17" s="631">
        <v>15</v>
      </c>
      <c r="L17" s="443">
        <v>132</v>
      </c>
      <c r="M17" t="s">
        <v>856</v>
      </c>
      <c r="N17" t="s">
        <v>2</v>
      </c>
      <c r="O17" s="370">
        <f>L17/$G$22</f>
        <v>0.34554973821989526</v>
      </c>
      <c r="Q17" s="683">
        <v>15</v>
      </c>
      <c r="R17" s="317">
        <v>24</v>
      </c>
      <c r="S17" t="s">
        <v>513</v>
      </c>
      <c r="T17" t="s">
        <v>64</v>
      </c>
      <c r="U17" s="159">
        <f>R17/L20</f>
        <v>0.22641509433962265</v>
      </c>
      <c r="V17" s="47">
        <f t="shared" si="0"/>
        <v>1.8113207547169812E-2</v>
      </c>
    </row>
    <row r="18" spans="1:23" x14ac:dyDescent="0.25">
      <c r="A18" s="382" t="s">
        <v>874</v>
      </c>
      <c r="B18" t="s">
        <v>497</v>
      </c>
      <c r="C18" s="290" t="s">
        <v>65</v>
      </c>
      <c r="F18">
        <v>8</v>
      </c>
      <c r="G18" s="661">
        <v>4</v>
      </c>
      <c r="H18" s="662" t="s">
        <v>387</v>
      </c>
      <c r="I18" s="663" t="s">
        <v>212</v>
      </c>
      <c r="K18" s="631">
        <v>16</v>
      </c>
      <c r="L18" s="443">
        <v>120</v>
      </c>
      <c r="M18" s="246" t="s">
        <v>627</v>
      </c>
      <c r="N18" s="452" t="s">
        <v>212</v>
      </c>
      <c r="O18" s="370">
        <f>L18/$G$22</f>
        <v>0.31413612565445026</v>
      </c>
      <c r="Q18" s="683">
        <v>16</v>
      </c>
      <c r="R18" s="443">
        <v>20</v>
      </c>
      <c r="S18" s="246" t="s">
        <v>872</v>
      </c>
      <c r="T18" s="246" t="s">
        <v>66</v>
      </c>
      <c r="U18" s="159">
        <f>R18/L23</f>
        <v>0.34482758620689657</v>
      </c>
      <c r="V18" s="47">
        <f t="shared" si="0"/>
        <v>1.509433962264151E-2</v>
      </c>
      <c r="W18" s="246">
        <v>77</v>
      </c>
    </row>
    <row r="19" spans="1:23" x14ac:dyDescent="0.25">
      <c r="A19" s="382" t="s">
        <v>818</v>
      </c>
      <c r="B19" t="s">
        <v>476</v>
      </c>
      <c r="C19" s="290" t="s">
        <v>64</v>
      </c>
      <c r="F19">
        <v>9</v>
      </c>
      <c r="G19" s="604">
        <v>2</v>
      </c>
      <c r="H19" t="s">
        <v>206</v>
      </c>
      <c r="I19" s="290" t="s">
        <v>1</v>
      </c>
      <c r="K19" s="631">
        <v>17</v>
      </c>
      <c r="L19" s="443">
        <v>108</v>
      </c>
      <c r="M19" t="s">
        <v>859</v>
      </c>
      <c r="N19" t="s">
        <v>66</v>
      </c>
      <c r="O19" s="370">
        <f t="shared" ref="O19" si="2">L19/$G$22</f>
        <v>0.28272251308900526</v>
      </c>
      <c r="Q19" s="683">
        <v>16</v>
      </c>
      <c r="R19" s="661">
        <v>19</v>
      </c>
      <c r="S19" s="662" t="s">
        <v>205</v>
      </c>
      <c r="T19" s="663" t="s">
        <v>451</v>
      </c>
      <c r="U19" s="159"/>
      <c r="V19" s="47"/>
    </row>
    <row r="20" spans="1:23" x14ac:dyDescent="0.25">
      <c r="A20" s="382" t="s">
        <v>818</v>
      </c>
      <c r="B20" t="s">
        <v>457</v>
      </c>
      <c r="C20" s="290" t="s">
        <v>64</v>
      </c>
      <c r="F20">
        <v>10</v>
      </c>
      <c r="G20" s="664">
        <v>1</v>
      </c>
      <c r="H20" s="662" t="s">
        <v>205</v>
      </c>
      <c r="I20" s="663" t="s">
        <v>451</v>
      </c>
      <c r="K20" s="631">
        <v>18</v>
      </c>
      <c r="L20" s="443">
        <v>106</v>
      </c>
      <c r="M20" t="s">
        <v>513</v>
      </c>
      <c r="N20" t="s">
        <v>64</v>
      </c>
      <c r="O20" s="370">
        <f>L20/$G$22</f>
        <v>0.27748691099476441</v>
      </c>
      <c r="Q20" s="683">
        <v>18</v>
      </c>
      <c r="R20" s="317">
        <v>18</v>
      </c>
      <c r="S20" t="s">
        <v>630</v>
      </c>
      <c r="T20" t="s">
        <v>2</v>
      </c>
      <c r="U20" s="159">
        <f>R20/L22</f>
        <v>0.23376623376623376</v>
      </c>
      <c r="V20" s="47">
        <f>R20/$R$33</f>
        <v>1.3584905660377358E-2</v>
      </c>
    </row>
    <row r="21" spans="1:23" x14ac:dyDescent="0.25">
      <c r="A21" s="380" t="s">
        <v>818</v>
      </c>
      <c r="B21" t="s">
        <v>496</v>
      </c>
      <c r="C21" s="290" t="s">
        <v>212</v>
      </c>
      <c r="F21">
        <v>10</v>
      </c>
      <c r="G21" s="3">
        <v>1</v>
      </c>
      <c r="H21" t="s">
        <v>448</v>
      </c>
      <c r="I21" t="s">
        <v>2</v>
      </c>
      <c r="K21" s="631">
        <v>19</v>
      </c>
      <c r="L21" s="661">
        <v>89</v>
      </c>
      <c r="M21" s="662" t="s">
        <v>462</v>
      </c>
      <c r="N21" s="663" t="s">
        <v>439</v>
      </c>
      <c r="O21" s="665">
        <f>L21/$G$22</f>
        <v>0.23298429319371727</v>
      </c>
      <c r="Q21" s="683">
        <v>19</v>
      </c>
      <c r="R21" s="661">
        <v>15</v>
      </c>
      <c r="S21" s="662" t="s">
        <v>193</v>
      </c>
      <c r="T21" s="663" t="s">
        <v>64</v>
      </c>
      <c r="U21" s="159"/>
      <c r="V21" s="47"/>
    </row>
    <row r="22" spans="1:23" x14ac:dyDescent="0.25">
      <c r="A22" s="382" t="s">
        <v>713</v>
      </c>
      <c r="B22" t="s">
        <v>550</v>
      </c>
      <c r="C22" s="290" t="s">
        <v>212</v>
      </c>
      <c r="G22" s="666">
        <f>SUM(G11:G21)</f>
        <v>382</v>
      </c>
      <c r="K22" s="631">
        <v>20</v>
      </c>
      <c r="L22" s="604">
        <v>77</v>
      </c>
      <c r="M22" t="s">
        <v>630</v>
      </c>
      <c r="N22" t="s">
        <v>439</v>
      </c>
      <c r="O22" s="370">
        <f>L22/$G$22</f>
        <v>0.20157068062827224</v>
      </c>
      <c r="Q22" s="683">
        <v>20</v>
      </c>
      <c r="R22" s="661">
        <v>12</v>
      </c>
      <c r="S22" s="662" t="s">
        <v>533</v>
      </c>
      <c r="T22" s="663" t="s">
        <v>212</v>
      </c>
      <c r="U22" s="159"/>
      <c r="V22" s="47"/>
    </row>
    <row r="23" spans="1:23" x14ac:dyDescent="0.25">
      <c r="A23" s="326" t="s">
        <v>866</v>
      </c>
      <c r="B23" t="s">
        <v>461</v>
      </c>
      <c r="C23" s="290" t="s">
        <v>439</v>
      </c>
      <c r="K23" s="631">
        <v>21</v>
      </c>
      <c r="L23" s="672">
        <v>58</v>
      </c>
      <c r="M23" s="246" t="s">
        <v>872</v>
      </c>
      <c r="N23" s="246" t="s">
        <v>66</v>
      </c>
      <c r="O23" s="370">
        <f>L23/$G$22</f>
        <v>0.15183246073298429</v>
      </c>
      <c r="Q23" s="683">
        <v>21</v>
      </c>
      <c r="R23" s="321">
        <v>11</v>
      </c>
      <c r="S23" t="s">
        <v>206</v>
      </c>
      <c r="T23" s="290" t="s">
        <v>1</v>
      </c>
      <c r="U23" s="159">
        <f>R23/L14</f>
        <v>5.6994818652849742E-2</v>
      </c>
      <c r="V23" s="47">
        <f>R23/$R$33</f>
        <v>8.3018867924528304E-3</v>
      </c>
    </row>
    <row r="24" spans="1:23" x14ac:dyDescent="0.25">
      <c r="A24" s="382" t="s">
        <v>574</v>
      </c>
      <c r="B24" t="s">
        <v>206</v>
      </c>
      <c r="C24" s="290" t="s">
        <v>1</v>
      </c>
      <c r="K24" s="631">
        <v>22</v>
      </c>
      <c r="L24" s="661">
        <v>55</v>
      </c>
      <c r="M24" s="662" t="s">
        <v>205</v>
      </c>
      <c r="N24" s="663" t="s">
        <v>451</v>
      </c>
      <c r="O24" s="665">
        <f>L24/$G$22</f>
        <v>0.14397905759162305</v>
      </c>
      <c r="Q24" s="683">
        <v>22</v>
      </c>
      <c r="R24" s="661">
        <v>10</v>
      </c>
      <c r="S24" s="662" t="s">
        <v>462</v>
      </c>
      <c r="T24" s="663" t="s">
        <v>439</v>
      </c>
      <c r="U24" s="159"/>
      <c r="V24" s="47"/>
    </row>
    <row r="25" spans="1:23" x14ac:dyDescent="0.25">
      <c r="A25" s="661" t="s">
        <v>574</v>
      </c>
      <c r="B25" s="662" t="s">
        <v>204</v>
      </c>
      <c r="C25" s="663" t="s">
        <v>1</v>
      </c>
      <c r="Q25" s="683">
        <v>22</v>
      </c>
      <c r="R25" s="661">
        <v>10</v>
      </c>
      <c r="S25" s="662" t="s">
        <v>548</v>
      </c>
      <c r="T25" s="663" t="s">
        <v>212</v>
      </c>
      <c r="U25" s="502"/>
      <c r="V25" s="47"/>
    </row>
    <row r="26" spans="1:23" x14ac:dyDescent="0.25">
      <c r="A26" s="380" t="s">
        <v>574</v>
      </c>
      <c r="B26" t="s">
        <v>513</v>
      </c>
      <c r="C26" t="s">
        <v>64</v>
      </c>
      <c r="Q26" s="683">
        <v>24</v>
      </c>
      <c r="R26" s="661">
        <v>9</v>
      </c>
      <c r="S26" s="662" t="s">
        <v>464</v>
      </c>
      <c r="T26" s="662" t="s">
        <v>212</v>
      </c>
      <c r="U26" s="159"/>
      <c r="V26" s="47"/>
    </row>
    <row r="27" spans="1:23" x14ac:dyDescent="0.25">
      <c r="A27" s="661" t="s">
        <v>458</v>
      </c>
      <c r="B27" s="662" t="s">
        <v>387</v>
      </c>
      <c r="C27" s="663" t="s">
        <v>212</v>
      </c>
      <c r="Q27" s="683">
        <v>24</v>
      </c>
      <c r="R27" s="661">
        <v>9</v>
      </c>
      <c r="S27" s="662" t="s">
        <v>463</v>
      </c>
      <c r="T27" s="662" t="s">
        <v>212</v>
      </c>
      <c r="U27" s="159"/>
      <c r="V27" s="47"/>
    </row>
    <row r="28" spans="1:23" x14ac:dyDescent="0.25">
      <c r="A28" s="380" t="s">
        <v>458</v>
      </c>
      <c r="B28" t="s">
        <v>448</v>
      </c>
      <c r="C28" s="290" t="s">
        <v>2</v>
      </c>
      <c r="Q28" s="683">
        <v>26</v>
      </c>
      <c r="R28" s="661">
        <v>8</v>
      </c>
      <c r="S28" s="662" t="s">
        <v>199</v>
      </c>
      <c r="T28" s="662" t="s">
        <v>439</v>
      </c>
      <c r="U28" s="159"/>
      <c r="V28" s="47"/>
    </row>
    <row r="29" spans="1:23" x14ac:dyDescent="0.25">
      <c r="A29" s="454" t="s">
        <v>458</v>
      </c>
      <c r="B29" t="s">
        <v>630</v>
      </c>
      <c r="C29" t="s">
        <v>439</v>
      </c>
      <c r="Q29" s="683">
        <v>27</v>
      </c>
      <c r="R29" s="661">
        <v>6</v>
      </c>
      <c r="S29" s="662" t="s">
        <v>204</v>
      </c>
      <c r="T29" s="663" t="s">
        <v>1</v>
      </c>
      <c r="U29" s="159"/>
      <c r="V29" s="47"/>
    </row>
    <row r="30" spans="1:23" x14ac:dyDescent="0.25">
      <c r="A30" s="661" t="s">
        <v>858</v>
      </c>
      <c r="B30" s="662" t="s">
        <v>793</v>
      </c>
      <c r="C30" s="662" t="s">
        <v>66</v>
      </c>
      <c r="Q30" s="683">
        <v>28</v>
      </c>
      <c r="R30" s="661">
        <v>3</v>
      </c>
      <c r="S30" s="662" t="s">
        <v>793</v>
      </c>
      <c r="T30" s="662" t="s">
        <v>66</v>
      </c>
      <c r="U30" s="159"/>
      <c r="V30" s="47"/>
    </row>
    <row r="31" spans="1:23" x14ac:dyDescent="0.25">
      <c r="A31" s="661" t="s">
        <v>512</v>
      </c>
      <c r="B31" s="662" t="s">
        <v>548</v>
      </c>
      <c r="C31" s="663" t="s">
        <v>212</v>
      </c>
      <c r="Q31" s="683">
        <v>28</v>
      </c>
      <c r="R31" s="661">
        <v>3</v>
      </c>
      <c r="S31" s="662" t="s">
        <v>638</v>
      </c>
      <c r="T31" s="662" t="s">
        <v>64</v>
      </c>
      <c r="U31" s="159"/>
      <c r="V31" s="47"/>
    </row>
    <row r="32" spans="1:23" x14ac:dyDescent="0.25">
      <c r="A32" s="679" t="s">
        <v>512</v>
      </c>
      <c r="B32" s="680" t="s">
        <v>533</v>
      </c>
      <c r="C32" s="680" t="s">
        <v>212</v>
      </c>
      <c r="Q32" s="683">
        <v>30</v>
      </c>
      <c r="R32" s="443">
        <v>2</v>
      </c>
      <c r="S32" t="s">
        <v>783</v>
      </c>
      <c r="T32" s="246" t="s">
        <v>1</v>
      </c>
      <c r="U32" s="159">
        <f>R32/L15</f>
        <v>1.0471204188481676E-2</v>
      </c>
      <c r="V32" s="47">
        <f>R32/$R$33</f>
        <v>1.5094339622641509E-3</v>
      </c>
      <c r="W32" s="246">
        <v>3</v>
      </c>
    </row>
    <row r="33" spans="1:18" x14ac:dyDescent="0.25">
      <c r="A33" s="320"/>
      <c r="B33" s="318"/>
      <c r="C33" s="319"/>
      <c r="R33" s="667">
        <f>SUM(R3:R32)</f>
        <v>1325</v>
      </c>
    </row>
    <row r="34" spans="1:18" x14ac:dyDescent="0.25">
      <c r="A34" s="320"/>
      <c r="B34" s="318"/>
      <c r="C34" s="319"/>
    </row>
    <row r="35" spans="1:18" x14ac:dyDescent="0.25">
      <c r="A35" s="320"/>
      <c r="B35" s="318"/>
      <c r="C35" s="319"/>
    </row>
    <row r="36" spans="1:18" x14ac:dyDescent="0.25">
      <c r="A36" s="320"/>
      <c r="B36" s="318"/>
      <c r="C36" s="318"/>
    </row>
    <row r="37" spans="1:18" x14ac:dyDescent="0.25">
      <c r="A37" s="656"/>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06" t="s">
        <v>11</v>
      </c>
      <c r="E2" s="706"/>
      <c r="F2" s="707" t="s">
        <v>12</v>
      </c>
      <c r="G2" s="707"/>
      <c r="H2" s="708" t="s">
        <v>13</v>
      </c>
      <c r="I2" s="708"/>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55">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03">
        <f>B18/B17</f>
        <v>0.5760921747479596</v>
      </c>
      <c r="C37" s="403">
        <f t="shared" ref="C37:P37" si="14">C18/C17</f>
        <v>0.57609217474795971</v>
      </c>
      <c r="D37" s="403">
        <f t="shared" si="14"/>
        <v>0.5760921747479596</v>
      </c>
      <c r="E37" s="403">
        <f t="shared" si="14"/>
        <v>0.57609217474795971</v>
      </c>
      <c r="F37" s="403">
        <f t="shared" si="14"/>
        <v>0.57609217474795971</v>
      </c>
      <c r="G37" s="403">
        <f t="shared" si="14"/>
        <v>0.57609217474795971</v>
      </c>
      <c r="H37" s="403">
        <f t="shared" si="14"/>
        <v>0.57609217474795982</v>
      </c>
      <c r="I37" s="403">
        <f t="shared" si="14"/>
        <v>0.5760921747479596</v>
      </c>
      <c r="J37" s="403">
        <f t="shared" si="14"/>
        <v>0.57609217474795971</v>
      </c>
      <c r="K37" s="403">
        <f t="shared" si="14"/>
        <v>0.5760921747479596</v>
      </c>
      <c r="L37" s="403">
        <f t="shared" si="14"/>
        <v>0.57609217474795971</v>
      </c>
      <c r="M37" s="403">
        <f t="shared" si="14"/>
        <v>0.57609217474795971</v>
      </c>
      <c r="N37" s="403">
        <f t="shared" si="14"/>
        <v>0.57609217474795971</v>
      </c>
      <c r="O37" s="403">
        <f t="shared" si="14"/>
        <v>0.57609217474795971</v>
      </c>
      <c r="P37" s="403">
        <f t="shared" si="14"/>
        <v>0.5760921747479596</v>
      </c>
    </row>
    <row r="38" spans="1:30" x14ac:dyDescent="0.25">
      <c r="B38" s="403">
        <f>B19/B17</f>
        <v>0.21747479596735478</v>
      </c>
      <c r="C38" s="403">
        <f t="shared" ref="C38:P38" si="15">C19/C17</f>
        <v>0.21747479596735481</v>
      </c>
      <c r="D38" s="403">
        <f t="shared" si="15"/>
        <v>0.21747479596735475</v>
      </c>
      <c r="E38" s="403">
        <f t="shared" si="15"/>
        <v>0.21747479596735481</v>
      </c>
      <c r="F38" s="403">
        <f t="shared" si="15"/>
        <v>0.21747479596735478</v>
      </c>
      <c r="G38" s="403">
        <f t="shared" si="15"/>
        <v>0.21747479596735478</v>
      </c>
      <c r="H38" s="403">
        <f t="shared" si="15"/>
        <v>0.21747479596735483</v>
      </c>
      <c r="I38" s="403">
        <f t="shared" si="15"/>
        <v>0.21747479596735475</v>
      </c>
      <c r="J38" s="403">
        <f t="shared" si="15"/>
        <v>0.21747479596735481</v>
      </c>
      <c r="K38" s="403">
        <f t="shared" si="15"/>
        <v>0.21747479596735478</v>
      </c>
      <c r="L38" s="403">
        <f t="shared" si="15"/>
        <v>0.21747479596735481</v>
      </c>
      <c r="M38" s="403">
        <f t="shared" si="15"/>
        <v>0.21747479596735481</v>
      </c>
      <c r="N38" s="403">
        <f t="shared" si="15"/>
        <v>0.21747479596735481</v>
      </c>
      <c r="O38" s="403">
        <f t="shared" si="15"/>
        <v>0.21747479596735478</v>
      </c>
      <c r="P38" s="403">
        <f t="shared" si="15"/>
        <v>0.21747479596735478</v>
      </c>
    </row>
    <row r="39" spans="1:30" x14ac:dyDescent="0.25">
      <c r="B39" s="403">
        <f>B20/B17</f>
        <v>0.18434949591934707</v>
      </c>
      <c r="C39" s="403">
        <f t="shared" ref="C39:P39" si="16">C20/C17</f>
        <v>0.1843494959193471</v>
      </c>
      <c r="D39" s="403">
        <f t="shared" si="16"/>
        <v>0.18434949591934707</v>
      </c>
      <c r="E39" s="403">
        <f t="shared" si="16"/>
        <v>0.1843494959193471</v>
      </c>
      <c r="F39" s="403">
        <f t="shared" si="16"/>
        <v>0.1843494959193471</v>
      </c>
      <c r="G39" s="403">
        <f t="shared" si="16"/>
        <v>0.1843494959193471</v>
      </c>
      <c r="H39" s="403">
        <f t="shared" si="16"/>
        <v>0.18434949591934713</v>
      </c>
      <c r="I39" s="403">
        <f t="shared" si="16"/>
        <v>0.18434949591934707</v>
      </c>
      <c r="J39" s="403">
        <f t="shared" si="16"/>
        <v>0.1843494959193471</v>
      </c>
      <c r="K39" s="403">
        <f t="shared" si="16"/>
        <v>0.18434949591934705</v>
      </c>
      <c r="L39" s="403">
        <f t="shared" si="16"/>
        <v>0.1843494959193471</v>
      </c>
      <c r="M39" s="403">
        <f t="shared" si="16"/>
        <v>0.1843494959193471</v>
      </c>
      <c r="N39" s="403">
        <f t="shared" si="16"/>
        <v>0.1843494959193471</v>
      </c>
      <c r="O39" s="403">
        <f t="shared" si="16"/>
        <v>0.18434949591934707</v>
      </c>
      <c r="P39" s="403">
        <f t="shared" si="16"/>
        <v>0.18434949591934707</v>
      </c>
    </row>
    <row r="40" spans="1:30" x14ac:dyDescent="0.25">
      <c r="B40" s="403">
        <f>B21/B17</f>
        <v>2.2083533365338453E-2</v>
      </c>
      <c r="C40" s="403">
        <f t="shared" ref="C40:P40" si="17">C21/C17</f>
        <v>2.2083533365338456E-2</v>
      </c>
      <c r="D40" s="403">
        <f t="shared" si="17"/>
        <v>2.2083533365338453E-2</v>
      </c>
      <c r="E40" s="403">
        <f t="shared" si="17"/>
        <v>2.2083533365338453E-2</v>
      </c>
      <c r="F40" s="403">
        <f t="shared" si="17"/>
        <v>2.2083533365338453E-2</v>
      </c>
      <c r="G40" s="403">
        <f t="shared" si="17"/>
        <v>2.2083533365338453E-2</v>
      </c>
      <c r="H40" s="403">
        <f t="shared" si="17"/>
        <v>2.208353336533846E-2</v>
      </c>
      <c r="I40" s="403">
        <f t="shared" si="17"/>
        <v>2.2083533365338453E-2</v>
      </c>
      <c r="J40" s="403">
        <f t="shared" si="17"/>
        <v>2.208353336533846E-2</v>
      </c>
      <c r="K40" s="403">
        <f t="shared" si="17"/>
        <v>2.2083533365338449E-2</v>
      </c>
      <c r="L40" s="403">
        <f t="shared" si="17"/>
        <v>2.2083533365338456E-2</v>
      </c>
      <c r="M40" s="403">
        <f t="shared" si="17"/>
        <v>2.2083533365338456E-2</v>
      </c>
      <c r="N40" s="403">
        <f t="shared" si="17"/>
        <v>2.2083533365338456E-2</v>
      </c>
      <c r="O40" s="403">
        <f t="shared" si="17"/>
        <v>2.2083533365338456E-2</v>
      </c>
      <c r="P40" s="403">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96" priority="1" operator="lessThan">
      <formula>0</formula>
    </cfRule>
    <cfRule type="cellIs" dxfId="29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27"/>
  <sheetViews>
    <sheetView zoomScale="80" zoomScaleNormal="80" workbookViewId="0">
      <selection activeCell="AP18" sqref="AP18"/>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73"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84" t="s">
        <v>215</v>
      </c>
      <c r="B1" s="184"/>
      <c r="C1" s="184"/>
      <c r="D1" s="184"/>
      <c r="E1" s="184"/>
      <c r="F1" s="184"/>
      <c r="G1" s="184"/>
      <c r="H1" s="271"/>
      <c r="I1" s="184"/>
      <c r="J1" s="184"/>
      <c r="K1" s="184"/>
      <c r="L1" s="184"/>
      <c r="M1" s="184"/>
      <c r="N1" s="184"/>
      <c r="O1" s="184"/>
      <c r="P1" s="184"/>
      <c r="Q1" s="184"/>
      <c r="R1" s="184"/>
      <c r="S1" s="184"/>
      <c r="T1" s="184"/>
      <c r="U1" s="184"/>
      <c r="V1" s="184"/>
      <c r="W1" s="184"/>
      <c r="X1" s="266"/>
      <c r="Y1" s="185" t="s">
        <v>216</v>
      </c>
    </row>
    <row r="2" spans="1:45" x14ac:dyDescent="0.25">
      <c r="A2" s="245" t="s">
        <v>173</v>
      </c>
      <c r="B2" s="186">
        <v>17</v>
      </c>
      <c r="C2" s="186">
        <v>18</v>
      </c>
      <c r="D2" s="186">
        <v>19</v>
      </c>
      <c r="E2" s="186">
        <v>20</v>
      </c>
      <c r="F2" s="186">
        <v>21</v>
      </c>
      <c r="G2" s="275">
        <v>22</v>
      </c>
      <c r="H2" s="186">
        <v>23</v>
      </c>
      <c r="I2" s="186">
        <v>24</v>
      </c>
      <c r="J2" s="186">
        <v>25</v>
      </c>
      <c r="K2" s="186">
        <v>26</v>
      </c>
      <c r="L2" s="186">
        <v>27</v>
      </c>
      <c r="M2" s="276">
        <v>28</v>
      </c>
      <c r="N2" s="276">
        <v>29</v>
      </c>
      <c r="O2" s="276">
        <v>30</v>
      </c>
      <c r="P2" s="276">
        <v>31</v>
      </c>
      <c r="Q2" s="186">
        <v>32</v>
      </c>
      <c r="R2" s="186">
        <v>33</v>
      </c>
      <c r="S2" s="186">
        <v>34</v>
      </c>
      <c r="T2" s="186">
        <v>35</v>
      </c>
      <c r="U2" s="186">
        <v>36</v>
      </c>
      <c r="V2" s="186">
        <v>37</v>
      </c>
      <c r="W2" s="186">
        <v>38</v>
      </c>
      <c r="X2" s="267"/>
      <c r="Y2" s="184" t="s">
        <v>217</v>
      </c>
    </row>
    <row r="3" spans="1:45" ht="16.5" thickBot="1" x14ac:dyDescent="0.3">
      <c r="A3" s="187">
        <v>0.05</v>
      </c>
      <c r="B3" s="182">
        <v>3.2</v>
      </c>
      <c r="C3" s="182">
        <v>3.7</v>
      </c>
      <c r="D3" s="182">
        <v>4.0999999999999996</v>
      </c>
      <c r="E3" s="182">
        <v>4.4000000000000004</v>
      </c>
      <c r="F3" s="306">
        <v>4.5999999999999996</v>
      </c>
      <c r="G3" s="272">
        <v>4.7</v>
      </c>
      <c r="H3" s="306">
        <v>4.55</v>
      </c>
      <c r="I3" s="182">
        <v>4.4000000000000004</v>
      </c>
      <c r="J3" s="182">
        <v>4.25</v>
      </c>
      <c r="K3" s="182">
        <v>4.0999999999999996</v>
      </c>
      <c r="L3" s="182">
        <v>3.95</v>
      </c>
      <c r="M3" s="277">
        <v>3.8</v>
      </c>
      <c r="N3" s="277">
        <v>3.6500000000000004</v>
      </c>
      <c r="O3" s="277">
        <v>3.5</v>
      </c>
      <c r="P3" s="277">
        <v>3.3499999999999996</v>
      </c>
      <c r="Q3" s="182">
        <v>3.1500000000000004</v>
      </c>
      <c r="R3" s="182">
        <v>2.95</v>
      </c>
      <c r="S3" s="182">
        <v>2.65</v>
      </c>
      <c r="T3" s="182">
        <v>2.2999999999999998</v>
      </c>
      <c r="U3" s="182">
        <v>1.9</v>
      </c>
      <c r="V3" s="182">
        <v>1.4500000000000002</v>
      </c>
      <c r="W3" s="182">
        <v>0.95</v>
      </c>
      <c r="X3" s="268"/>
      <c r="Y3" s="184"/>
    </row>
    <row r="4" spans="1:45" ht="16.5" thickBot="1" x14ac:dyDescent="0.3">
      <c r="A4" s="187">
        <v>0.06</v>
      </c>
      <c r="B4" s="182">
        <v>3.5700000000000003</v>
      </c>
      <c r="C4" s="182">
        <v>4.07</v>
      </c>
      <c r="D4" s="182">
        <v>4.47</v>
      </c>
      <c r="E4" s="182">
        <v>4.7699999999999996</v>
      </c>
      <c r="F4" s="306">
        <v>4.97</v>
      </c>
      <c r="G4" s="272">
        <v>5.07</v>
      </c>
      <c r="H4" s="306">
        <v>4.92</v>
      </c>
      <c r="I4" s="182">
        <v>4.7699999999999996</v>
      </c>
      <c r="J4" s="182">
        <v>4.62</v>
      </c>
      <c r="K4" s="182">
        <v>4.47</v>
      </c>
      <c r="L4" s="182">
        <v>4.32</v>
      </c>
      <c r="M4" s="277">
        <v>4.17</v>
      </c>
      <c r="N4" s="277">
        <v>4.0199999999999996</v>
      </c>
      <c r="O4" s="277">
        <v>3.87</v>
      </c>
      <c r="P4" s="277">
        <v>3.7199999999999998</v>
      </c>
      <c r="Q4" s="182">
        <v>3.5199999999999996</v>
      </c>
      <c r="R4" s="182">
        <v>3.3200000000000003</v>
      </c>
      <c r="S4" s="182">
        <v>3.0199999999999996</v>
      </c>
      <c r="T4" s="182">
        <v>2.67</v>
      </c>
      <c r="U4" s="182">
        <v>2.27</v>
      </c>
      <c r="V4" s="182">
        <v>1.8199999999999998</v>
      </c>
      <c r="W4" s="182">
        <v>1.3199999999999998</v>
      </c>
      <c r="X4" s="268"/>
      <c r="Y4" s="157" t="s">
        <v>218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219</v>
      </c>
    </row>
    <row r="5" spans="1:45" ht="16.5" thickBot="1" x14ac:dyDescent="0.3">
      <c r="A5" s="187">
        <v>7.0000000000000007E-2</v>
      </c>
      <c r="B5" s="182">
        <v>3.92</v>
      </c>
      <c r="C5" s="182">
        <v>4.42</v>
      </c>
      <c r="D5" s="182">
        <v>4.82</v>
      </c>
      <c r="E5" s="182">
        <v>5.12</v>
      </c>
      <c r="F5" s="306">
        <v>5.32</v>
      </c>
      <c r="G5" s="278">
        <v>5.42</v>
      </c>
      <c r="H5" s="306">
        <v>5.27</v>
      </c>
      <c r="I5" s="182">
        <v>5.12</v>
      </c>
      <c r="J5" s="182">
        <v>4.97</v>
      </c>
      <c r="K5" s="182">
        <v>4.82</v>
      </c>
      <c r="L5" s="182">
        <v>4.67</v>
      </c>
      <c r="M5" s="277">
        <v>4.5199999999999996</v>
      </c>
      <c r="N5" s="277">
        <v>4.37</v>
      </c>
      <c r="O5" s="277">
        <v>4.22</v>
      </c>
      <c r="P5" s="277">
        <v>4.07</v>
      </c>
      <c r="Q5" s="182">
        <v>3.87</v>
      </c>
      <c r="R5" s="182">
        <v>3.67</v>
      </c>
      <c r="S5" s="182">
        <v>3.37</v>
      </c>
      <c r="T5" s="182">
        <v>3.0199999999999996</v>
      </c>
      <c r="U5" s="182">
        <v>2.62</v>
      </c>
      <c r="V5" s="182">
        <v>2.17</v>
      </c>
      <c r="W5" s="182">
        <v>1.67</v>
      </c>
      <c r="X5" s="268"/>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187">
        <v>0.08</v>
      </c>
      <c r="B6" s="325">
        <v>4.24</v>
      </c>
      <c r="C6" s="325">
        <v>4.74</v>
      </c>
      <c r="D6" s="325">
        <v>5.14</v>
      </c>
      <c r="E6" s="325">
        <v>5.44</v>
      </c>
      <c r="F6" s="325">
        <v>5.64</v>
      </c>
      <c r="G6" s="272">
        <v>5.74</v>
      </c>
      <c r="H6" s="325">
        <v>5.59</v>
      </c>
      <c r="I6" s="325">
        <v>5.44</v>
      </c>
      <c r="J6" s="325">
        <v>5.29</v>
      </c>
      <c r="K6" s="325">
        <v>5.14</v>
      </c>
      <c r="L6" s="325">
        <v>4.99</v>
      </c>
      <c r="M6" s="277">
        <v>4.84</v>
      </c>
      <c r="N6" s="277">
        <v>4.6900000000000004</v>
      </c>
      <c r="O6" s="277">
        <v>4.54</v>
      </c>
      <c r="P6" s="277">
        <v>4.3899999999999997</v>
      </c>
      <c r="Q6" s="325">
        <v>4.1900000000000004</v>
      </c>
      <c r="R6" s="325">
        <v>3.99</v>
      </c>
      <c r="S6" s="325">
        <v>3.6900000000000004</v>
      </c>
      <c r="T6" s="325">
        <v>3.34</v>
      </c>
      <c r="U6" s="325">
        <v>2.94</v>
      </c>
      <c r="V6" s="325">
        <v>2.4900000000000002</v>
      </c>
      <c r="W6" s="325">
        <v>1.9900000000000002</v>
      </c>
      <c r="X6" s="269"/>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187">
        <v>0.09</v>
      </c>
      <c r="B7" s="325">
        <v>4.53</v>
      </c>
      <c r="C7" s="325">
        <v>5.03</v>
      </c>
      <c r="D7" s="325">
        <v>5.43</v>
      </c>
      <c r="E7" s="325">
        <v>5.73</v>
      </c>
      <c r="F7" s="325">
        <v>5.93</v>
      </c>
      <c r="G7" s="278">
        <v>6.03</v>
      </c>
      <c r="H7" s="325">
        <v>5.88</v>
      </c>
      <c r="I7" s="325">
        <v>5.73</v>
      </c>
      <c r="J7" s="325">
        <v>5.58</v>
      </c>
      <c r="K7" s="325">
        <v>5.43</v>
      </c>
      <c r="L7" s="325">
        <v>5.28</v>
      </c>
      <c r="M7" s="277">
        <v>5.13</v>
      </c>
      <c r="N7" s="277">
        <v>4.9800000000000004</v>
      </c>
      <c r="O7" s="277">
        <v>4.83</v>
      </c>
      <c r="P7" s="277">
        <v>4.68</v>
      </c>
      <c r="Q7" s="325">
        <v>4.4800000000000004</v>
      </c>
      <c r="R7" s="325">
        <v>4.28</v>
      </c>
      <c r="S7" s="325">
        <v>3.9800000000000004</v>
      </c>
      <c r="T7" s="325">
        <v>3.63</v>
      </c>
      <c r="U7" s="325">
        <v>3.2300000000000004</v>
      </c>
      <c r="V7" s="325">
        <v>2.78</v>
      </c>
      <c r="W7" s="325">
        <v>2.2799999999999998</v>
      </c>
      <c r="X7" s="268"/>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188">
        <v>0.1</v>
      </c>
      <c r="B8" s="189">
        <v>4.8099999999999996</v>
      </c>
      <c r="C8" s="189">
        <v>5.31</v>
      </c>
      <c r="D8" s="189">
        <v>5.71</v>
      </c>
      <c r="E8" s="189">
        <v>6.01</v>
      </c>
      <c r="F8" s="189">
        <v>6.21</v>
      </c>
      <c r="G8" s="272">
        <v>6.31</v>
      </c>
      <c r="H8" s="189">
        <v>6.16</v>
      </c>
      <c r="I8" s="189">
        <v>6.01</v>
      </c>
      <c r="J8" s="189">
        <v>5.86</v>
      </c>
      <c r="K8" s="189">
        <v>5.71</v>
      </c>
      <c r="L8" s="189">
        <v>5.56</v>
      </c>
      <c r="M8" s="190">
        <v>5.41</v>
      </c>
      <c r="N8" s="190">
        <v>5.26</v>
      </c>
      <c r="O8" s="190">
        <v>5.1100000000000003</v>
      </c>
      <c r="P8" s="190">
        <v>4.96</v>
      </c>
      <c r="Q8" s="189">
        <v>4.76</v>
      </c>
      <c r="R8" s="189">
        <v>4.5599999999999996</v>
      </c>
      <c r="S8" s="189">
        <v>4.26</v>
      </c>
      <c r="T8" s="189">
        <v>3.91</v>
      </c>
      <c r="U8" s="189">
        <v>3.51</v>
      </c>
      <c r="V8" s="189">
        <v>3.0599999999999996</v>
      </c>
      <c r="W8" s="189">
        <v>2.56</v>
      </c>
      <c r="X8" s="268"/>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187">
        <v>0.11</v>
      </c>
      <c r="B9" s="182">
        <v>5.0599999999999996</v>
      </c>
      <c r="C9" s="182">
        <v>5.56</v>
      </c>
      <c r="D9" s="182">
        <v>5.96</v>
      </c>
      <c r="E9" s="182">
        <v>6.26</v>
      </c>
      <c r="F9" s="306">
        <v>6.46</v>
      </c>
      <c r="G9" s="278">
        <v>6.56</v>
      </c>
      <c r="H9" s="306">
        <v>6.41</v>
      </c>
      <c r="I9" s="182">
        <v>6.26</v>
      </c>
      <c r="J9" s="182">
        <v>6.11</v>
      </c>
      <c r="K9" s="182">
        <v>5.96</v>
      </c>
      <c r="L9" s="182">
        <v>5.81</v>
      </c>
      <c r="M9" s="277">
        <v>5.66</v>
      </c>
      <c r="N9" s="277">
        <v>5.51</v>
      </c>
      <c r="O9" s="277">
        <v>5.36</v>
      </c>
      <c r="P9" s="277">
        <v>5.21</v>
      </c>
      <c r="Q9" s="182">
        <v>5.01</v>
      </c>
      <c r="R9" s="182">
        <v>4.8099999999999996</v>
      </c>
      <c r="S9" s="182">
        <v>4.51</v>
      </c>
      <c r="T9" s="182">
        <v>4.16</v>
      </c>
      <c r="U9" s="182">
        <v>3.76</v>
      </c>
      <c r="V9" s="182">
        <v>3.3099999999999996</v>
      </c>
      <c r="W9" s="182">
        <v>2.81</v>
      </c>
      <c r="X9" s="268"/>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188">
        <v>0.12</v>
      </c>
      <c r="B10" s="189">
        <v>5.3</v>
      </c>
      <c r="C10" s="189">
        <v>5.8</v>
      </c>
      <c r="D10" s="189">
        <v>6.2</v>
      </c>
      <c r="E10" s="189">
        <v>6.5</v>
      </c>
      <c r="F10" s="189">
        <v>6.7</v>
      </c>
      <c r="G10" s="272">
        <v>6.8</v>
      </c>
      <c r="H10" s="189">
        <v>6.65</v>
      </c>
      <c r="I10" s="189">
        <v>6.5</v>
      </c>
      <c r="J10" s="189">
        <v>6.35</v>
      </c>
      <c r="K10" s="189">
        <v>6.2</v>
      </c>
      <c r="L10" s="189">
        <v>6.05</v>
      </c>
      <c r="M10" s="190">
        <v>5.9</v>
      </c>
      <c r="N10" s="190">
        <v>5.75</v>
      </c>
      <c r="O10" s="190">
        <v>5.6</v>
      </c>
      <c r="P10" s="190">
        <v>5.45</v>
      </c>
      <c r="Q10" s="190">
        <v>5.25</v>
      </c>
      <c r="R10" s="190">
        <v>5.05</v>
      </c>
      <c r="S10" s="190">
        <v>4.75</v>
      </c>
      <c r="T10" s="190">
        <v>4.4000000000000004</v>
      </c>
      <c r="U10" s="190">
        <v>4</v>
      </c>
      <c r="V10" s="190">
        <v>3.55</v>
      </c>
      <c r="W10" s="190">
        <v>3.05</v>
      </c>
      <c r="X10" s="267"/>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187">
        <v>0.13</v>
      </c>
      <c r="B11" s="182">
        <v>5.52</v>
      </c>
      <c r="C11" s="182">
        <v>6.02</v>
      </c>
      <c r="D11" s="182">
        <v>6.42</v>
      </c>
      <c r="E11" s="182">
        <v>6.72</v>
      </c>
      <c r="F11" s="306">
        <v>6.92</v>
      </c>
      <c r="G11" s="279">
        <v>7.02</v>
      </c>
      <c r="H11" s="306">
        <v>6.87</v>
      </c>
      <c r="I11" s="182">
        <v>6.72</v>
      </c>
      <c r="J11" s="182">
        <v>6.57</v>
      </c>
      <c r="K11" s="182">
        <v>6.42</v>
      </c>
      <c r="L11" s="182">
        <v>6.27</v>
      </c>
      <c r="M11" s="277">
        <v>6.12</v>
      </c>
      <c r="N11" s="277">
        <v>5.97</v>
      </c>
      <c r="O11" s="277">
        <v>5.82</v>
      </c>
      <c r="P11" s="277">
        <v>5.67</v>
      </c>
      <c r="Q11" s="182">
        <v>5.47</v>
      </c>
      <c r="R11" s="182">
        <v>5.27</v>
      </c>
      <c r="S11" s="182">
        <v>4.97</v>
      </c>
      <c r="T11" s="182">
        <v>4.62</v>
      </c>
      <c r="U11" s="182">
        <v>4.22</v>
      </c>
      <c r="V11" s="182">
        <v>3.7699999999999996</v>
      </c>
      <c r="W11" s="182">
        <v>3.2699999999999996</v>
      </c>
      <c r="X11" s="268"/>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187">
        <v>0.14000000000000001</v>
      </c>
      <c r="B12" s="182">
        <v>5.72</v>
      </c>
      <c r="C12" s="182">
        <v>6.22</v>
      </c>
      <c r="D12" s="182">
        <v>6.62</v>
      </c>
      <c r="E12" s="182">
        <v>6.92</v>
      </c>
      <c r="F12" s="306">
        <v>7.1199999999999992</v>
      </c>
      <c r="G12" s="272">
        <v>7.2200000000000006</v>
      </c>
      <c r="H12" s="306">
        <v>7.07</v>
      </c>
      <c r="I12" s="182">
        <v>6.92</v>
      </c>
      <c r="J12" s="182">
        <v>6.77</v>
      </c>
      <c r="K12" s="182">
        <v>6.62</v>
      </c>
      <c r="L12" s="182">
        <v>6.47</v>
      </c>
      <c r="M12" s="277">
        <v>6.32</v>
      </c>
      <c r="N12" s="277">
        <v>6.17</v>
      </c>
      <c r="O12" s="277">
        <v>6.02</v>
      </c>
      <c r="P12" s="277">
        <v>5.87</v>
      </c>
      <c r="Q12" s="182">
        <v>5.67</v>
      </c>
      <c r="R12" s="182">
        <v>5.47</v>
      </c>
      <c r="S12" s="182">
        <v>5.17</v>
      </c>
      <c r="T12" s="182">
        <v>4.82</v>
      </c>
      <c r="U12" s="182">
        <v>4.42</v>
      </c>
      <c r="V12" s="182">
        <v>3.9699999999999998</v>
      </c>
      <c r="W12" s="182">
        <v>3.4699999999999998</v>
      </c>
      <c r="X12" s="268"/>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187">
        <v>0.15</v>
      </c>
      <c r="B13" s="182">
        <v>5.91</v>
      </c>
      <c r="C13" s="182">
        <v>6.41</v>
      </c>
      <c r="D13" s="182">
        <v>6.81</v>
      </c>
      <c r="E13" s="182">
        <v>7.1099999999999994</v>
      </c>
      <c r="F13" s="306">
        <v>7.3100000000000005</v>
      </c>
      <c r="G13" s="272">
        <v>7.41</v>
      </c>
      <c r="H13" s="306">
        <v>7.26</v>
      </c>
      <c r="I13" s="182">
        <v>7.1099999999999994</v>
      </c>
      <c r="J13" s="182">
        <v>6.96</v>
      </c>
      <c r="K13" s="182">
        <v>6.81</v>
      </c>
      <c r="L13" s="182">
        <v>6.66</v>
      </c>
      <c r="M13" s="277">
        <v>6.51</v>
      </c>
      <c r="N13" s="277">
        <v>6.36</v>
      </c>
      <c r="O13" s="277">
        <v>6.21</v>
      </c>
      <c r="P13" s="277">
        <v>6.06</v>
      </c>
      <c r="Q13" s="182">
        <v>5.86</v>
      </c>
      <c r="R13" s="182">
        <v>5.66</v>
      </c>
      <c r="S13" s="182">
        <v>5.36</v>
      </c>
      <c r="T13" s="182">
        <v>5.01</v>
      </c>
      <c r="U13" s="182">
        <v>4.6100000000000003</v>
      </c>
      <c r="V13" s="182">
        <v>4.16</v>
      </c>
      <c r="W13" s="182">
        <v>3.66</v>
      </c>
      <c r="X13" s="268"/>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187">
        <v>0.16</v>
      </c>
      <c r="B14" s="182">
        <v>6.09</v>
      </c>
      <c r="C14" s="182">
        <v>6.59</v>
      </c>
      <c r="D14" s="182">
        <v>6.99</v>
      </c>
      <c r="E14" s="182">
        <v>7.2899999999999991</v>
      </c>
      <c r="F14" s="306">
        <v>7.49</v>
      </c>
      <c r="G14" s="278">
        <v>7.59</v>
      </c>
      <c r="H14" s="306">
        <v>7.4399999999999995</v>
      </c>
      <c r="I14" s="182">
        <v>7.2899999999999991</v>
      </c>
      <c r="J14" s="182">
        <v>7.1400000000000006</v>
      </c>
      <c r="K14" s="182">
        <v>6.99</v>
      </c>
      <c r="L14" s="182">
        <v>6.84</v>
      </c>
      <c r="M14" s="277">
        <v>6.69</v>
      </c>
      <c r="N14" s="277">
        <v>6.54</v>
      </c>
      <c r="O14" s="277">
        <v>6.39</v>
      </c>
      <c r="P14" s="277">
        <v>6.24</v>
      </c>
      <c r="Q14" s="182">
        <v>6.04</v>
      </c>
      <c r="R14" s="182">
        <v>5.84</v>
      </c>
      <c r="S14" s="182">
        <v>5.54</v>
      </c>
      <c r="T14" s="182">
        <v>5.19</v>
      </c>
      <c r="U14" s="182">
        <v>4.79</v>
      </c>
      <c r="V14" s="182">
        <v>4.34</v>
      </c>
      <c r="W14" s="182">
        <v>3.84</v>
      </c>
      <c r="X14" s="268"/>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188">
        <v>0.17</v>
      </c>
      <c r="B15" s="189">
        <v>6.25</v>
      </c>
      <c r="C15" s="189">
        <v>6.75</v>
      </c>
      <c r="D15" s="189">
        <v>7.15</v>
      </c>
      <c r="E15" s="189">
        <v>7.4499999999999993</v>
      </c>
      <c r="F15" s="189">
        <v>7.65</v>
      </c>
      <c r="G15" s="272">
        <v>7.75</v>
      </c>
      <c r="H15" s="189">
        <v>7.6</v>
      </c>
      <c r="I15" s="189">
        <v>7.4499999999999993</v>
      </c>
      <c r="J15" s="189">
        <v>7.3000000000000007</v>
      </c>
      <c r="K15" s="189">
        <v>7.15</v>
      </c>
      <c r="L15" s="189">
        <v>7</v>
      </c>
      <c r="M15" s="190">
        <v>6.85</v>
      </c>
      <c r="N15" s="190">
        <v>6.7</v>
      </c>
      <c r="O15" s="190">
        <v>6.55</v>
      </c>
      <c r="P15" s="190">
        <v>6.4</v>
      </c>
      <c r="Q15" s="189">
        <v>6.2</v>
      </c>
      <c r="R15" s="189">
        <v>6</v>
      </c>
      <c r="S15" s="189">
        <v>5.7</v>
      </c>
      <c r="T15" s="189">
        <v>5.35</v>
      </c>
      <c r="U15" s="189">
        <v>4.95</v>
      </c>
      <c r="V15" s="189">
        <v>4.5</v>
      </c>
      <c r="W15" s="189">
        <v>4</v>
      </c>
      <c r="X15" s="269"/>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187">
        <v>0.18</v>
      </c>
      <c r="B16" s="182">
        <v>6.4</v>
      </c>
      <c r="C16" s="182">
        <v>6.9</v>
      </c>
      <c r="D16" s="182">
        <v>7.3000000000000007</v>
      </c>
      <c r="E16" s="182">
        <v>7.6</v>
      </c>
      <c r="F16" s="306">
        <v>7.8000000000000007</v>
      </c>
      <c r="G16" s="279">
        <v>7.9</v>
      </c>
      <c r="H16" s="306">
        <v>7.75</v>
      </c>
      <c r="I16" s="182">
        <v>7.6</v>
      </c>
      <c r="J16" s="182">
        <v>7.4499999999999993</v>
      </c>
      <c r="K16" s="182">
        <v>7.3000000000000007</v>
      </c>
      <c r="L16" s="182">
        <v>7.15</v>
      </c>
      <c r="M16" s="277">
        <v>7</v>
      </c>
      <c r="N16" s="277">
        <v>6.85</v>
      </c>
      <c r="O16" s="277">
        <v>6.7</v>
      </c>
      <c r="P16" s="277">
        <v>6.55</v>
      </c>
      <c r="Q16" s="182">
        <v>6.35</v>
      </c>
      <c r="R16" s="182">
        <v>6.15</v>
      </c>
      <c r="S16" s="182">
        <v>5.85</v>
      </c>
      <c r="T16" s="182">
        <v>5.5</v>
      </c>
      <c r="U16" s="182">
        <v>5.0999999999999996</v>
      </c>
      <c r="V16" s="182">
        <v>4.6500000000000004</v>
      </c>
      <c r="W16" s="182">
        <v>4.1500000000000004</v>
      </c>
      <c r="X16" s="268"/>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187">
        <v>0.19</v>
      </c>
      <c r="B17" s="182">
        <v>6.54</v>
      </c>
      <c r="C17" s="182">
        <v>7.0399999999999991</v>
      </c>
      <c r="D17" s="182">
        <v>7.4399999999999995</v>
      </c>
      <c r="E17" s="182">
        <v>7.74</v>
      </c>
      <c r="F17" s="306">
        <v>7.9399999999999995</v>
      </c>
      <c r="G17" s="278">
        <v>8.0399999999999991</v>
      </c>
      <c r="H17" s="306">
        <v>7.8900000000000006</v>
      </c>
      <c r="I17" s="182">
        <v>7.74</v>
      </c>
      <c r="J17" s="182">
        <v>7.59</v>
      </c>
      <c r="K17" s="182">
        <v>7.4399999999999995</v>
      </c>
      <c r="L17" s="182">
        <v>7.2899999999999991</v>
      </c>
      <c r="M17" s="277">
        <v>7.1400000000000006</v>
      </c>
      <c r="N17" s="277">
        <v>6.99</v>
      </c>
      <c r="O17" s="277">
        <v>6.84</v>
      </c>
      <c r="P17" s="277">
        <v>6.69</v>
      </c>
      <c r="Q17" s="182">
        <v>6.49</v>
      </c>
      <c r="R17" s="182">
        <v>6.29</v>
      </c>
      <c r="S17" s="182">
        <v>5.99</v>
      </c>
      <c r="T17" s="182">
        <v>5.64</v>
      </c>
      <c r="U17" s="182">
        <v>5.24</v>
      </c>
      <c r="V17" s="182">
        <v>4.79</v>
      </c>
      <c r="W17" s="182">
        <v>4.29</v>
      </c>
      <c r="X17" s="268"/>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188">
        <v>0.2</v>
      </c>
      <c r="B18" s="289">
        <v>6.67</v>
      </c>
      <c r="C18" s="289">
        <v>7.17</v>
      </c>
      <c r="D18" s="289">
        <v>7.57</v>
      </c>
      <c r="E18" s="289">
        <v>7.8699999999999992</v>
      </c>
      <c r="F18" s="289">
        <v>8.07</v>
      </c>
      <c r="G18" s="189">
        <v>8.17</v>
      </c>
      <c r="H18" s="289">
        <v>8.02</v>
      </c>
      <c r="I18" s="289">
        <v>7.8699999999999992</v>
      </c>
      <c r="J18" s="289">
        <v>7.7200000000000006</v>
      </c>
      <c r="K18" s="289">
        <v>7.57</v>
      </c>
      <c r="L18" s="289">
        <v>7.42</v>
      </c>
      <c r="M18" s="289">
        <v>7.27</v>
      </c>
      <c r="N18" s="289">
        <v>7.1199999999999992</v>
      </c>
      <c r="O18" s="289">
        <v>6.97</v>
      </c>
      <c r="P18" s="289">
        <v>6.82</v>
      </c>
      <c r="Q18" s="289">
        <v>6.62</v>
      </c>
      <c r="R18" s="289">
        <v>6.42</v>
      </c>
      <c r="S18" s="289">
        <v>6.12</v>
      </c>
      <c r="T18" s="289">
        <v>5.77</v>
      </c>
      <c r="U18" s="289">
        <v>5.37</v>
      </c>
      <c r="V18" s="289">
        <v>4.92</v>
      </c>
      <c r="W18" s="289">
        <v>4.42</v>
      </c>
      <c r="X18" s="268"/>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187">
        <v>0.21</v>
      </c>
      <c r="B19" s="182">
        <v>6.8</v>
      </c>
      <c r="C19" s="182">
        <v>7.3000000000000007</v>
      </c>
      <c r="D19" s="182">
        <v>7.6999999999999993</v>
      </c>
      <c r="E19" s="182">
        <v>8</v>
      </c>
      <c r="F19" s="306">
        <v>8.1999999999999993</v>
      </c>
      <c r="G19" s="279">
        <v>8.3000000000000007</v>
      </c>
      <c r="H19" s="306">
        <v>8.15</v>
      </c>
      <c r="I19" s="182">
        <v>8</v>
      </c>
      <c r="J19" s="182">
        <v>7.85</v>
      </c>
      <c r="K19" s="182">
        <v>7.6999999999999993</v>
      </c>
      <c r="L19" s="182">
        <v>7.5500000000000007</v>
      </c>
      <c r="M19" s="277">
        <v>7.4</v>
      </c>
      <c r="N19" s="277">
        <v>7.25</v>
      </c>
      <c r="O19" s="277">
        <v>7.1</v>
      </c>
      <c r="P19" s="277">
        <v>6.95</v>
      </c>
      <c r="Q19" s="182">
        <v>6.75</v>
      </c>
      <c r="R19" s="182">
        <v>6.55</v>
      </c>
      <c r="S19" s="182">
        <v>6.25</v>
      </c>
      <c r="T19" s="182">
        <v>5.9</v>
      </c>
      <c r="U19" s="182">
        <v>5.5</v>
      </c>
      <c r="V19" s="182">
        <v>5.05</v>
      </c>
      <c r="W19" s="182">
        <v>4.55</v>
      </c>
      <c r="X19" s="268"/>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187">
        <v>0.22</v>
      </c>
      <c r="B20" s="182">
        <v>6.91</v>
      </c>
      <c r="C20" s="182">
        <v>7.41</v>
      </c>
      <c r="D20" s="182">
        <v>7.8100000000000005</v>
      </c>
      <c r="E20" s="182">
        <v>8.11</v>
      </c>
      <c r="F20" s="306">
        <v>8.31</v>
      </c>
      <c r="G20" s="272">
        <v>8.33</v>
      </c>
      <c r="H20" s="306">
        <v>8.26</v>
      </c>
      <c r="I20" s="182">
        <v>8.11</v>
      </c>
      <c r="J20" s="182">
        <v>7.9600000000000009</v>
      </c>
      <c r="K20" s="182">
        <v>7.8100000000000005</v>
      </c>
      <c r="L20" s="182">
        <v>7.66</v>
      </c>
      <c r="M20" s="277">
        <v>7.51</v>
      </c>
      <c r="N20" s="277">
        <v>7.3599999999999994</v>
      </c>
      <c r="O20" s="277">
        <v>7.2100000000000009</v>
      </c>
      <c r="P20" s="277">
        <v>7.0600000000000005</v>
      </c>
      <c r="Q20" s="182">
        <v>6.86</v>
      </c>
      <c r="R20" s="182">
        <v>6.66</v>
      </c>
      <c r="S20" s="182">
        <v>6.36</v>
      </c>
      <c r="T20" s="182">
        <v>6.01</v>
      </c>
      <c r="U20" s="182">
        <v>5.61</v>
      </c>
      <c r="V20" s="182">
        <v>5.16</v>
      </c>
      <c r="W20" s="182">
        <v>4.66</v>
      </c>
      <c r="X20" s="268"/>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187">
        <v>0.23</v>
      </c>
      <c r="B21" s="182">
        <v>7.01</v>
      </c>
      <c r="C21" s="182">
        <v>7.51</v>
      </c>
      <c r="D21" s="182">
        <v>7.91</v>
      </c>
      <c r="E21" s="182">
        <v>8.2100000000000009</v>
      </c>
      <c r="F21" s="306">
        <v>8.33</v>
      </c>
      <c r="G21" s="272">
        <v>8.33</v>
      </c>
      <c r="H21" s="306">
        <v>8.33</v>
      </c>
      <c r="I21" s="182">
        <v>8.2100000000000009</v>
      </c>
      <c r="J21" s="182">
        <v>8.06</v>
      </c>
      <c r="K21" s="182">
        <v>7.91</v>
      </c>
      <c r="L21" s="182">
        <v>7.76</v>
      </c>
      <c r="M21" s="277">
        <v>7.6099999999999994</v>
      </c>
      <c r="N21" s="277">
        <v>7.4600000000000009</v>
      </c>
      <c r="O21" s="277">
        <v>7.3100000000000005</v>
      </c>
      <c r="P21" s="277">
        <v>7.16</v>
      </c>
      <c r="Q21" s="182">
        <v>6.96</v>
      </c>
      <c r="R21" s="182">
        <v>6.76</v>
      </c>
      <c r="S21" s="182">
        <v>6.46</v>
      </c>
      <c r="T21" s="182">
        <v>6.11</v>
      </c>
      <c r="U21" s="182">
        <v>5.71</v>
      </c>
      <c r="V21" s="182">
        <v>5.26</v>
      </c>
      <c r="W21" s="182">
        <v>4.76</v>
      </c>
      <c r="X21" s="268"/>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187">
        <v>0.24</v>
      </c>
      <c r="B22" s="182">
        <v>7.1099999999999994</v>
      </c>
      <c r="C22" s="182">
        <v>7.6099999999999994</v>
      </c>
      <c r="D22" s="182">
        <v>8.01</v>
      </c>
      <c r="E22" s="182">
        <v>8.31</v>
      </c>
      <c r="F22" s="306">
        <v>8.33</v>
      </c>
      <c r="G22" s="272">
        <v>8.33</v>
      </c>
      <c r="H22" s="306">
        <v>8.33</v>
      </c>
      <c r="I22" s="182">
        <v>8.31</v>
      </c>
      <c r="J22" s="182">
        <v>8.16</v>
      </c>
      <c r="K22" s="182">
        <v>8.01</v>
      </c>
      <c r="L22" s="182">
        <v>7.8599999999999994</v>
      </c>
      <c r="M22" s="277">
        <v>7.7100000000000009</v>
      </c>
      <c r="N22" s="277">
        <v>7.5600000000000005</v>
      </c>
      <c r="O22" s="277">
        <v>7.41</v>
      </c>
      <c r="P22" s="277">
        <v>7.26</v>
      </c>
      <c r="Q22" s="182">
        <v>7.0600000000000005</v>
      </c>
      <c r="R22" s="182">
        <v>6.86</v>
      </c>
      <c r="S22" s="182">
        <v>6.56</v>
      </c>
      <c r="T22" s="182">
        <v>6.21</v>
      </c>
      <c r="U22" s="182">
        <v>5.81</v>
      </c>
      <c r="V22" s="182">
        <v>5.36</v>
      </c>
      <c r="W22" s="182">
        <v>4.8600000000000003</v>
      </c>
      <c r="X22" s="268"/>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187">
        <v>0.25</v>
      </c>
      <c r="B23" s="182">
        <v>7.1999999999999993</v>
      </c>
      <c r="C23" s="182">
        <v>7.6999999999999993</v>
      </c>
      <c r="D23" s="182">
        <v>8.1</v>
      </c>
      <c r="E23" s="182">
        <v>8.33</v>
      </c>
      <c r="F23" s="306">
        <v>8.33</v>
      </c>
      <c r="G23" s="272">
        <v>8.33</v>
      </c>
      <c r="H23" s="306">
        <v>8.33</v>
      </c>
      <c r="I23" s="182">
        <v>8.33</v>
      </c>
      <c r="J23" s="182">
        <v>8.25</v>
      </c>
      <c r="K23" s="182">
        <v>8.1</v>
      </c>
      <c r="L23" s="182">
        <v>7.9499999999999993</v>
      </c>
      <c r="M23" s="277">
        <v>7.8000000000000007</v>
      </c>
      <c r="N23" s="277">
        <v>7.65</v>
      </c>
      <c r="O23" s="277">
        <v>7.5</v>
      </c>
      <c r="P23" s="277">
        <v>7.35</v>
      </c>
      <c r="Q23" s="182">
        <v>7.15</v>
      </c>
      <c r="R23" s="182">
        <v>6.95</v>
      </c>
      <c r="S23" s="182">
        <v>6.65</v>
      </c>
      <c r="T23" s="182">
        <v>6.3</v>
      </c>
      <c r="U23" s="182">
        <v>5.9</v>
      </c>
      <c r="V23" s="182">
        <v>5.45</v>
      </c>
      <c r="W23" s="182">
        <v>4.95</v>
      </c>
      <c r="X23" s="268"/>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187">
        <v>0.26</v>
      </c>
      <c r="B24" s="182">
        <v>7.2799999999999994</v>
      </c>
      <c r="C24" s="182">
        <v>7.7799999999999994</v>
      </c>
      <c r="D24" s="182">
        <v>8.18</v>
      </c>
      <c r="E24" s="182">
        <v>8.33</v>
      </c>
      <c r="F24" s="306">
        <v>8.33</v>
      </c>
      <c r="G24" s="272">
        <v>8.33</v>
      </c>
      <c r="H24" s="306">
        <v>8.33</v>
      </c>
      <c r="I24" s="182">
        <v>8.33</v>
      </c>
      <c r="J24" s="182">
        <v>8.33</v>
      </c>
      <c r="K24" s="182">
        <v>8.18</v>
      </c>
      <c r="L24" s="182">
        <v>8.0299999999999994</v>
      </c>
      <c r="M24" s="277">
        <v>7.8800000000000008</v>
      </c>
      <c r="N24" s="277">
        <v>7.73</v>
      </c>
      <c r="O24" s="277">
        <v>7.58</v>
      </c>
      <c r="P24" s="277">
        <v>7.43</v>
      </c>
      <c r="Q24" s="182">
        <v>7.23</v>
      </c>
      <c r="R24" s="182">
        <v>7.0299999999999994</v>
      </c>
      <c r="S24" s="182">
        <v>6.73</v>
      </c>
      <c r="T24" s="182">
        <v>6.38</v>
      </c>
      <c r="U24" s="182">
        <v>5.98</v>
      </c>
      <c r="V24" s="182">
        <v>5.53</v>
      </c>
      <c r="W24" s="182">
        <v>5.03</v>
      </c>
      <c r="X24" s="268"/>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187">
        <v>0.27</v>
      </c>
      <c r="B25" s="182">
        <v>7.3599999999999994</v>
      </c>
      <c r="C25" s="182">
        <v>7.8599999999999994</v>
      </c>
      <c r="D25" s="182">
        <v>8.26</v>
      </c>
      <c r="E25" s="182">
        <v>8.33</v>
      </c>
      <c r="F25" s="306">
        <v>8.33</v>
      </c>
      <c r="G25" s="272">
        <v>8.33</v>
      </c>
      <c r="H25" s="306">
        <v>8.33</v>
      </c>
      <c r="I25" s="182">
        <v>8.33</v>
      </c>
      <c r="J25" s="182">
        <v>8.33</v>
      </c>
      <c r="K25" s="182">
        <v>8.26</v>
      </c>
      <c r="L25" s="182">
        <v>8.11</v>
      </c>
      <c r="M25" s="277">
        <v>7.9600000000000009</v>
      </c>
      <c r="N25" s="277">
        <v>7.8100000000000005</v>
      </c>
      <c r="O25" s="277">
        <v>7.66</v>
      </c>
      <c r="P25" s="277">
        <v>7.51</v>
      </c>
      <c r="Q25" s="182">
        <v>7.3100000000000005</v>
      </c>
      <c r="R25" s="182">
        <v>7.1099999999999994</v>
      </c>
      <c r="S25" s="182">
        <v>6.81</v>
      </c>
      <c r="T25" s="182">
        <v>6.46</v>
      </c>
      <c r="U25" s="182">
        <v>6.06</v>
      </c>
      <c r="V25" s="182">
        <v>5.61</v>
      </c>
      <c r="W25" s="182">
        <v>5.1100000000000003</v>
      </c>
      <c r="X25" s="268"/>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187">
        <v>0.28000000000000003</v>
      </c>
      <c r="B26" s="182">
        <v>7.43</v>
      </c>
      <c r="C26" s="182">
        <v>7.93</v>
      </c>
      <c r="D26" s="182">
        <v>8.33</v>
      </c>
      <c r="E26" s="182">
        <v>8.33</v>
      </c>
      <c r="F26" s="306">
        <v>8.33</v>
      </c>
      <c r="G26" s="272">
        <v>8.33</v>
      </c>
      <c r="H26" s="306">
        <v>8.33</v>
      </c>
      <c r="I26" s="182">
        <v>8.33</v>
      </c>
      <c r="J26" s="182">
        <v>8.33</v>
      </c>
      <c r="K26" s="182">
        <v>8.33</v>
      </c>
      <c r="L26" s="182">
        <v>8.18</v>
      </c>
      <c r="M26" s="277">
        <v>8.0299999999999994</v>
      </c>
      <c r="N26" s="277">
        <v>7.8800000000000008</v>
      </c>
      <c r="O26" s="277">
        <v>7.73</v>
      </c>
      <c r="P26" s="277">
        <v>7.58</v>
      </c>
      <c r="Q26" s="182">
        <v>7.3800000000000008</v>
      </c>
      <c r="R26" s="182">
        <v>7.18</v>
      </c>
      <c r="S26" s="182">
        <v>6.88</v>
      </c>
      <c r="T26" s="182">
        <v>6.53</v>
      </c>
      <c r="U26" s="182">
        <v>6.13</v>
      </c>
      <c r="V26" s="182">
        <v>5.68</v>
      </c>
      <c r="W26" s="182">
        <v>5.18</v>
      </c>
      <c r="X26" s="268"/>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187">
        <v>0.28999999999999998</v>
      </c>
      <c r="B27" s="182">
        <v>7.5</v>
      </c>
      <c r="C27" s="182">
        <v>8</v>
      </c>
      <c r="D27" s="182">
        <v>8.33</v>
      </c>
      <c r="E27" s="182">
        <v>8.33</v>
      </c>
      <c r="F27" s="306">
        <v>8.33</v>
      </c>
      <c r="G27" s="272">
        <v>8.33</v>
      </c>
      <c r="H27" s="306">
        <v>8.33</v>
      </c>
      <c r="I27" s="182">
        <v>8.33</v>
      </c>
      <c r="J27" s="182">
        <v>8.33</v>
      </c>
      <c r="K27" s="182">
        <v>8.33</v>
      </c>
      <c r="L27" s="182">
        <v>8.25</v>
      </c>
      <c r="M27" s="277">
        <v>8.1</v>
      </c>
      <c r="N27" s="277">
        <v>7.9499999999999993</v>
      </c>
      <c r="O27" s="277">
        <v>7.8000000000000007</v>
      </c>
      <c r="P27" s="277">
        <v>7.65</v>
      </c>
      <c r="Q27" s="182">
        <v>7.4499999999999993</v>
      </c>
      <c r="R27" s="182">
        <v>7.25</v>
      </c>
      <c r="S27" s="182">
        <v>6.95</v>
      </c>
      <c r="T27" s="182">
        <v>6.6</v>
      </c>
      <c r="U27" s="182">
        <v>6.2</v>
      </c>
      <c r="V27" s="182">
        <v>5.75</v>
      </c>
      <c r="W27" s="182">
        <v>5.25</v>
      </c>
      <c r="X27" s="268"/>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187">
        <v>0.3</v>
      </c>
      <c r="B28" s="182">
        <v>7.5600000000000005</v>
      </c>
      <c r="C28" s="182">
        <v>8.06</v>
      </c>
      <c r="D28" s="182">
        <v>8.33</v>
      </c>
      <c r="E28" s="182">
        <v>8.33</v>
      </c>
      <c r="F28" s="306">
        <v>8.33</v>
      </c>
      <c r="G28" s="272">
        <v>8.33</v>
      </c>
      <c r="H28" s="306">
        <v>8.33</v>
      </c>
      <c r="I28" s="182">
        <v>8.33</v>
      </c>
      <c r="J28" s="182">
        <v>8.33</v>
      </c>
      <c r="K28" s="182">
        <v>8.33</v>
      </c>
      <c r="L28" s="182">
        <v>8.31</v>
      </c>
      <c r="M28" s="277">
        <v>8.16</v>
      </c>
      <c r="N28" s="277">
        <v>8.01</v>
      </c>
      <c r="O28" s="277">
        <v>7.8599999999999994</v>
      </c>
      <c r="P28" s="277">
        <v>7.7100000000000009</v>
      </c>
      <c r="Q28" s="182">
        <v>7.51</v>
      </c>
      <c r="R28" s="182">
        <v>7.3100000000000005</v>
      </c>
      <c r="S28" s="182">
        <v>7.01</v>
      </c>
      <c r="T28" s="182">
        <v>6.66</v>
      </c>
      <c r="U28" s="182">
        <v>6.26</v>
      </c>
      <c r="V28" s="182">
        <v>5.81</v>
      </c>
      <c r="W28" s="182">
        <v>5.31</v>
      </c>
      <c r="X28" s="268"/>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187">
        <v>0.31</v>
      </c>
      <c r="B29" s="182">
        <v>7.6199999999999992</v>
      </c>
      <c r="C29" s="182">
        <v>8.1199999999999992</v>
      </c>
      <c r="D29" s="182">
        <v>8.33</v>
      </c>
      <c r="E29" s="182">
        <v>8.33</v>
      </c>
      <c r="F29" s="306">
        <v>8.33</v>
      </c>
      <c r="G29" s="272">
        <v>8.33</v>
      </c>
      <c r="H29" s="306">
        <v>8.33</v>
      </c>
      <c r="I29" s="182">
        <v>8.33</v>
      </c>
      <c r="J29" s="182">
        <v>8.33</v>
      </c>
      <c r="K29" s="182">
        <v>8.33</v>
      </c>
      <c r="L29" s="182">
        <v>8.33</v>
      </c>
      <c r="M29" s="277">
        <v>8.2200000000000006</v>
      </c>
      <c r="N29" s="277">
        <v>8.07</v>
      </c>
      <c r="O29" s="277">
        <v>7.92</v>
      </c>
      <c r="P29" s="277">
        <v>7.77</v>
      </c>
      <c r="Q29" s="182">
        <v>7.57</v>
      </c>
      <c r="R29" s="182">
        <v>7.3699999999999992</v>
      </c>
      <c r="S29" s="182">
        <v>7.07</v>
      </c>
      <c r="T29" s="182">
        <v>6.72</v>
      </c>
      <c r="U29" s="182">
        <v>6.32</v>
      </c>
      <c r="V29" s="182">
        <v>5.87</v>
      </c>
      <c r="W29" s="182">
        <v>5.37</v>
      </c>
      <c r="X29" s="268"/>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187">
        <v>0.32</v>
      </c>
      <c r="B30" s="182">
        <v>7.67</v>
      </c>
      <c r="C30" s="182">
        <v>8.17</v>
      </c>
      <c r="D30" s="182">
        <v>8.33</v>
      </c>
      <c r="E30" s="182">
        <v>8.33</v>
      </c>
      <c r="F30" s="306">
        <v>8.33</v>
      </c>
      <c r="G30" s="272">
        <v>8.33</v>
      </c>
      <c r="H30" s="306">
        <v>8.33</v>
      </c>
      <c r="I30" s="182">
        <v>8.33</v>
      </c>
      <c r="J30" s="182">
        <v>8.33</v>
      </c>
      <c r="K30" s="182">
        <v>8.33</v>
      </c>
      <c r="L30" s="182">
        <v>8.33</v>
      </c>
      <c r="M30" s="277">
        <v>8.27</v>
      </c>
      <c r="N30" s="277">
        <v>8.1199999999999992</v>
      </c>
      <c r="O30" s="277">
        <v>7.9700000000000006</v>
      </c>
      <c r="P30" s="277">
        <v>7.82</v>
      </c>
      <c r="Q30" s="182">
        <v>7.6199999999999992</v>
      </c>
      <c r="R30" s="182">
        <v>7.42</v>
      </c>
      <c r="S30" s="182">
        <v>7.1199999999999992</v>
      </c>
      <c r="T30" s="182">
        <v>6.77</v>
      </c>
      <c r="U30" s="182">
        <v>6.37</v>
      </c>
      <c r="V30" s="182">
        <v>5.92</v>
      </c>
      <c r="W30" s="182">
        <v>5.42</v>
      </c>
      <c r="X30" s="268"/>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187">
        <v>0.33</v>
      </c>
      <c r="B31" s="182">
        <v>7.7200000000000006</v>
      </c>
      <c r="C31" s="182">
        <v>8.2200000000000006</v>
      </c>
      <c r="D31" s="182">
        <v>8.33</v>
      </c>
      <c r="E31" s="182">
        <v>8.33</v>
      </c>
      <c r="F31" s="306">
        <v>8.33</v>
      </c>
      <c r="G31" s="272">
        <v>8.33</v>
      </c>
      <c r="H31" s="306">
        <v>8.33</v>
      </c>
      <c r="I31" s="182">
        <v>8.33</v>
      </c>
      <c r="J31" s="182">
        <v>8.33</v>
      </c>
      <c r="K31" s="182">
        <v>8.33</v>
      </c>
      <c r="L31" s="182">
        <v>8.33</v>
      </c>
      <c r="M31" s="277">
        <v>8.32</v>
      </c>
      <c r="N31" s="277">
        <v>8.17</v>
      </c>
      <c r="O31" s="277">
        <v>8.02</v>
      </c>
      <c r="P31" s="277">
        <v>7.8699999999999992</v>
      </c>
      <c r="Q31" s="182">
        <v>7.67</v>
      </c>
      <c r="R31" s="182">
        <v>7.4700000000000006</v>
      </c>
      <c r="S31" s="182">
        <v>7.17</v>
      </c>
      <c r="T31" s="182">
        <v>6.82</v>
      </c>
      <c r="U31" s="182">
        <v>6.42</v>
      </c>
      <c r="V31" s="182">
        <v>5.97</v>
      </c>
      <c r="W31" s="182">
        <v>5.47</v>
      </c>
      <c r="X31" s="268"/>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187">
        <v>0.34</v>
      </c>
      <c r="B32" s="182">
        <v>7.77</v>
      </c>
      <c r="C32" s="182">
        <v>8.27</v>
      </c>
      <c r="D32" s="182">
        <v>8.33</v>
      </c>
      <c r="E32" s="182">
        <v>8.33</v>
      </c>
      <c r="F32" s="306">
        <v>8.33</v>
      </c>
      <c r="G32" s="272">
        <v>8.33</v>
      </c>
      <c r="H32" s="306">
        <v>8.33</v>
      </c>
      <c r="I32" s="182">
        <v>8.33</v>
      </c>
      <c r="J32" s="182">
        <v>8.33</v>
      </c>
      <c r="K32" s="182">
        <v>8.33</v>
      </c>
      <c r="L32" s="182">
        <v>8.33</v>
      </c>
      <c r="M32" s="277">
        <v>8.33</v>
      </c>
      <c r="N32" s="277">
        <v>8.2200000000000006</v>
      </c>
      <c r="O32" s="277">
        <v>8.07</v>
      </c>
      <c r="P32" s="277">
        <v>7.92</v>
      </c>
      <c r="Q32" s="182">
        <v>7.7200000000000006</v>
      </c>
      <c r="R32" s="182">
        <v>7.52</v>
      </c>
      <c r="S32" s="182">
        <v>7.2200000000000006</v>
      </c>
      <c r="T32" s="182">
        <v>6.87</v>
      </c>
      <c r="U32" s="182">
        <v>6.47</v>
      </c>
      <c r="V32" s="182">
        <v>6.02</v>
      </c>
      <c r="W32" s="182">
        <v>5.52</v>
      </c>
      <c r="X32" s="268"/>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187">
        <v>0.35</v>
      </c>
      <c r="B33" s="182">
        <v>7.8100000000000005</v>
      </c>
      <c r="C33" s="182">
        <v>8.31</v>
      </c>
      <c r="D33" s="182">
        <v>8.33</v>
      </c>
      <c r="E33" s="182">
        <v>8.33</v>
      </c>
      <c r="F33" s="306">
        <v>8.33</v>
      </c>
      <c r="G33" s="272">
        <v>8.33</v>
      </c>
      <c r="H33" s="306">
        <v>8.33</v>
      </c>
      <c r="I33" s="182">
        <v>8.33</v>
      </c>
      <c r="J33" s="182">
        <v>8.33</v>
      </c>
      <c r="K33" s="182">
        <v>8.33</v>
      </c>
      <c r="L33" s="182">
        <v>8.33</v>
      </c>
      <c r="M33" s="277">
        <v>8.33</v>
      </c>
      <c r="N33" s="277">
        <v>8.26</v>
      </c>
      <c r="O33" s="277">
        <v>8.11</v>
      </c>
      <c r="P33" s="277">
        <v>7.9600000000000009</v>
      </c>
      <c r="Q33" s="182">
        <v>7.76</v>
      </c>
      <c r="R33" s="182">
        <v>7.5600000000000005</v>
      </c>
      <c r="S33" s="182">
        <v>7.26</v>
      </c>
      <c r="T33" s="182">
        <v>6.91</v>
      </c>
      <c r="U33" s="182">
        <v>6.51</v>
      </c>
      <c r="V33" s="182">
        <v>6.06</v>
      </c>
      <c r="W33" s="182">
        <v>5.56</v>
      </c>
      <c r="X33" s="268"/>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187">
        <v>0.36</v>
      </c>
      <c r="B34" s="182">
        <v>7.85</v>
      </c>
      <c r="C34" s="182">
        <v>8.33</v>
      </c>
      <c r="D34" s="182">
        <v>8.33</v>
      </c>
      <c r="E34" s="182">
        <v>8.33</v>
      </c>
      <c r="F34" s="306">
        <v>8.33</v>
      </c>
      <c r="G34" s="272">
        <v>8.33</v>
      </c>
      <c r="H34" s="306">
        <v>8.33</v>
      </c>
      <c r="I34" s="182">
        <v>8.33</v>
      </c>
      <c r="J34" s="182">
        <v>8.33</v>
      </c>
      <c r="K34" s="182">
        <v>8.33</v>
      </c>
      <c r="L34" s="182">
        <v>8.33</v>
      </c>
      <c r="M34" s="277">
        <v>8.33</v>
      </c>
      <c r="N34" s="277">
        <v>8.3000000000000007</v>
      </c>
      <c r="O34" s="277">
        <v>8.15</v>
      </c>
      <c r="P34" s="277">
        <v>8</v>
      </c>
      <c r="Q34" s="182">
        <v>7.8000000000000007</v>
      </c>
      <c r="R34" s="182">
        <v>7.6</v>
      </c>
      <c r="S34" s="182">
        <v>7.3000000000000007</v>
      </c>
      <c r="T34" s="182">
        <v>6.95</v>
      </c>
      <c r="U34" s="182">
        <v>6.55</v>
      </c>
      <c r="V34" s="182">
        <v>6.1</v>
      </c>
      <c r="W34" s="182">
        <v>5.6</v>
      </c>
      <c r="X34" s="268"/>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187">
        <v>0.37</v>
      </c>
      <c r="B35" s="182">
        <v>7.8800000000000008</v>
      </c>
      <c r="C35" s="182">
        <v>8.33</v>
      </c>
      <c r="D35" s="182">
        <v>8.33</v>
      </c>
      <c r="E35" s="182">
        <v>8.33</v>
      </c>
      <c r="F35" s="306">
        <v>8.33</v>
      </c>
      <c r="G35" s="272">
        <v>8.33</v>
      </c>
      <c r="H35" s="306">
        <v>8.33</v>
      </c>
      <c r="I35" s="182">
        <v>8.33</v>
      </c>
      <c r="J35" s="182">
        <v>8.33</v>
      </c>
      <c r="K35" s="182">
        <v>8.33</v>
      </c>
      <c r="L35" s="182">
        <v>8.33</v>
      </c>
      <c r="M35" s="277">
        <v>8.33</v>
      </c>
      <c r="N35" s="277">
        <v>8.33</v>
      </c>
      <c r="O35" s="277">
        <v>8.18</v>
      </c>
      <c r="P35" s="277">
        <v>8.0299999999999994</v>
      </c>
      <c r="Q35" s="182">
        <v>7.83</v>
      </c>
      <c r="R35" s="182">
        <v>7.6300000000000008</v>
      </c>
      <c r="S35" s="182">
        <v>7.33</v>
      </c>
      <c r="T35" s="182">
        <v>6.98</v>
      </c>
      <c r="U35" s="182">
        <v>6.58</v>
      </c>
      <c r="V35" s="182">
        <v>6.13</v>
      </c>
      <c r="W35" s="182">
        <v>5.63</v>
      </c>
      <c r="X35" s="268"/>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187">
        <v>0.38</v>
      </c>
      <c r="B36" s="182">
        <v>7.92</v>
      </c>
      <c r="C36" s="182">
        <v>8.33</v>
      </c>
      <c r="D36" s="182">
        <v>8.33</v>
      </c>
      <c r="E36" s="182">
        <v>8.33</v>
      </c>
      <c r="F36" s="306">
        <v>8.33</v>
      </c>
      <c r="G36" s="272">
        <v>8.33</v>
      </c>
      <c r="H36" s="306">
        <v>8.33</v>
      </c>
      <c r="I36" s="182">
        <v>8.33</v>
      </c>
      <c r="J36" s="182">
        <v>8.33</v>
      </c>
      <c r="K36" s="182">
        <v>8.33</v>
      </c>
      <c r="L36" s="182">
        <v>8.33</v>
      </c>
      <c r="M36" s="277">
        <v>8.33</v>
      </c>
      <c r="N36" s="277">
        <v>8.33</v>
      </c>
      <c r="O36" s="277">
        <v>8.2200000000000006</v>
      </c>
      <c r="P36" s="277">
        <v>8.07</v>
      </c>
      <c r="Q36" s="182">
        <v>7.8699999999999992</v>
      </c>
      <c r="R36" s="182">
        <v>7.67</v>
      </c>
      <c r="S36" s="182">
        <v>7.3699999999999992</v>
      </c>
      <c r="T36" s="182">
        <v>7.02</v>
      </c>
      <c r="U36" s="182">
        <v>6.62</v>
      </c>
      <c r="V36" s="182">
        <v>6.17</v>
      </c>
      <c r="W36" s="182">
        <v>5.67</v>
      </c>
      <c r="X36" s="268"/>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187">
        <v>0.39</v>
      </c>
      <c r="B37" s="182">
        <v>7.9499999999999993</v>
      </c>
      <c r="C37" s="182">
        <v>8.33</v>
      </c>
      <c r="D37" s="182">
        <v>8.33</v>
      </c>
      <c r="E37" s="182">
        <v>8.33</v>
      </c>
      <c r="F37" s="306">
        <v>8.33</v>
      </c>
      <c r="G37" s="272">
        <v>8.33</v>
      </c>
      <c r="H37" s="306">
        <v>8.33</v>
      </c>
      <c r="I37" s="182">
        <v>8.33</v>
      </c>
      <c r="J37" s="182">
        <v>8.33</v>
      </c>
      <c r="K37" s="182">
        <v>8.33</v>
      </c>
      <c r="L37" s="182">
        <v>8.33</v>
      </c>
      <c r="M37" s="277">
        <v>8.33</v>
      </c>
      <c r="N37" s="277">
        <v>8.33</v>
      </c>
      <c r="O37" s="277">
        <v>8.25</v>
      </c>
      <c r="P37" s="277">
        <v>8.1</v>
      </c>
      <c r="Q37" s="182">
        <v>7.9</v>
      </c>
      <c r="R37" s="182">
        <v>7.6999999999999993</v>
      </c>
      <c r="S37" s="182">
        <v>7.4</v>
      </c>
      <c r="T37" s="182">
        <v>7.0500000000000007</v>
      </c>
      <c r="U37" s="182">
        <v>6.65</v>
      </c>
      <c r="V37" s="182">
        <v>6.2</v>
      </c>
      <c r="W37" s="182">
        <v>5.7</v>
      </c>
      <c r="X37" s="268"/>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187">
        <v>0.4</v>
      </c>
      <c r="B38" s="182">
        <v>7.98</v>
      </c>
      <c r="C38" s="182">
        <v>8.33</v>
      </c>
      <c r="D38" s="182">
        <v>8.33</v>
      </c>
      <c r="E38" s="182">
        <v>8.33</v>
      </c>
      <c r="F38" s="306">
        <v>8.33</v>
      </c>
      <c r="G38" s="272">
        <v>8.33</v>
      </c>
      <c r="H38" s="306">
        <v>8.33</v>
      </c>
      <c r="I38" s="182">
        <v>8.33</v>
      </c>
      <c r="J38" s="182">
        <v>8.33</v>
      </c>
      <c r="K38" s="182">
        <v>8.33</v>
      </c>
      <c r="L38" s="182">
        <v>8.33</v>
      </c>
      <c r="M38" s="277">
        <v>8.33</v>
      </c>
      <c r="N38" s="277">
        <v>8.33</v>
      </c>
      <c r="O38" s="277">
        <v>8.2799999999999994</v>
      </c>
      <c r="P38" s="277">
        <v>8.1300000000000008</v>
      </c>
      <c r="Q38" s="182">
        <v>7.93</v>
      </c>
      <c r="R38" s="182">
        <v>7.73</v>
      </c>
      <c r="S38" s="182">
        <v>7.43</v>
      </c>
      <c r="T38" s="182">
        <v>7.08</v>
      </c>
      <c r="U38" s="182">
        <v>6.68</v>
      </c>
      <c r="V38" s="182">
        <v>6.23</v>
      </c>
      <c r="W38" s="182">
        <v>5.73</v>
      </c>
      <c r="X38" s="268"/>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191">
        <v>0.41</v>
      </c>
      <c r="B39" s="182">
        <v>8.01</v>
      </c>
      <c r="C39" s="182">
        <v>8.33</v>
      </c>
      <c r="D39" s="182">
        <v>8.33</v>
      </c>
      <c r="E39" s="182">
        <v>8.33</v>
      </c>
      <c r="F39" s="306">
        <v>8.33</v>
      </c>
      <c r="G39" s="272">
        <v>8.33</v>
      </c>
      <c r="H39" s="306">
        <v>8.33</v>
      </c>
      <c r="I39" s="182">
        <v>8.33</v>
      </c>
      <c r="J39" s="182">
        <v>8.33</v>
      </c>
      <c r="K39" s="182">
        <v>8.33</v>
      </c>
      <c r="L39" s="182">
        <v>8.33</v>
      </c>
      <c r="M39" s="277">
        <v>8.33</v>
      </c>
      <c r="N39" s="277">
        <v>8.33</v>
      </c>
      <c r="O39" s="277">
        <v>8.31</v>
      </c>
      <c r="P39" s="277">
        <v>8.16</v>
      </c>
      <c r="Q39" s="182">
        <v>7.9600000000000009</v>
      </c>
      <c r="R39" s="182">
        <v>7.76</v>
      </c>
      <c r="S39" s="182">
        <v>7.4600000000000009</v>
      </c>
      <c r="T39" s="182">
        <v>7.1099999999999994</v>
      </c>
      <c r="U39" s="182">
        <v>6.71</v>
      </c>
      <c r="V39" s="182">
        <v>6.26</v>
      </c>
      <c r="W39" s="182">
        <v>5.76</v>
      </c>
      <c r="X39" s="268"/>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191">
        <v>0.42</v>
      </c>
      <c r="B40" s="182">
        <v>8.0299999999999994</v>
      </c>
      <c r="C40" s="182">
        <v>8.33</v>
      </c>
      <c r="D40" s="182">
        <v>8.33</v>
      </c>
      <c r="E40" s="182">
        <v>8.33</v>
      </c>
      <c r="F40" s="306">
        <v>8.33</v>
      </c>
      <c r="G40" s="272">
        <v>8.33</v>
      </c>
      <c r="H40" s="306">
        <v>8.33</v>
      </c>
      <c r="I40" s="182">
        <v>8.33</v>
      </c>
      <c r="J40" s="182">
        <v>8.33</v>
      </c>
      <c r="K40" s="182">
        <v>8.33</v>
      </c>
      <c r="L40" s="182">
        <v>8.33</v>
      </c>
      <c r="M40" s="277">
        <v>8.33</v>
      </c>
      <c r="N40" s="277">
        <v>8.33</v>
      </c>
      <c r="O40" s="277">
        <v>8.33</v>
      </c>
      <c r="P40" s="277">
        <v>8.18</v>
      </c>
      <c r="Q40" s="182">
        <v>7.98</v>
      </c>
      <c r="R40" s="182">
        <v>7.7799999999999994</v>
      </c>
      <c r="S40" s="182">
        <v>7.48</v>
      </c>
      <c r="T40" s="182">
        <v>7.1300000000000008</v>
      </c>
      <c r="U40" s="182">
        <v>6.73</v>
      </c>
      <c r="V40" s="182">
        <v>6.28</v>
      </c>
      <c r="W40" s="182">
        <v>5.78</v>
      </c>
      <c r="X40" s="268"/>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191">
        <v>0.43</v>
      </c>
      <c r="B41" s="182">
        <v>8.0500000000000007</v>
      </c>
      <c r="C41" s="182">
        <v>8.33</v>
      </c>
      <c r="D41" s="182">
        <v>8.33</v>
      </c>
      <c r="E41" s="182">
        <v>8.33</v>
      </c>
      <c r="F41" s="306">
        <v>8.33</v>
      </c>
      <c r="G41" s="272">
        <v>8.33</v>
      </c>
      <c r="H41" s="306">
        <v>8.33</v>
      </c>
      <c r="I41" s="182">
        <v>8.33</v>
      </c>
      <c r="J41" s="182">
        <v>8.33</v>
      </c>
      <c r="K41" s="182">
        <v>8.33</v>
      </c>
      <c r="L41" s="182">
        <v>8.33</v>
      </c>
      <c r="M41" s="277">
        <v>8.33</v>
      </c>
      <c r="N41" s="277">
        <v>8.33</v>
      </c>
      <c r="O41" s="277">
        <v>8.33</v>
      </c>
      <c r="P41" s="277">
        <v>8.1999999999999993</v>
      </c>
      <c r="Q41" s="182">
        <v>8</v>
      </c>
      <c r="R41" s="182">
        <v>7.8000000000000007</v>
      </c>
      <c r="S41" s="182">
        <v>7.5</v>
      </c>
      <c r="T41" s="182">
        <v>7.15</v>
      </c>
      <c r="U41" s="182">
        <v>6.75</v>
      </c>
      <c r="V41" s="182">
        <v>6.3</v>
      </c>
      <c r="W41" s="182">
        <v>5.8</v>
      </c>
      <c r="X41" s="268"/>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191">
        <v>0.44</v>
      </c>
      <c r="B42" s="182">
        <v>8.08</v>
      </c>
      <c r="C42" s="182">
        <v>8.33</v>
      </c>
      <c r="D42" s="182">
        <v>8.33</v>
      </c>
      <c r="E42" s="182">
        <v>8.33</v>
      </c>
      <c r="F42" s="306">
        <v>8.33</v>
      </c>
      <c r="G42" s="272">
        <v>8.33</v>
      </c>
      <c r="H42" s="306">
        <v>8.33</v>
      </c>
      <c r="I42" s="182">
        <v>8.33</v>
      </c>
      <c r="J42" s="182">
        <v>8.33</v>
      </c>
      <c r="K42" s="182">
        <v>8.33</v>
      </c>
      <c r="L42" s="182">
        <v>8.33</v>
      </c>
      <c r="M42" s="277">
        <v>8.33</v>
      </c>
      <c r="N42" s="277">
        <v>8.33</v>
      </c>
      <c r="O42" s="277">
        <v>8.33</v>
      </c>
      <c r="P42" s="277">
        <v>8.23</v>
      </c>
      <c r="Q42" s="182">
        <v>8.0299999999999994</v>
      </c>
      <c r="R42" s="182">
        <v>7.83</v>
      </c>
      <c r="S42" s="182">
        <v>7.5299999999999994</v>
      </c>
      <c r="T42" s="182">
        <v>7.18</v>
      </c>
      <c r="U42" s="182">
        <v>6.78</v>
      </c>
      <c r="V42" s="182">
        <v>6.33</v>
      </c>
      <c r="W42" s="182">
        <v>5.83</v>
      </c>
      <c r="X42" s="268"/>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191">
        <v>0.45</v>
      </c>
      <c r="B43" s="182">
        <v>8.1</v>
      </c>
      <c r="C43" s="182">
        <v>8.33</v>
      </c>
      <c r="D43" s="182">
        <v>8.33</v>
      </c>
      <c r="E43" s="182">
        <v>8.33</v>
      </c>
      <c r="F43" s="306">
        <v>8.33</v>
      </c>
      <c r="G43" s="272">
        <v>8.33</v>
      </c>
      <c r="H43" s="306">
        <v>8.33</v>
      </c>
      <c r="I43" s="182">
        <v>8.33</v>
      </c>
      <c r="J43" s="182">
        <v>8.33</v>
      </c>
      <c r="K43" s="182">
        <v>8.33</v>
      </c>
      <c r="L43" s="182">
        <v>8.33</v>
      </c>
      <c r="M43" s="277">
        <v>8.33</v>
      </c>
      <c r="N43" s="277">
        <v>8.33</v>
      </c>
      <c r="O43" s="277">
        <v>8.33</v>
      </c>
      <c r="P43" s="277">
        <v>8.25</v>
      </c>
      <c r="Q43" s="182">
        <v>8.0500000000000007</v>
      </c>
      <c r="R43" s="182">
        <v>7.85</v>
      </c>
      <c r="S43" s="182">
        <v>7.5500000000000007</v>
      </c>
      <c r="T43" s="182">
        <v>7.1999999999999993</v>
      </c>
      <c r="U43" s="182">
        <v>6.8</v>
      </c>
      <c r="V43" s="182">
        <v>6.35</v>
      </c>
      <c r="W43" s="182">
        <v>5.85</v>
      </c>
      <c r="X43" s="268"/>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191">
        <v>0.46</v>
      </c>
      <c r="B44" s="182">
        <v>8.11</v>
      </c>
      <c r="C44" s="182">
        <v>8.33</v>
      </c>
      <c r="D44" s="182">
        <v>8.33</v>
      </c>
      <c r="E44" s="182">
        <v>8.33</v>
      </c>
      <c r="F44" s="306">
        <v>8.33</v>
      </c>
      <c r="G44" s="272">
        <v>8.33</v>
      </c>
      <c r="H44" s="306">
        <v>8.33</v>
      </c>
      <c r="I44" s="182">
        <v>8.33</v>
      </c>
      <c r="J44" s="182">
        <v>8.33</v>
      </c>
      <c r="K44" s="182">
        <v>8.33</v>
      </c>
      <c r="L44" s="182">
        <v>8.33</v>
      </c>
      <c r="M44" s="277">
        <v>8.33</v>
      </c>
      <c r="N44" s="277">
        <v>8.33</v>
      </c>
      <c r="O44" s="277">
        <v>8.33</v>
      </c>
      <c r="P44" s="277">
        <v>8.26</v>
      </c>
      <c r="Q44" s="182">
        <v>8.06</v>
      </c>
      <c r="R44" s="182">
        <v>7.8599999999999994</v>
      </c>
      <c r="S44" s="182">
        <v>7.5600000000000005</v>
      </c>
      <c r="T44" s="182">
        <v>7.2100000000000009</v>
      </c>
      <c r="U44" s="182">
        <v>6.81</v>
      </c>
      <c r="V44" s="182">
        <v>6.36</v>
      </c>
      <c r="W44" s="182">
        <v>5.86</v>
      </c>
      <c r="X44" s="268"/>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191">
        <v>0.47</v>
      </c>
      <c r="B45" s="182">
        <v>8.1300000000000008</v>
      </c>
      <c r="C45" s="182">
        <v>8.33</v>
      </c>
      <c r="D45" s="182">
        <v>8.33</v>
      </c>
      <c r="E45" s="182">
        <v>8.33</v>
      </c>
      <c r="F45" s="306">
        <v>8.33</v>
      </c>
      <c r="G45" s="272">
        <v>8.33</v>
      </c>
      <c r="H45" s="306">
        <v>8.33</v>
      </c>
      <c r="I45" s="182">
        <v>8.33</v>
      </c>
      <c r="J45" s="182">
        <v>8.33</v>
      </c>
      <c r="K45" s="182">
        <v>8.33</v>
      </c>
      <c r="L45" s="182">
        <v>8.33</v>
      </c>
      <c r="M45" s="277">
        <v>8.33</v>
      </c>
      <c r="N45" s="277">
        <v>8.33</v>
      </c>
      <c r="O45" s="277">
        <v>8.33</v>
      </c>
      <c r="P45" s="277">
        <v>8.2799999999999994</v>
      </c>
      <c r="Q45" s="182">
        <v>8.08</v>
      </c>
      <c r="R45" s="182">
        <v>7.8800000000000008</v>
      </c>
      <c r="S45" s="182">
        <v>7.58</v>
      </c>
      <c r="T45" s="182">
        <v>7.23</v>
      </c>
      <c r="U45" s="182">
        <v>6.83</v>
      </c>
      <c r="V45" s="182">
        <v>6.38</v>
      </c>
      <c r="W45" s="182">
        <v>5.88</v>
      </c>
      <c r="X45" s="268"/>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191">
        <v>0.48</v>
      </c>
      <c r="B46" s="182">
        <v>8.15</v>
      </c>
      <c r="C46" s="182">
        <v>8.33</v>
      </c>
      <c r="D46" s="182">
        <v>8.33</v>
      </c>
      <c r="E46" s="182">
        <v>8.33</v>
      </c>
      <c r="F46" s="306">
        <v>8.33</v>
      </c>
      <c r="G46" s="272">
        <v>8.33</v>
      </c>
      <c r="H46" s="306">
        <v>8.33</v>
      </c>
      <c r="I46" s="182">
        <v>8.33</v>
      </c>
      <c r="J46" s="182">
        <v>8.33</v>
      </c>
      <c r="K46" s="182">
        <v>8.33</v>
      </c>
      <c r="L46" s="182">
        <v>8.33</v>
      </c>
      <c r="M46" s="277">
        <v>8.33</v>
      </c>
      <c r="N46" s="277">
        <v>8.33</v>
      </c>
      <c r="O46" s="277">
        <v>8.33</v>
      </c>
      <c r="P46" s="277">
        <v>8.3000000000000007</v>
      </c>
      <c r="Q46" s="182">
        <v>8.1</v>
      </c>
      <c r="R46" s="182">
        <v>7.9</v>
      </c>
      <c r="S46" s="182">
        <v>7.6</v>
      </c>
      <c r="T46" s="182">
        <v>7.25</v>
      </c>
      <c r="U46" s="182">
        <v>6.85</v>
      </c>
      <c r="V46" s="182">
        <v>6.4</v>
      </c>
      <c r="W46" s="182">
        <v>5.9</v>
      </c>
      <c r="X46" s="268"/>
    </row>
    <row r="47" spans="1:45" x14ac:dyDescent="0.25">
      <c r="A47" s="191">
        <v>0.49</v>
      </c>
      <c r="B47" s="182">
        <v>8.16</v>
      </c>
      <c r="C47" s="182">
        <v>8.33</v>
      </c>
      <c r="D47" s="182">
        <v>8.33</v>
      </c>
      <c r="E47" s="182">
        <v>8.33</v>
      </c>
      <c r="F47" s="306">
        <v>8.33</v>
      </c>
      <c r="G47" s="272">
        <v>8.33</v>
      </c>
      <c r="H47" s="306">
        <v>8.33</v>
      </c>
      <c r="I47" s="182">
        <v>8.33</v>
      </c>
      <c r="J47" s="182">
        <v>8.33</v>
      </c>
      <c r="K47" s="182">
        <v>8.33</v>
      </c>
      <c r="L47" s="182">
        <v>8.33</v>
      </c>
      <c r="M47" s="277">
        <v>8.33</v>
      </c>
      <c r="N47" s="277">
        <v>8.33</v>
      </c>
      <c r="O47" s="277">
        <v>8.33</v>
      </c>
      <c r="P47" s="277">
        <v>8.31</v>
      </c>
      <c r="Q47" s="182">
        <v>8.11</v>
      </c>
      <c r="R47" s="182">
        <v>7.91</v>
      </c>
      <c r="S47" s="182">
        <v>7.6099999999999994</v>
      </c>
      <c r="T47" s="182">
        <v>7.26</v>
      </c>
      <c r="U47" s="182">
        <v>6.86</v>
      </c>
      <c r="V47" s="182">
        <v>6.41</v>
      </c>
      <c r="W47" s="182">
        <v>5.91</v>
      </c>
      <c r="X47" s="268"/>
    </row>
    <row r="48" spans="1:45" x14ac:dyDescent="0.25">
      <c r="A48" s="191">
        <v>0.5</v>
      </c>
      <c r="B48" s="182">
        <v>8.18</v>
      </c>
      <c r="C48" s="182">
        <v>8.33</v>
      </c>
      <c r="D48" s="182">
        <v>8.33</v>
      </c>
      <c r="E48" s="182">
        <v>8.33</v>
      </c>
      <c r="F48" s="306">
        <v>8.33</v>
      </c>
      <c r="G48" s="272">
        <v>8.33</v>
      </c>
      <c r="H48" s="306">
        <v>8.33</v>
      </c>
      <c r="I48" s="182">
        <v>8.33</v>
      </c>
      <c r="J48" s="182">
        <v>8.33</v>
      </c>
      <c r="K48" s="182">
        <v>8.33</v>
      </c>
      <c r="L48" s="182">
        <v>8.33</v>
      </c>
      <c r="M48" s="277">
        <v>8.33</v>
      </c>
      <c r="N48" s="277">
        <v>8.33</v>
      </c>
      <c r="O48" s="277">
        <v>8.33</v>
      </c>
      <c r="P48" s="277">
        <v>8.33</v>
      </c>
      <c r="Q48" s="182">
        <v>8.1300000000000008</v>
      </c>
      <c r="R48" s="182">
        <v>7.93</v>
      </c>
      <c r="S48" s="182">
        <v>7.63</v>
      </c>
      <c r="T48" s="182">
        <v>7.2799999999999994</v>
      </c>
      <c r="U48" s="182">
        <v>6.88</v>
      </c>
      <c r="V48" s="182">
        <v>6.43</v>
      </c>
      <c r="W48" s="182">
        <v>5.93</v>
      </c>
      <c r="X48" s="268"/>
    </row>
    <row r="49" spans="1:24" x14ac:dyDescent="0.25">
      <c r="A49" s="158"/>
      <c r="B49" s="158"/>
      <c r="C49" s="158"/>
      <c r="D49" s="158"/>
      <c r="E49" s="158"/>
      <c r="F49" s="158"/>
    </row>
    <row r="50" spans="1:24" x14ac:dyDescent="0.25">
      <c r="A50" s="184" t="s">
        <v>220</v>
      </c>
      <c r="B50" s="158"/>
      <c r="C50" s="158"/>
      <c r="D50" s="158"/>
      <c r="E50" s="158"/>
      <c r="F50" s="158"/>
      <c r="G50" s="158"/>
      <c r="I50" s="158"/>
      <c r="J50" s="158"/>
      <c r="K50" s="158"/>
      <c r="L50" s="158"/>
      <c r="M50" s="158"/>
      <c r="N50" s="158"/>
      <c r="O50" s="158"/>
      <c r="P50" s="158"/>
      <c r="Q50" s="158"/>
      <c r="R50" s="158"/>
      <c r="S50" s="158"/>
      <c r="T50" s="158"/>
      <c r="U50" s="158"/>
      <c r="V50" s="158"/>
      <c r="W50" s="158"/>
      <c r="X50" s="270"/>
    </row>
    <row r="51" spans="1:24" x14ac:dyDescent="0.25">
      <c r="A51" s="184" t="s">
        <v>221</v>
      </c>
      <c r="B51" s="158"/>
      <c r="C51" s="158"/>
      <c r="D51" s="158"/>
      <c r="E51" s="158"/>
      <c r="F51" s="158"/>
      <c r="G51" s="158"/>
      <c r="I51" s="158"/>
      <c r="J51" s="158"/>
      <c r="K51" s="158"/>
      <c r="L51" s="158"/>
      <c r="M51" s="158"/>
      <c r="N51" s="158"/>
      <c r="O51" s="158"/>
      <c r="P51" s="158"/>
      <c r="Q51" s="158"/>
      <c r="R51" s="158"/>
      <c r="S51" s="158"/>
      <c r="T51" s="158"/>
      <c r="U51" s="158"/>
      <c r="V51" s="158"/>
      <c r="W51" s="158"/>
      <c r="X51" s="270"/>
    </row>
    <row r="52" spans="1:24" x14ac:dyDescent="0.25">
      <c r="A52" s="184" t="s">
        <v>222</v>
      </c>
      <c r="B52" s="158"/>
      <c r="C52" s="158"/>
      <c r="D52" s="158"/>
      <c r="E52" s="158"/>
      <c r="F52" s="158"/>
      <c r="G52" s="158"/>
      <c r="I52" s="158"/>
      <c r="J52" s="158"/>
      <c r="K52" s="158"/>
      <c r="L52" s="158"/>
      <c r="M52" s="158"/>
      <c r="N52" s="158"/>
      <c r="O52" s="158"/>
      <c r="P52" s="158"/>
      <c r="Q52" s="158"/>
      <c r="R52" s="158"/>
      <c r="S52" s="158"/>
      <c r="T52" s="158"/>
      <c r="U52" s="158"/>
      <c r="V52" s="158"/>
      <c r="W52" s="158"/>
      <c r="X52" s="270"/>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70"/>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70"/>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70"/>
    </row>
    <row r="56" spans="1:24" x14ac:dyDescent="0.25">
      <c r="A56" s="192" t="s">
        <v>223</v>
      </c>
      <c r="B56" s="158"/>
      <c r="C56" s="158"/>
      <c r="D56" s="158"/>
      <c r="E56" s="158"/>
      <c r="F56" s="158"/>
    </row>
    <row r="57" spans="1:24" x14ac:dyDescent="0.25">
      <c r="A57" s="158"/>
      <c r="B57" s="158"/>
      <c r="C57" s="158"/>
      <c r="D57" s="158"/>
      <c r="E57" s="158"/>
      <c r="F57" s="158"/>
    </row>
    <row r="58" spans="1:24" x14ac:dyDescent="0.25">
      <c r="A58" s="193" t="s">
        <v>61</v>
      </c>
      <c r="B58" s="193" t="s">
        <v>224</v>
      </c>
      <c r="C58" s="193" t="s">
        <v>225</v>
      </c>
      <c r="D58" s="193" t="s">
        <v>226</v>
      </c>
      <c r="E58" s="193" t="s">
        <v>227</v>
      </c>
      <c r="F58" s="193" t="s">
        <v>228</v>
      </c>
      <c r="H58" s="273" t="s">
        <v>229</v>
      </c>
    </row>
    <row r="59" spans="1:24" ht="23.25" x14ac:dyDescent="0.25">
      <c r="A59" s="194">
        <v>17</v>
      </c>
      <c r="B59" s="690" t="s">
        <v>230</v>
      </c>
      <c r="C59" s="195" t="s">
        <v>177</v>
      </c>
      <c r="D59" s="691" t="s">
        <v>231</v>
      </c>
      <c r="E59" s="691" t="s">
        <v>231</v>
      </c>
      <c r="F59" s="196" t="s">
        <v>232</v>
      </c>
      <c r="H59" s="274" t="s">
        <v>233</v>
      </c>
    </row>
    <row r="60" spans="1:24" ht="23.25" x14ac:dyDescent="0.25">
      <c r="A60" s="197">
        <v>18</v>
      </c>
      <c r="B60" s="690"/>
      <c r="C60" s="195" t="s">
        <v>234</v>
      </c>
      <c r="D60" s="691"/>
      <c r="E60" s="691"/>
      <c r="F60" s="196" t="s">
        <v>235</v>
      </c>
      <c r="H60" s="273" t="s">
        <v>236</v>
      </c>
    </row>
    <row r="61" spans="1:24" x14ac:dyDescent="0.25">
      <c r="A61" s="194">
        <v>19</v>
      </c>
      <c r="B61" s="690"/>
      <c r="C61" s="198"/>
      <c r="D61" s="691"/>
      <c r="E61" s="691"/>
      <c r="F61" s="199"/>
      <c r="H61" s="273" t="s">
        <v>237</v>
      </c>
      <c r="I61" s="158"/>
    </row>
    <row r="62" spans="1:24" ht="23.25" x14ac:dyDescent="0.25">
      <c r="A62" s="197">
        <v>20</v>
      </c>
      <c r="B62" s="690"/>
      <c r="C62" s="196" t="s">
        <v>231</v>
      </c>
      <c r="D62" s="692" t="s">
        <v>232</v>
      </c>
      <c r="E62" s="196" t="s">
        <v>232</v>
      </c>
      <c r="F62" s="199"/>
      <c r="H62" s="273" t="s">
        <v>238</v>
      </c>
    </row>
    <row r="63" spans="1:24" ht="23.25" x14ac:dyDescent="0.25">
      <c r="A63" s="194">
        <v>21</v>
      </c>
      <c r="B63" s="693" t="s">
        <v>177</v>
      </c>
      <c r="C63" s="196" t="s">
        <v>239</v>
      </c>
      <c r="D63" s="692"/>
      <c r="E63" s="196" t="s">
        <v>235</v>
      </c>
      <c r="F63" s="199"/>
      <c r="H63" s="273" t="s">
        <v>240</v>
      </c>
    </row>
    <row r="64" spans="1:24" x14ac:dyDescent="0.25">
      <c r="A64" s="197">
        <v>22</v>
      </c>
      <c r="B64" s="693"/>
      <c r="C64" s="199"/>
      <c r="D64" s="692"/>
      <c r="E64" s="199"/>
      <c r="F64" s="199"/>
      <c r="H64" s="273" t="s">
        <v>241</v>
      </c>
    </row>
    <row r="65" spans="1:8" x14ac:dyDescent="0.25">
      <c r="A65" s="194">
        <v>23</v>
      </c>
      <c r="B65" s="693"/>
      <c r="C65" s="199"/>
      <c r="D65" s="692"/>
      <c r="E65" s="199"/>
      <c r="F65" s="199"/>
    </row>
    <row r="66" spans="1:8" x14ac:dyDescent="0.25">
      <c r="A66" s="197">
        <v>24</v>
      </c>
      <c r="B66" s="693"/>
      <c r="C66" s="199"/>
      <c r="D66" s="692"/>
      <c r="E66" s="199"/>
      <c r="F66" s="199"/>
      <c r="H66" s="273" t="s">
        <v>242</v>
      </c>
    </row>
    <row r="67" spans="1:8" x14ac:dyDescent="0.25">
      <c r="A67" s="194">
        <v>25</v>
      </c>
      <c r="B67" s="693"/>
      <c r="C67" s="199"/>
      <c r="D67" s="691" t="s">
        <v>231</v>
      </c>
      <c r="E67" s="199"/>
      <c r="F67" s="199"/>
      <c r="H67" s="273" t="s">
        <v>243</v>
      </c>
    </row>
    <row r="68" spans="1:8" x14ac:dyDescent="0.25">
      <c r="A68" s="197">
        <v>26</v>
      </c>
      <c r="B68" s="693"/>
      <c r="C68" s="691" t="s">
        <v>231</v>
      </c>
      <c r="D68" s="691"/>
      <c r="E68" s="199"/>
      <c r="F68" s="199"/>
    </row>
    <row r="69" spans="1:8" x14ac:dyDescent="0.25">
      <c r="A69" s="194">
        <v>27</v>
      </c>
      <c r="B69" s="690" t="s">
        <v>230</v>
      </c>
      <c r="C69" s="691"/>
      <c r="D69" s="691"/>
      <c r="E69" s="199"/>
      <c r="F69" s="199"/>
    </row>
    <row r="70" spans="1:8" x14ac:dyDescent="0.25">
      <c r="A70" s="197">
        <v>28</v>
      </c>
      <c r="B70" s="690"/>
      <c r="C70" s="693" t="s">
        <v>177</v>
      </c>
      <c r="D70" s="691"/>
      <c r="E70" s="199"/>
      <c r="F70" s="199"/>
      <c r="H70" s="273" t="s">
        <v>244</v>
      </c>
    </row>
    <row r="71" spans="1:8" x14ac:dyDescent="0.25">
      <c r="A71" s="194">
        <v>29</v>
      </c>
      <c r="B71" s="690"/>
      <c r="C71" s="693"/>
      <c r="D71" s="691"/>
      <c r="E71" s="199"/>
      <c r="F71" s="199"/>
    </row>
    <row r="72" spans="1:8" x14ac:dyDescent="0.25">
      <c r="A72" s="197">
        <v>30</v>
      </c>
      <c r="B72" s="690"/>
      <c r="C72" s="693"/>
      <c r="D72" s="693" t="s">
        <v>177</v>
      </c>
      <c r="E72" s="199"/>
      <c r="F72" s="199"/>
      <c r="H72" s="273" t="s">
        <v>245</v>
      </c>
    </row>
    <row r="73" spans="1:8" x14ac:dyDescent="0.25">
      <c r="A73" s="194">
        <v>31</v>
      </c>
      <c r="B73" s="690"/>
      <c r="C73" s="693"/>
      <c r="D73" s="693"/>
      <c r="E73" s="196" t="s">
        <v>231</v>
      </c>
      <c r="F73" s="199"/>
    </row>
    <row r="74" spans="1:8" ht="23.25" x14ac:dyDescent="0.25">
      <c r="A74" s="197">
        <v>32</v>
      </c>
      <c r="B74" s="690"/>
      <c r="C74" s="693"/>
      <c r="D74" s="693"/>
      <c r="E74" s="196" t="s">
        <v>239</v>
      </c>
      <c r="F74" s="199"/>
      <c r="H74" s="273" t="s">
        <v>246</v>
      </c>
    </row>
    <row r="75" spans="1:8" ht="23.25" x14ac:dyDescent="0.25">
      <c r="A75" s="194">
        <v>33</v>
      </c>
      <c r="B75" s="690"/>
      <c r="C75" s="690" t="s">
        <v>230</v>
      </c>
      <c r="D75" s="693"/>
      <c r="E75" s="195" t="s">
        <v>177</v>
      </c>
      <c r="F75" s="195" t="s">
        <v>177</v>
      </c>
    </row>
    <row r="76" spans="1:8" x14ac:dyDescent="0.25">
      <c r="A76" s="197">
        <v>34</v>
      </c>
      <c r="B76" s="694" t="s">
        <v>247</v>
      </c>
      <c r="C76" s="690"/>
      <c r="D76" s="693"/>
      <c r="E76" s="195" t="s">
        <v>234</v>
      </c>
      <c r="F76" s="195" t="s">
        <v>234</v>
      </c>
      <c r="H76" s="273" t="s">
        <v>248</v>
      </c>
    </row>
    <row r="77" spans="1:8" x14ac:dyDescent="0.25">
      <c r="A77" s="194">
        <v>35</v>
      </c>
      <c r="B77" s="694"/>
      <c r="C77" s="694" t="s">
        <v>247</v>
      </c>
      <c r="D77" s="690" t="s">
        <v>230</v>
      </c>
      <c r="E77" s="690" t="s">
        <v>230</v>
      </c>
      <c r="F77" s="198"/>
    </row>
    <row r="78" spans="1:8" ht="23.25" x14ac:dyDescent="0.25">
      <c r="A78" s="197">
        <v>36</v>
      </c>
      <c r="B78" s="694"/>
      <c r="C78" s="694"/>
      <c r="D78" s="690"/>
      <c r="E78" s="690"/>
      <c r="F78" s="200" t="s">
        <v>230</v>
      </c>
      <c r="H78" s="273" t="s">
        <v>249</v>
      </c>
    </row>
    <row r="79" spans="1:8" x14ac:dyDescent="0.25">
      <c r="A79" s="689" t="s">
        <v>250</v>
      </c>
      <c r="B79" s="689"/>
      <c r="C79" s="689"/>
      <c r="D79" s="689"/>
      <c r="E79" s="689"/>
      <c r="F79" s="689"/>
    </row>
    <row r="80" spans="1:8" x14ac:dyDescent="0.25">
      <c r="A80" s="158"/>
      <c r="B80" s="158"/>
      <c r="C80" s="158"/>
      <c r="D80" s="158"/>
      <c r="E80" s="158"/>
      <c r="F80" s="158"/>
      <c r="H80" s="273" t="s">
        <v>251</v>
      </c>
    </row>
    <row r="81" spans="1:24" x14ac:dyDescent="0.25">
      <c r="A81" s="158"/>
      <c r="B81" s="158"/>
      <c r="C81" s="158"/>
      <c r="D81" s="158"/>
      <c r="E81" s="158"/>
      <c r="F81" s="158"/>
    </row>
    <row r="82" spans="1:24" x14ac:dyDescent="0.25">
      <c r="A82" s="158"/>
      <c r="B82" s="158"/>
      <c r="C82" s="158"/>
      <c r="D82" s="158"/>
      <c r="E82" s="158"/>
      <c r="F82" s="158"/>
      <c r="H82" s="273" t="s">
        <v>427</v>
      </c>
    </row>
    <row r="83" spans="1:24" x14ac:dyDescent="0.25">
      <c r="A83" s="158"/>
      <c r="B83" s="158"/>
      <c r="C83" s="158"/>
      <c r="D83" s="158"/>
      <c r="E83" s="158"/>
      <c r="F83" s="158"/>
    </row>
    <row r="84" spans="1:24" x14ac:dyDescent="0.25">
      <c r="A84" t="s">
        <v>252</v>
      </c>
      <c r="B84" s="158"/>
      <c r="C84" s="158"/>
      <c r="D84" s="158"/>
      <c r="E84" s="158"/>
      <c r="F84" s="158"/>
    </row>
    <row r="85" spans="1:24" x14ac:dyDescent="0.25">
      <c r="A85" t="s">
        <v>253</v>
      </c>
      <c r="B85" s="158"/>
      <c r="C85" s="158"/>
      <c r="D85" s="158"/>
      <c r="E85" s="158"/>
      <c r="F85" s="158"/>
    </row>
    <row r="86" spans="1:24" x14ac:dyDescent="0.25">
      <c r="A86" s="158" t="s">
        <v>254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70"/>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70"/>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70"/>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70"/>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70"/>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70"/>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70"/>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70"/>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70"/>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70"/>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70"/>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70"/>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70"/>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70"/>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70"/>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70"/>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70"/>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70"/>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70"/>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70"/>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70"/>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70"/>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70"/>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70"/>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70"/>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70"/>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70"/>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70"/>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70"/>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70"/>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70"/>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70"/>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70"/>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70"/>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70"/>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70"/>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70"/>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70"/>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70" priority="3" operator="greaterThan">
      <formula>6.99</formula>
    </cfRule>
    <cfRule type="cellIs" dxfId="369"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68</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207</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69</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70</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71</v>
      </c>
      <c r="B6" s="67" t="s">
        <v>71</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71</v>
      </c>
      <c r="AA6" s="71">
        <f>C6/$C$13</f>
        <v>0.44858559807979714</v>
      </c>
    </row>
    <row r="7" spans="1:27" x14ac:dyDescent="0.25">
      <c r="A7" s="67" t="s">
        <v>72</v>
      </c>
      <c r="B7" s="67" t="s">
        <v>72</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72</v>
      </c>
      <c r="AA7" s="71">
        <f t="shared" ref="AA7:AA12" si="5">C7/$C$13</f>
        <v>0.4165363649714488</v>
      </c>
    </row>
    <row r="8" spans="1:27" x14ac:dyDescent="0.25">
      <c r="A8" s="67" t="s">
        <v>73</v>
      </c>
      <c r="B8" s="67" t="s">
        <v>74</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74</v>
      </c>
      <c r="AA8" s="71">
        <f t="shared" si="5"/>
        <v>0</v>
      </c>
    </row>
    <row r="9" spans="1:27" x14ac:dyDescent="0.25">
      <c r="A9" s="67"/>
      <c r="B9" s="67" t="s">
        <v>75</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75</v>
      </c>
      <c r="AA9" s="71">
        <f t="shared" si="5"/>
        <v>0</v>
      </c>
    </row>
    <row r="10" spans="1:27" x14ac:dyDescent="0.25">
      <c r="A10" s="67" t="s">
        <v>76</v>
      </c>
      <c r="B10" s="67" t="s">
        <v>76</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76</v>
      </c>
      <c r="AA10" s="71">
        <f t="shared" si="5"/>
        <v>0</v>
      </c>
    </row>
    <row r="11" spans="1:27" x14ac:dyDescent="0.25">
      <c r="A11" s="712" t="s">
        <v>77</v>
      </c>
      <c r="B11" s="67" t="s">
        <v>78</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78</v>
      </c>
      <c r="AA11" s="71">
        <f t="shared" si="5"/>
        <v>2.5896423608872964E-2</v>
      </c>
    </row>
    <row r="12" spans="1:27" x14ac:dyDescent="0.25">
      <c r="A12" s="713"/>
      <c r="B12" s="67" t="s">
        <v>79</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79</v>
      </c>
      <c r="AA12" s="71">
        <f t="shared" si="5"/>
        <v>0.10898161333988109</v>
      </c>
    </row>
    <row r="13" spans="1:27" s="78" customFormat="1" ht="18.75" x14ac:dyDescent="0.3">
      <c r="A13" s="73" t="s">
        <v>80</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81</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14">
        <f>C13</f>
        <v>1504841</v>
      </c>
      <c r="AA14" s="715"/>
    </row>
    <row r="15" spans="1:27" x14ac:dyDescent="0.25">
      <c r="A15" s="80" t="s">
        <v>82</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83</v>
      </c>
      <c r="B16" s="81" t="s">
        <v>84</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85</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86</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87</v>
      </c>
      <c r="B19" s="81" t="s">
        <v>88</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77</v>
      </c>
      <c r="B20" s="81" t="s">
        <v>67</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89</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90</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91</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81</v>
      </c>
      <c r="AA23" s="91">
        <f>C14/$C$23</f>
        <v>6.6625073771182874E-2</v>
      </c>
    </row>
    <row r="24" spans="1:27" s="66" customFormat="1" ht="18.75" x14ac:dyDescent="0.3">
      <c r="A24" s="92" t="s">
        <v>92</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82</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84</v>
      </c>
      <c r="AA25" s="91">
        <f t="shared" si="16"/>
        <v>0.26746142821010033</v>
      </c>
    </row>
    <row r="26" spans="1:27" s="53" customFormat="1" x14ac:dyDescent="0.25">
      <c r="A26" s="716" t="s">
        <v>93</v>
      </c>
      <c r="B26" s="716"/>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85</v>
      </c>
      <c r="AA26" s="91">
        <f t="shared" si="16"/>
        <v>0.16389849085237332</v>
      </c>
    </row>
    <row r="27" spans="1:27" s="53" customFormat="1" x14ac:dyDescent="0.25">
      <c r="A27" s="717" t="s">
        <v>94</v>
      </c>
      <c r="B27" s="717"/>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86</v>
      </c>
      <c r="AA27" s="91">
        <f t="shared" si="16"/>
        <v>0.2225781974538403</v>
      </c>
    </row>
    <row r="28" spans="1:27" x14ac:dyDescent="0.25">
      <c r="A28" s="718" t="s">
        <v>95</v>
      </c>
      <c r="B28" s="718"/>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88</v>
      </c>
      <c r="AA28" s="91">
        <f t="shared" si="16"/>
        <v>0</v>
      </c>
    </row>
    <row r="29" spans="1:27" x14ac:dyDescent="0.25">
      <c r="A29" s="716" t="s">
        <v>96</v>
      </c>
      <c r="B29" s="716"/>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67</v>
      </c>
      <c r="AA29" s="91">
        <f t="shared" si="16"/>
        <v>0.18123261107832392</v>
      </c>
    </row>
    <row r="30" spans="1:27" s="59" customFormat="1" x14ac:dyDescent="0.25">
      <c r="A30" s="717" t="s">
        <v>97</v>
      </c>
      <c r="B30" s="717"/>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89</v>
      </c>
      <c r="AA30" s="91">
        <f t="shared" si="16"/>
        <v>1.7536464041817721E-2</v>
      </c>
    </row>
    <row r="31" spans="1:27" s="59" customFormat="1" x14ac:dyDescent="0.25">
      <c r="A31" s="718" t="s">
        <v>98</v>
      </c>
      <c r="B31" s="718"/>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90</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19" t="s">
        <v>259</v>
      </c>
      <c r="C33" s="173" t="s">
        <v>181</v>
      </c>
      <c r="D33" s="174">
        <v>8580</v>
      </c>
      <c r="E33" s="174">
        <v>9420</v>
      </c>
      <c r="F33" s="174">
        <v>9970</v>
      </c>
      <c r="G33" s="174">
        <v>10310</v>
      </c>
      <c r="H33" s="174">
        <v>10460</v>
      </c>
      <c r="I33" s="174">
        <v>10440</v>
      </c>
      <c r="J33" s="174">
        <v>10440</v>
      </c>
      <c r="K33" s="174">
        <v>10400</v>
      </c>
      <c r="L33" s="174">
        <v>11130</v>
      </c>
      <c r="M33" s="174">
        <v>11879</v>
      </c>
      <c r="N33" s="174">
        <v>16760</v>
      </c>
      <c r="O33" s="174">
        <v>17260</v>
      </c>
      <c r="P33" s="174">
        <v>17010</v>
      </c>
      <c r="Q33" s="174">
        <v>20460</v>
      </c>
      <c r="R33" s="174">
        <v>22420</v>
      </c>
      <c r="S33" s="171"/>
      <c r="T33" s="174"/>
      <c r="Z33" s="709">
        <f>C23</f>
        <v>1482625</v>
      </c>
      <c r="AA33" s="710"/>
    </row>
    <row r="34" spans="1:27" x14ac:dyDescent="0.25">
      <c r="A34" s="57"/>
      <c r="B34" s="719"/>
      <c r="C34" s="173" t="s">
        <v>104</v>
      </c>
      <c r="D34" s="174">
        <v>5710</v>
      </c>
      <c r="E34" s="174">
        <f t="shared" ref="E34:H34" si="24">D34</f>
        <v>5710</v>
      </c>
      <c r="F34" s="174">
        <f t="shared" si="24"/>
        <v>5710</v>
      </c>
      <c r="G34" s="174">
        <f t="shared" si="24"/>
        <v>5710</v>
      </c>
      <c r="H34" s="174">
        <f t="shared" si="24"/>
        <v>5710</v>
      </c>
      <c r="I34" s="174">
        <v>5710</v>
      </c>
      <c r="J34" s="174">
        <v>5710</v>
      </c>
      <c r="K34" s="174">
        <v>5710</v>
      </c>
      <c r="L34" s="174">
        <v>5710</v>
      </c>
      <c r="M34" s="174">
        <v>5710</v>
      </c>
      <c r="N34" s="174">
        <v>5710</v>
      </c>
      <c r="O34" s="174">
        <v>5710</v>
      </c>
      <c r="P34" s="174">
        <v>5710</v>
      </c>
      <c r="Q34" s="174">
        <v>5710</v>
      </c>
      <c r="R34" s="174">
        <v>7130</v>
      </c>
      <c r="S34" s="171"/>
      <c r="T34" s="174"/>
    </row>
    <row r="35" spans="1:27" x14ac:dyDescent="0.25">
      <c r="A35" s="57"/>
      <c r="B35" s="719"/>
      <c r="C35" s="173" t="s">
        <v>61</v>
      </c>
      <c r="D35" s="175" t="s">
        <v>258</v>
      </c>
      <c r="E35" s="175" t="s">
        <v>256</v>
      </c>
      <c r="F35" s="175" t="s">
        <v>255</v>
      </c>
      <c r="G35" s="175" t="s">
        <v>260</v>
      </c>
      <c r="H35" s="175" t="s">
        <v>263</v>
      </c>
      <c r="I35" s="175" t="s">
        <v>277</v>
      </c>
      <c r="J35" s="175" t="s">
        <v>278</v>
      </c>
      <c r="K35" s="175" t="s">
        <v>279</v>
      </c>
      <c r="L35" s="175" t="s">
        <v>280</v>
      </c>
      <c r="M35" s="175" t="s">
        <v>281</v>
      </c>
      <c r="N35" s="175" t="s">
        <v>282</v>
      </c>
      <c r="O35" s="175" t="s">
        <v>283</v>
      </c>
      <c r="P35" s="175" t="s">
        <v>284</v>
      </c>
      <c r="Q35" s="175" t="s">
        <v>286</v>
      </c>
      <c r="R35" s="175" t="s">
        <v>290</v>
      </c>
      <c r="S35" s="170"/>
      <c r="T35" s="175"/>
    </row>
    <row r="36" spans="1:27" x14ac:dyDescent="0.25">
      <c r="A36" s="57"/>
      <c r="B36" s="719"/>
      <c r="C36" s="173" t="s">
        <v>210</v>
      </c>
      <c r="D36" s="176">
        <v>3.23</v>
      </c>
      <c r="E36" s="176">
        <v>3.5</v>
      </c>
      <c r="F36" s="176">
        <v>3.5</v>
      </c>
      <c r="G36" s="176">
        <v>3.5</v>
      </c>
      <c r="H36" s="176">
        <f t="shared" ref="H36" si="25">G36</f>
        <v>3.5</v>
      </c>
      <c r="I36" s="176">
        <v>3.5</v>
      </c>
      <c r="J36" s="176">
        <v>3.5</v>
      </c>
      <c r="K36" s="176">
        <v>3.5</v>
      </c>
      <c r="L36" s="176">
        <v>3.25</v>
      </c>
      <c r="M36" s="176">
        <v>3.25</v>
      </c>
      <c r="N36" s="176">
        <v>3.25</v>
      </c>
      <c r="O36" s="176">
        <v>3</v>
      </c>
      <c r="P36" s="176">
        <v>3</v>
      </c>
      <c r="Q36" s="176">
        <v>3</v>
      </c>
      <c r="R36" s="176">
        <v>3</v>
      </c>
      <c r="S36" s="172"/>
      <c r="T36" s="176"/>
    </row>
    <row r="37" spans="1:27" x14ac:dyDescent="0.25">
      <c r="B37" s="719"/>
      <c r="C37" s="173" t="s">
        <v>211</v>
      </c>
      <c r="D37" s="176">
        <v>3</v>
      </c>
      <c r="E37" s="176">
        <v>4</v>
      </c>
      <c r="F37" s="176">
        <v>4.5</v>
      </c>
      <c r="G37" s="176">
        <v>5</v>
      </c>
      <c r="H37" s="176">
        <f t="shared" ref="H37" si="26">G37</f>
        <v>5</v>
      </c>
      <c r="I37" s="176">
        <v>5.5</v>
      </c>
      <c r="J37" s="176">
        <v>5.5</v>
      </c>
      <c r="K37" s="176">
        <v>5.5</v>
      </c>
      <c r="L37" s="176">
        <v>5.25</v>
      </c>
      <c r="M37" s="176">
        <v>5.25</v>
      </c>
      <c r="N37" s="176">
        <v>5</v>
      </c>
      <c r="O37" s="176">
        <v>5</v>
      </c>
      <c r="P37" s="176">
        <v>5</v>
      </c>
      <c r="Q37" s="176">
        <v>5.5</v>
      </c>
      <c r="R37" s="176">
        <v>5.5</v>
      </c>
      <c r="S37" s="172"/>
      <c r="T37" s="176"/>
    </row>
    <row r="38" spans="1:27" x14ac:dyDescent="0.25">
      <c r="B38" s="719"/>
      <c r="C38" s="173" t="s">
        <v>257</v>
      </c>
      <c r="D38" s="176">
        <v>1.5</v>
      </c>
      <c r="E38" s="176">
        <v>1.5</v>
      </c>
      <c r="F38" s="176">
        <v>1.5</v>
      </c>
      <c r="G38" s="176">
        <v>1.752</v>
      </c>
      <c r="H38" s="176">
        <f t="shared" ref="H38" si="27">G38</f>
        <v>1.752</v>
      </c>
      <c r="I38" s="176">
        <v>1.75</v>
      </c>
      <c r="J38" s="176">
        <v>1.75</v>
      </c>
      <c r="K38" s="176">
        <v>1.75</v>
      </c>
      <c r="L38" s="176">
        <v>1.75</v>
      </c>
      <c r="M38" s="176">
        <v>1.75</v>
      </c>
      <c r="N38" s="176">
        <v>1.75</v>
      </c>
      <c r="O38" s="176">
        <v>1.75</v>
      </c>
      <c r="P38" s="176">
        <v>1.75</v>
      </c>
      <c r="Q38" s="176">
        <v>2</v>
      </c>
      <c r="R38" s="176">
        <v>2</v>
      </c>
      <c r="S38" s="172"/>
      <c r="T38" s="176"/>
    </row>
    <row r="39" spans="1:27" ht="15" customHeight="1" x14ac:dyDescent="0.25">
      <c r="H39" s="103"/>
      <c r="I39" s="104"/>
      <c r="J39"/>
      <c r="K39"/>
    </row>
    <row r="40" spans="1:27" ht="15" customHeight="1" x14ac:dyDescent="0.25">
      <c r="H40" s="711"/>
      <c r="I40" s="711"/>
      <c r="J40" s="711"/>
      <c r="K40" s="711"/>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20"/>
      <c r="I49" s="720"/>
      <c r="J49" s="720"/>
      <c r="K49" s="720"/>
    </row>
    <row r="50" spans="8:11" x14ac:dyDescent="0.25">
      <c r="H50" s="103"/>
      <c r="I50" s="103"/>
      <c r="J50" s="103"/>
      <c r="K50" s="103"/>
    </row>
    <row r="51" spans="8:11" x14ac:dyDescent="0.25">
      <c r="H51" s="720"/>
      <c r="I51" s="720"/>
      <c r="J51" s="720"/>
      <c r="K51" s="720"/>
    </row>
    <row r="52" spans="8:11" ht="15" customHeight="1" x14ac:dyDescent="0.25">
      <c r="H52" s="720"/>
      <c r="I52" s="720"/>
      <c r="J52" s="720"/>
      <c r="K52" s="105"/>
    </row>
  </sheetData>
  <mergeCells count="15">
    <mergeCell ref="H49:K49"/>
    <mergeCell ref="H51:K51"/>
    <mergeCell ref="H52:J52"/>
    <mergeCell ref="A30:B30"/>
    <mergeCell ref="A31:B31"/>
    <mergeCell ref="Z33:AA33"/>
    <mergeCell ref="H40:I40"/>
    <mergeCell ref="J40:K40"/>
    <mergeCell ref="A11:A12"/>
    <mergeCell ref="Z14:AA14"/>
    <mergeCell ref="A26:B26"/>
    <mergeCell ref="A27:B27"/>
    <mergeCell ref="A28:B28"/>
    <mergeCell ref="A29:B29"/>
    <mergeCell ref="B33:B38"/>
  </mergeCells>
  <pageMargins left="0.7" right="0.7" top="0.75" bottom="0.75" header="0.3" footer="0.3"/>
  <pageSetup paperSize="9" orientation="portrait" horizontalDpi="200" verticalDpi="2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21" t="s">
        <v>208</v>
      </c>
      <c r="C2" s="722"/>
      <c r="D2" s="722"/>
      <c r="E2" s="722"/>
      <c r="F2" s="722"/>
      <c r="G2" s="723"/>
      <c r="I2" s="724" t="s">
        <v>101</v>
      </c>
      <c r="J2" s="724"/>
      <c r="K2" s="724"/>
      <c r="L2" s="724"/>
      <c r="M2" s="724"/>
      <c r="N2" s="724"/>
      <c r="O2" s="724"/>
      <c r="P2" s="724"/>
      <c r="Q2" s="724"/>
      <c r="R2" s="724"/>
      <c r="S2" s="724"/>
      <c r="T2" s="724"/>
    </row>
    <row r="3" spans="2:20" x14ac:dyDescent="0.25">
      <c r="B3" s="725" t="s">
        <v>102</v>
      </c>
      <c r="C3" s="726"/>
      <c r="D3" s="726"/>
      <c r="E3" s="726"/>
      <c r="F3" s="726"/>
      <c r="G3" s="727"/>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8" t="s">
        <v>113</v>
      </c>
      <c r="C4" s="729"/>
      <c r="D4" s="109"/>
      <c r="E4" s="730" t="s">
        <v>114</v>
      </c>
      <c r="F4" s="729"/>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665245</v>
      </c>
      <c r="D6" s="140">
        <f>C6/$C$34</f>
        <v>0.2669198997553266</v>
      </c>
      <c r="E6" s="116" t="s">
        <v>117</v>
      </c>
      <c r="F6" s="117">
        <f>F7+F8+F9</f>
        <v>300000</v>
      </c>
      <c r="G6" s="118">
        <f>F6/$F$34</f>
        <v>0.12037064529097999</v>
      </c>
      <c r="I6" s="169" t="s">
        <v>120</v>
      </c>
      <c r="J6" s="110" t="s">
        <v>200</v>
      </c>
      <c r="K6" s="111">
        <v>0</v>
      </c>
      <c r="L6" s="111">
        <v>0</v>
      </c>
      <c r="M6" s="111">
        <v>0</v>
      </c>
      <c r="N6" s="111">
        <v>0</v>
      </c>
      <c r="O6" s="111">
        <f t="shared" si="0"/>
        <v>0</v>
      </c>
      <c r="P6" s="111">
        <f t="shared" si="1"/>
        <v>0</v>
      </c>
      <c r="Q6" s="168"/>
      <c r="R6" s="112">
        <v>41400</v>
      </c>
      <c r="S6" s="112"/>
      <c r="T6" s="168"/>
    </row>
    <row r="7" spans="2:20" x14ac:dyDescent="0.25">
      <c r="B7" s="119" t="s">
        <v>84</v>
      </c>
      <c r="C7" s="120">
        <f>EconomiaT40!C16</f>
        <v>396545</v>
      </c>
      <c r="D7" s="202">
        <f>C7/$C$34</f>
        <v>0.15910792512303887</v>
      </c>
      <c r="E7" s="203" t="s">
        <v>118</v>
      </c>
      <c r="F7" s="204">
        <f>EconomiaT40!C5</f>
        <v>300000</v>
      </c>
      <c r="G7" s="121">
        <f>F7/$F$34</f>
        <v>0.12037064529097999</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EconomiaT40!C20</f>
        <v>268700</v>
      </c>
      <c r="D8" s="202">
        <f>C8/$C$34</f>
        <v>0.10781197463228774</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262</v>
      </c>
      <c r="F9" s="204">
        <v>0</v>
      </c>
      <c r="G9" s="121">
        <f>F9/$F$34</f>
        <v>0</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0</v>
      </c>
      <c r="D11" s="140">
        <f>C11/$C$34</f>
        <v>0</v>
      </c>
      <c r="E11" s="116" t="s">
        <v>107</v>
      </c>
      <c r="F11" s="117">
        <f>SUM(F12:F17)+C9</f>
        <v>709677</v>
      </c>
      <c r="G11" s="118">
        <f t="shared" ref="G11:G17" si="2">F11/$F$34</f>
        <v>0.28474759479388934</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0</v>
      </c>
      <c r="D13" s="202">
        <f>C13/$C$34</f>
        <v>0</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0</v>
      </c>
      <c r="G15" s="121">
        <f t="shared" si="2"/>
        <v>0</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'A-P_T40'!C9+C22-F27+EconomiaT40!C24-EconomiaT40!C5</f>
        <v>709677</v>
      </c>
      <c r="G17" s="121">
        <f t="shared" si="2"/>
        <v>0.28474759479388934</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0</v>
      </c>
      <c r="D18" s="202">
        <f>C18/$C$34</f>
        <v>0</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0</v>
      </c>
      <c r="D19" s="202">
        <f>C19/$C$34</f>
        <v>0</v>
      </c>
      <c r="E19" s="116" t="s">
        <v>129</v>
      </c>
      <c r="F19" s="134">
        <f>F20+F21</f>
        <v>0</v>
      </c>
      <c r="G19" s="118">
        <f>F19/$F$34</f>
        <v>0</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EconomiaT40!C19</f>
        <v>0</v>
      </c>
      <c r="G20" s="121">
        <f>F20/$F$34</f>
        <v>0</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0</v>
      </c>
      <c r="G21" s="121">
        <f>F21/$F$34</f>
        <v>0</v>
      </c>
      <c r="I21" s="17"/>
      <c r="J21" s="108"/>
      <c r="K21" s="126"/>
      <c r="L21" s="126"/>
      <c r="M21" s="126"/>
      <c r="N21" s="126"/>
      <c r="O21" s="126"/>
      <c r="P21" s="126"/>
      <c r="Q21" s="127"/>
      <c r="R21" s="128"/>
      <c r="S21" s="128"/>
      <c r="T21" s="127"/>
    </row>
    <row r="22" spans="2:20" x14ac:dyDescent="0.25">
      <c r="B22" s="116" t="s">
        <v>131</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7"/>
    </row>
    <row r="23" spans="2:20" x14ac:dyDescent="0.25">
      <c r="B23" s="138" t="s">
        <v>69</v>
      </c>
      <c r="C23" s="139">
        <f>EconomiaT40!C11</f>
        <v>38970</v>
      </c>
      <c r="D23" s="202">
        <f t="shared" si="3"/>
        <v>1.5636146823298301E-2</v>
      </c>
      <c r="E23" s="116" t="s">
        <v>264</v>
      </c>
      <c r="F23" s="117">
        <f>SUM(F24:F25)</f>
        <v>665245</v>
      </c>
      <c r="G23" s="118">
        <f>F23/$F$34</f>
        <v>0.2669198997553266</v>
      </c>
      <c r="I23" s="17"/>
      <c r="J23" s="108"/>
      <c r="K23" s="126"/>
      <c r="L23" s="126"/>
      <c r="M23" s="126"/>
      <c r="N23" s="126"/>
      <c r="O23" s="126"/>
      <c r="P23" s="126"/>
      <c r="Q23" s="127"/>
      <c r="R23" s="128"/>
      <c r="S23" s="128"/>
      <c r="T23" s="167"/>
    </row>
    <row r="24" spans="2:20" x14ac:dyDescent="0.25">
      <c r="B24" s="138" t="s">
        <v>79</v>
      </c>
      <c r="C24" s="139">
        <f>EconomiaT40!C12</f>
        <v>164000</v>
      </c>
      <c r="D24" s="202">
        <f t="shared" si="3"/>
        <v>6.5802619425735731E-2</v>
      </c>
      <c r="E24" s="206" t="s">
        <v>84</v>
      </c>
      <c r="F24" s="209">
        <f>EconomiaT40!C16</f>
        <v>396545</v>
      </c>
      <c r="G24" s="121">
        <f>F24/$F$34</f>
        <v>0.15910792512303887</v>
      </c>
      <c r="I24" s="17"/>
      <c r="J24" s="108"/>
      <c r="K24" s="126"/>
      <c r="L24" s="126"/>
      <c r="M24" s="126"/>
      <c r="N24" s="126"/>
      <c r="O24" s="126"/>
      <c r="P24" s="126"/>
      <c r="Q24" s="127"/>
      <c r="R24" s="128"/>
      <c r="S24" s="128"/>
      <c r="T24" s="167"/>
    </row>
    <row r="25" spans="2:20" x14ac:dyDescent="0.25">
      <c r="B25" s="138" t="s">
        <v>71</v>
      </c>
      <c r="C25" s="139">
        <f>EconomiaT40!C6</f>
        <v>675050</v>
      </c>
      <c r="D25" s="202">
        <f t="shared" si="3"/>
        <v>0.27085401367892015</v>
      </c>
      <c r="E25" s="206" t="s">
        <v>67</v>
      </c>
      <c r="F25" s="209">
        <f>EconomiaT40!C20</f>
        <v>268700</v>
      </c>
      <c r="G25" s="121">
        <f>F25/$F$34</f>
        <v>0.10781197463228774</v>
      </c>
      <c r="I25" s="17"/>
      <c r="J25" s="108"/>
      <c r="K25" s="126"/>
      <c r="L25" s="126"/>
      <c r="M25" s="126"/>
      <c r="N25" s="126"/>
      <c r="O25" s="126"/>
      <c r="P25" s="126"/>
      <c r="Q25" s="127"/>
      <c r="R25" s="128"/>
      <c r="S25" s="128"/>
      <c r="T25" s="167"/>
    </row>
    <row r="26" spans="2:20" x14ac:dyDescent="0.25">
      <c r="B26" s="138" t="s">
        <v>72</v>
      </c>
      <c r="C26" s="139">
        <f>EconomiaT40!C7</f>
        <v>626821</v>
      </c>
      <c r="D26" s="202">
        <f t="shared" si="3"/>
        <v>0.25150282750645786</v>
      </c>
      <c r="E26" s="116"/>
      <c r="F26" s="117"/>
      <c r="G26" s="118"/>
      <c r="I26" s="17"/>
      <c r="J26" s="108"/>
      <c r="K26" s="126"/>
      <c r="L26" s="126"/>
      <c r="M26" s="126"/>
      <c r="N26" s="126"/>
      <c r="O26" s="126"/>
      <c r="P26" s="126"/>
      <c r="Q26" s="127"/>
      <c r="R26" s="128"/>
      <c r="S26" s="128"/>
      <c r="T26" s="127"/>
    </row>
    <row r="27" spans="2:20" x14ac:dyDescent="0.25">
      <c r="B27" s="138" t="s">
        <v>76</v>
      </c>
      <c r="C27" s="139">
        <f>EconomiaT40!C10</f>
        <v>0</v>
      </c>
      <c r="D27" s="202">
        <f t="shared" si="3"/>
        <v>0</v>
      </c>
      <c r="E27" s="116" t="s">
        <v>265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06" t="s">
        <v>132</v>
      </c>
      <c r="F28" s="209">
        <f>EconomiaT40!C14</f>
        <v>98780</v>
      </c>
      <c r="G28" s="121">
        <f t="shared" si="4"/>
        <v>3.9634041139476675E-2</v>
      </c>
      <c r="I28" s="17"/>
      <c r="J28" s="181"/>
      <c r="K28" s="126"/>
      <c r="L28" s="126"/>
      <c r="M28" s="126"/>
      <c r="N28" s="126"/>
      <c r="O28" s="126"/>
      <c r="P28" s="126"/>
      <c r="Q28" s="127"/>
      <c r="R28" s="128"/>
      <c r="S28" s="128"/>
      <c r="T28" s="127"/>
    </row>
    <row r="29" spans="2:20" x14ac:dyDescent="0.25">
      <c r="B29" s="116" t="s">
        <v>133</v>
      </c>
      <c r="C29" s="117">
        <f>EconomiaT40!T24</f>
        <v>322216</v>
      </c>
      <c r="D29" s="140">
        <f>C29/$C$34</f>
        <v>0.12928449281026136</v>
      </c>
      <c r="E29" s="206" t="s">
        <v>82</v>
      </c>
      <c r="F29" s="209">
        <f>EconomiaT40!C15</f>
        <v>119600</v>
      </c>
      <c r="G29" s="121">
        <f t="shared" si="4"/>
        <v>4.7987763922670686E-2</v>
      </c>
      <c r="I29" s="17"/>
      <c r="J29" s="108"/>
      <c r="K29" s="126"/>
      <c r="L29" s="126"/>
      <c r="M29" s="126"/>
      <c r="N29" s="126"/>
      <c r="O29" s="126"/>
      <c r="P29" s="126"/>
      <c r="Q29" s="127"/>
      <c r="R29" s="128"/>
      <c r="S29" s="128"/>
      <c r="T29" s="167"/>
    </row>
    <row r="30" spans="2:20" x14ac:dyDescent="0.25">
      <c r="B30" s="116"/>
      <c r="C30" s="117"/>
      <c r="D30" s="140"/>
      <c r="E30" s="206" t="s">
        <v>85</v>
      </c>
      <c r="F30" s="209">
        <f>EconomiaT40!C17</f>
        <v>243000</v>
      </c>
      <c r="G30" s="121">
        <f t="shared" si="4"/>
        <v>9.7500222685693791E-2</v>
      </c>
      <c r="I30" s="17"/>
      <c r="J30" s="108"/>
      <c r="K30" s="126"/>
      <c r="L30" s="126"/>
      <c r="M30" s="126"/>
      <c r="N30" s="126"/>
      <c r="O30" s="126"/>
      <c r="P30" s="126"/>
      <c r="Q30" s="127"/>
      <c r="R30" s="128"/>
      <c r="S30" s="128"/>
      <c r="T30" s="167"/>
    </row>
    <row r="31" spans="2:20" x14ac:dyDescent="0.25">
      <c r="B31" s="116"/>
      <c r="C31" s="117"/>
      <c r="D31" s="140"/>
      <c r="E31" s="206" t="s">
        <v>86</v>
      </c>
      <c r="F31" s="209">
        <f>EconomiaT40!C18</f>
        <v>330000</v>
      </c>
      <c r="G31" s="121">
        <f t="shared" si="4"/>
        <v>0.13240770982007799</v>
      </c>
      <c r="I31" s="17"/>
      <c r="J31" s="108"/>
      <c r="K31" s="126"/>
      <c r="L31" s="126"/>
      <c r="M31" s="126"/>
      <c r="N31" s="126"/>
      <c r="O31" s="126"/>
      <c r="P31" s="126"/>
      <c r="Q31" s="127"/>
      <c r="R31" s="128"/>
      <c r="S31" s="128"/>
      <c r="T31" s="167"/>
    </row>
    <row r="32" spans="2:20" x14ac:dyDescent="0.25">
      <c r="B32" s="116"/>
      <c r="C32" s="117"/>
      <c r="D32" s="140"/>
      <c r="E32" s="206" t="s">
        <v>89</v>
      </c>
      <c r="F32" s="209">
        <f>EconomiaT40!C21</f>
        <v>26000</v>
      </c>
      <c r="G32" s="121">
        <f t="shared" si="4"/>
        <v>1.0432122591884932E-2</v>
      </c>
      <c r="I32" s="17"/>
      <c r="J32" s="108"/>
      <c r="K32" s="126"/>
      <c r="L32" s="126"/>
      <c r="M32" s="126"/>
      <c r="N32" s="126"/>
      <c r="O32" s="126"/>
      <c r="P32" s="126"/>
      <c r="Q32" s="127"/>
      <c r="R32" s="128"/>
      <c r="S32" s="128"/>
      <c r="T32" s="167"/>
    </row>
    <row r="33" spans="2:20" x14ac:dyDescent="0.25">
      <c r="B33" s="141"/>
      <c r="C33" s="142"/>
      <c r="D33" s="140"/>
      <c r="E33" s="206" t="s">
        <v>90</v>
      </c>
      <c r="F33" s="209">
        <f>EconomiaT40!C22</f>
        <v>0</v>
      </c>
      <c r="G33" s="121">
        <f t="shared" ref="G33" si="5">F33/$F$34</f>
        <v>0</v>
      </c>
      <c r="I33" s="17"/>
      <c r="J33" s="108"/>
      <c r="K33" s="126"/>
      <c r="L33" s="126"/>
      <c r="M33" s="126"/>
      <c r="N33" s="126"/>
      <c r="O33" s="126"/>
      <c r="P33" s="126"/>
      <c r="Q33" s="127"/>
      <c r="R33" s="128"/>
      <c r="S33" s="128"/>
      <c r="T33" s="167"/>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xr:uid="{00000000-0009-0000-0000-000014000000}"/>
  <mergeCells count="5">
    <mergeCell ref="B2:G2"/>
    <mergeCell ref="I2:T2"/>
    <mergeCell ref="B3:G3"/>
    <mergeCell ref="B4:C4"/>
    <mergeCell ref="E4:F4"/>
  </mergeCells>
  <conditionalFormatting sqref="F12:F17 O4:O49 T4:T49 Q4:Q49">
    <cfRule type="cellIs" dxfId="294" priority="9" operator="lessThan">
      <formula>0</formula>
    </cfRule>
    <cfRule type="cellIs" dxfId="293" priority="10" operator="greaterThan">
      <formula>0</formula>
    </cfRule>
  </conditionalFormatting>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1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70</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71</v>
      </c>
      <c r="B6" s="67" t="s">
        <v>71</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71</v>
      </c>
      <c r="Z6" s="71">
        <f>C6/$C$13</f>
        <v>0.54083321226466907</v>
      </c>
    </row>
    <row r="7" spans="1:26" x14ac:dyDescent="0.25">
      <c r="A7" s="67" t="s">
        <v>72</v>
      </c>
      <c r="B7" s="67" t="s">
        <v>72</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72</v>
      </c>
      <c r="Z7" s="71">
        <f t="shared" ref="Z7:Z12" si="4">C7/$C$13</f>
        <v>0.43948279466636431</v>
      </c>
    </row>
    <row r="8" spans="1:26" x14ac:dyDescent="0.25">
      <c r="A8" s="67" t="s">
        <v>73</v>
      </c>
      <c r="B8" s="67" t="s">
        <v>74</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74</v>
      </c>
      <c r="Z8" s="71">
        <f t="shared" si="4"/>
        <v>8.4157486118444135E-4</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12" t="s">
        <v>77</v>
      </c>
      <c r="B11" s="67" t="s">
        <v>78</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78</v>
      </c>
      <c r="Z11" s="71">
        <f t="shared" si="4"/>
        <v>1.8842418207782177E-2</v>
      </c>
    </row>
    <row r="12" spans="1:26" x14ac:dyDescent="0.25">
      <c r="A12" s="713"/>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81</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14">
        <f>C13</f>
        <v>2257672</v>
      </c>
      <c r="Z14" s="715"/>
    </row>
    <row r="15" spans="1:26" x14ac:dyDescent="0.25">
      <c r="A15" s="80" t="s">
        <v>82</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83</v>
      </c>
      <c r="B16" s="81" t="s">
        <v>84</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85</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86</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89</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91</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81</v>
      </c>
      <c r="Z23" s="91">
        <f>C14/$C$23</f>
        <v>6.9607332354487808E-2</v>
      </c>
    </row>
    <row r="24" spans="1:26" s="66" customFormat="1" ht="18.75" x14ac:dyDescent="0.3">
      <c r="A24" s="92" t="s">
        <v>92</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82</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84</v>
      </c>
      <c r="Z25" s="91">
        <f t="shared" si="18"/>
        <v>0.22130693284140071</v>
      </c>
    </row>
    <row r="26" spans="1:26" s="53" customFormat="1" x14ac:dyDescent="0.25">
      <c r="A26" s="716" t="s">
        <v>93</v>
      </c>
      <c r="B26" s="716"/>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85</v>
      </c>
      <c r="Z26" s="91">
        <f t="shared" si="18"/>
        <v>0.18581062618181024</v>
      </c>
    </row>
    <row r="27" spans="1:26" s="53" customFormat="1" x14ac:dyDescent="0.25">
      <c r="A27" s="717" t="s">
        <v>94</v>
      </c>
      <c r="B27" s="717"/>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86</v>
      </c>
      <c r="Z27" s="91">
        <f t="shared" si="18"/>
        <v>0.12954117729450823</v>
      </c>
    </row>
    <row r="28" spans="1:26" x14ac:dyDescent="0.25">
      <c r="A28" s="718" t="s">
        <v>95</v>
      </c>
      <c r="B28" s="718"/>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88</v>
      </c>
      <c r="Z28" s="91">
        <f t="shared" si="18"/>
        <v>0.31306216316763802</v>
      </c>
    </row>
    <row r="29" spans="1:26" x14ac:dyDescent="0.25">
      <c r="A29" s="716" t="s">
        <v>96</v>
      </c>
      <c r="B29" s="716"/>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67</v>
      </c>
      <c r="Z29" s="91">
        <f t="shared" si="18"/>
        <v>0</v>
      </c>
    </row>
    <row r="30" spans="1:26" s="59" customFormat="1" x14ac:dyDescent="0.25">
      <c r="A30" s="717" t="s">
        <v>97</v>
      </c>
      <c r="B30" s="717"/>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89</v>
      </c>
      <c r="Z30" s="91">
        <f t="shared" si="18"/>
        <v>9.8775147687062519E-3</v>
      </c>
    </row>
    <row r="31" spans="1:26" s="59" customFormat="1" x14ac:dyDescent="0.25">
      <c r="A31" s="718" t="s">
        <v>98</v>
      </c>
      <c r="B31" s="718"/>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9" t="s">
        <v>259</v>
      </c>
      <c r="C33" s="173" t="s">
        <v>181</v>
      </c>
      <c r="D33" s="174"/>
      <c r="E33" s="174"/>
      <c r="F33" s="174"/>
      <c r="G33" s="174"/>
      <c r="H33" s="174"/>
      <c r="I33" s="174"/>
      <c r="J33" s="174"/>
      <c r="K33" s="174"/>
      <c r="L33" s="174"/>
      <c r="M33" s="174"/>
      <c r="N33" s="174"/>
      <c r="O33" s="174"/>
      <c r="P33" s="174"/>
      <c r="Q33" s="174"/>
      <c r="R33" s="174"/>
      <c r="S33" s="174">
        <v>49820</v>
      </c>
      <c r="Y33" s="709">
        <f>C23</f>
        <v>2470257</v>
      </c>
      <c r="Z33" s="710"/>
    </row>
    <row r="34" spans="1:26" x14ac:dyDescent="0.25">
      <c r="A34" s="57"/>
      <c r="B34" s="719"/>
      <c r="C34" s="173" t="s">
        <v>104</v>
      </c>
      <c r="D34" s="174"/>
      <c r="E34" s="174"/>
      <c r="F34" s="174"/>
      <c r="G34" s="174"/>
      <c r="H34" s="174"/>
      <c r="I34" s="174"/>
      <c r="J34" s="174"/>
      <c r="K34" s="174"/>
      <c r="L34" s="174"/>
      <c r="M34" s="174"/>
      <c r="N34" s="174"/>
      <c r="O34" s="174"/>
      <c r="P34" s="174"/>
      <c r="Q34" s="174"/>
      <c r="R34" s="174"/>
      <c r="S34" s="174">
        <v>16014</v>
      </c>
    </row>
    <row r="35" spans="1:26" x14ac:dyDescent="0.25">
      <c r="A35" s="57"/>
      <c r="B35" s="719"/>
      <c r="C35" s="173" t="s">
        <v>61</v>
      </c>
      <c r="D35" s="175"/>
      <c r="E35" s="175"/>
      <c r="F35" s="175"/>
      <c r="G35" s="175"/>
      <c r="H35" s="175"/>
      <c r="I35" s="175"/>
      <c r="J35" s="175"/>
      <c r="K35" s="175"/>
      <c r="L35" s="175"/>
      <c r="M35" s="175"/>
      <c r="N35" s="175"/>
      <c r="O35" s="175"/>
      <c r="P35" s="175"/>
      <c r="Q35" s="175"/>
      <c r="R35" s="175"/>
      <c r="S35" s="175" t="s">
        <v>392</v>
      </c>
    </row>
    <row r="36" spans="1:26" x14ac:dyDescent="0.25">
      <c r="A36" s="57"/>
      <c r="B36" s="719"/>
      <c r="C36" s="173" t="s">
        <v>210</v>
      </c>
      <c r="D36" s="176"/>
      <c r="E36" s="176"/>
      <c r="F36" s="176"/>
      <c r="G36" s="176"/>
      <c r="H36" s="176"/>
      <c r="I36" s="176"/>
      <c r="J36" s="176"/>
      <c r="K36" s="176"/>
      <c r="L36" s="176"/>
      <c r="M36" s="176"/>
      <c r="N36" s="176"/>
      <c r="O36" s="176"/>
      <c r="P36" s="176"/>
      <c r="Q36" s="176"/>
      <c r="R36" s="176"/>
      <c r="S36" s="176" t="s">
        <v>395</v>
      </c>
    </row>
    <row r="37" spans="1:26" ht="30" x14ac:dyDescent="0.25">
      <c r="B37" s="719"/>
      <c r="C37" s="173" t="s">
        <v>211</v>
      </c>
      <c r="D37" s="176"/>
      <c r="E37" s="176"/>
      <c r="F37" s="176"/>
      <c r="G37" s="176"/>
      <c r="H37" s="176"/>
      <c r="I37" s="176"/>
      <c r="J37" s="176"/>
      <c r="K37" s="176"/>
      <c r="L37" s="176"/>
      <c r="M37" s="176"/>
      <c r="N37" s="176"/>
      <c r="O37" s="176"/>
      <c r="P37" s="176"/>
      <c r="Q37" s="176"/>
      <c r="R37" s="176"/>
      <c r="S37" s="176" t="s">
        <v>393</v>
      </c>
    </row>
    <row r="38" spans="1:26" x14ac:dyDescent="0.25">
      <c r="B38" s="719"/>
      <c r="C38" s="173" t="s">
        <v>257</v>
      </c>
      <c r="D38" s="176"/>
      <c r="E38" s="176"/>
      <c r="F38" s="176"/>
      <c r="G38" s="176"/>
      <c r="H38" s="176"/>
      <c r="I38" s="176"/>
      <c r="J38" s="176"/>
      <c r="K38" s="176"/>
      <c r="L38" s="176"/>
      <c r="M38" s="176"/>
      <c r="N38" s="176"/>
      <c r="O38" s="176"/>
      <c r="P38" s="176"/>
      <c r="Q38" s="176"/>
      <c r="R38" s="176"/>
      <c r="S38" s="176" t="s">
        <v>394</v>
      </c>
    </row>
    <row r="39" spans="1:26" ht="15" customHeight="1" x14ac:dyDescent="0.25">
      <c r="G39" s="216"/>
      <c r="H39" s="104"/>
      <c r="I39"/>
      <c r="J39"/>
    </row>
    <row r="40" spans="1:26" ht="15" customHeight="1" x14ac:dyDescent="0.25">
      <c r="G40" s="711"/>
      <c r="H40" s="711"/>
      <c r="I40" s="711"/>
      <c r="J40" s="711"/>
    </row>
    <row r="41" spans="1:26" x14ac:dyDescent="0.25">
      <c r="G41" s="216"/>
      <c r="H41" s="216"/>
      <c r="I41" s="216"/>
      <c r="J41" s="216"/>
    </row>
    <row r="42" spans="1:26" x14ac:dyDescent="0.25">
      <c r="G42" s="216"/>
      <c r="H42" s="216"/>
      <c r="I42" s="216"/>
      <c r="J42" s="216"/>
    </row>
    <row r="43" spans="1:26" x14ac:dyDescent="0.25">
      <c r="G43" s="216"/>
      <c r="H43" s="216"/>
      <c r="I43" s="216"/>
      <c r="J43" s="216"/>
    </row>
    <row r="44" spans="1:26" x14ac:dyDescent="0.25">
      <c r="G44" s="216"/>
      <c r="H44" s="216"/>
      <c r="I44" s="216"/>
      <c r="J44" s="216"/>
    </row>
    <row r="45" spans="1:26" x14ac:dyDescent="0.25">
      <c r="G45" s="216"/>
      <c r="H45" s="216"/>
      <c r="I45" s="216"/>
      <c r="J45" s="216"/>
    </row>
    <row r="46" spans="1:26" x14ac:dyDescent="0.25">
      <c r="G46" s="216"/>
      <c r="H46" s="216"/>
      <c r="I46" s="216"/>
      <c r="J46" s="216"/>
    </row>
    <row r="47" spans="1:26" x14ac:dyDescent="0.25">
      <c r="G47" s="216"/>
      <c r="H47" s="216"/>
      <c r="I47" s="216"/>
      <c r="J47" s="216"/>
    </row>
    <row r="48" spans="1:26" x14ac:dyDescent="0.25">
      <c r="G48" s="216"/>
      <c r="H48" s="216"/>
      <c r="I48" s="216"/>
      <c r="J48" s="216"/>
    </row>
    <row r="49" spans="7:10" x14ac:dyDescent="0.25">
      <c r="G49" s="720"/>
      <c r="H49" s="720"/>
      <c r="I49" s="720"/>
      <c r="J49" s="720"/>
    </row>
    <row r="50" spans="7:10" x14ac:dyDescent="0.25">
      <c r="G50" s="216"/>
      <c r="H50" s="216"/>
      <c r="I50" s="216"/>
      <c r="J50" s="216"/>
    </row>
    <row r="51" spans="7:10" x14ac:dyDescent="0.25">
      <c r="G51" s="720"/>
      <c r="H51" s="720"/>
      <c r="I51" s="720"/>
      <c r="J51" s="720"/>
    </row>
    <row r="52" spans="7:10" ht="15" customHeight="1" x14ac:dyDescent="0.25">
      <c r="G52" s="720"/>
      <c r="H52" s="720"/>
      <c r="I52" s="720"/>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21" t="s">
        <v>289</v>
      </c>
      <c r="C2" s="722"/>
      <c r="D2" s="722"/>
      <c r="E2" s="722"/>
      <c r="F2" s="722"/>
      <c r="G2" s="723"/>
      <c r="I2" s="724" t="s">
        <v>101</v>
      </c>
      <c r="J2" s="724"/>
      <c r="K2" s="724"/>
      <c r="L2" s="724"/>
      <c r="M2" s="724"/>
      <c r="N2" s="724"/>
      <c r="O2" s="724"/>
      <c r="P2" s="724"/>
      <c r="Q2" s="724"/>
      <c r="R2" s="724"/>
      <c r="S2" s="724"/>
      <c r="T2" s="724"/>
    </row>
    <row r="3" spans="2:20" x14ac:dyDescent="0.25">
      <c r="B3" s="725" t="s">
        <v>102</v>
      </c>
      <c r="C3" s="726"/>
      <c r="D3" s="726"/>
      <c r="E3" s="726"/>
      <c r="F3" s="726"/>
      <c r="G3" s="727"/>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8" t="s">
        <v>113</v>
      </c>
      <c r="C4" s="729"/>
      <c r="D4" s="109"/>
      <c r="E4" s="730" t="s">
        <v>114</v>
      </c>
      <c r="F4" s="729"/>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1211930</v>
      </c>
      <c r="D6" s="140">
        <f>C6/$C$34</f>
        <v>0.27852565008584923</v>
      </c>
      <c r="E6" s="116" t="s">
        <v>117</v>
      </c>
      <c r="F6" s="117">
        <f>F7+F8+F9</f>
        <v>987461</v>
      </c>
      <c r="G6" s="118">
        <f>F6/$F$34</f>
        <v>0.22693820349312482</v>
      </c>
      <c r="I6" s="219" t="s">
        <v>120</v>
      </c>
      <c r="J6" s="220" t="s">
        <v>200</v>
      </c>
      <c r="K6" s="221">
        <v>0</v>
      </c>
      <c r="L6" s="221">
        <v>0</v>
      </c>
      <c r="M6" s="221">
        <v>2000</v>
      </c>
      <c r="N6" s="221">
        <v>100</v>
      </c>
      <c r="O6" s="221">
        <f t="shared" si="0"/>
        <v>1900</v>
      </c>
      <c r="P6" s="221">
        <f t="shared" si="1"/>
        <v>0</v>
      </c>
      <c r="Q6" s="222"/>
      <c r="R6" s="223">
        <v>41400</v>
      </c>
      <c r="S6" s="223">
        <v>41537</v>
      </c>
      <c r="T6" s="222"/>
    </row>
    <row r="7" spans="2:20" x14ac:dyDescent="0.25">
      <c r="B7" s="119" t="s">
        <v>84</v>
      </c>
      <c r="C7" s="120">
        <f>EconomiaT41!C16+'A-P_T40'!C7</f>
        <v>943230</v>
      </c>
      <c r="D7" s="202">
        <f>C7/$C$34</f>
        <v>0.21677303881451535</v>
      </c>
      <c r="E7" s="203" t="s">
        <v>118</v>
      </c>
      <c r="F7" s="204">
        <f>EconomiaT40!C5</f>
        <v>300000</v>
      </c>
      <c r="G7" s="121">
        <f>F7/$F$34</f>
        <v>6.8945974623744577E-2</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EconomiaT41!C20+'A-P_T40'!C8</f>
        <v>268700</v>
      </c>
      <c r="D8" s="202">
        <f>C8/$C$34</f>
        <v>6.1752611271333899E-2</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288</v>
      </c>
      <c r="F9" s="204">
        <f>'A-P_T40'!F11-EconomiaT40!C24+EconomiaT40!C5</f>
        <v>687461</v>
      </c>
      <c r="G9" s="121">
        <f>F9/$F$34</f>
        <v>0.15799222886938025</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0.17742097469843604</v>
      </c>
      <c r="E11" s="116" t="s">
        <v>107</v>
      </c>
      <c r="F11" s="117">
        <f>SUM(F12:F17)+C9</f>
        <v>894859</v>
      </c>
      <c r="G11" s="118">
        <f t="shared" ref="G11:G17" si="2">F11/$F$34</f>
        <v>0.20565641968609816</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772000</v>
      </c>
      <c r="D13" s="202">
        <f>C13/$C$34</f>
        <v>0.17742097469843604</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1900</v>
      </c>
      <c r="G15" s="121">
        <f t="shared" si="2"/>
        <v>4.3665783928371568E-4</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1900</v>
      </c>
      <c r="D17" s="140">
        <f>C17/$C$34</f>
        <v>4.3665783928371568E-4</v>
      </c>
      <c r="E17" s="135" t="s">
        <v>128</v>
      </c>
      <c r="F17" s="136">
        <f>C9+C22-F27+EconomiaT41!C24-EconomiaT41!C5</f>
        <v>892959</v>
      </c>
      <c r="G17" s="121">
        <f t="shared" si="2"/>
        <v>0.20521976184681445</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2000</v>
      </c>
      <c r="D18" s="202">
        <f>C18/$C$34</f>
        <v>4.5963983082496386E-4</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-100</v>
      </c>
      <c r="D19" s="202">
        <f>C19/$C$34</f>
        <v>-2.2981991541248192E-5</v>
      </c>
      <c r="E19" s="116" t="s">
        <v>129</v>
      </c>
      <c r="F19" s="134">
        <f>F20+F21</f>
        <v>772000</v>
      </c>
      <c r="G19" s="118">
        <f>F19/$F$34</f>
        <v>0.17742097469843604</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EconomiaT41!C19</f>
        <v>773344</v>
      </c>
      <c r="G20" s="121">
        <f>F20/$F$34</f>
        <v>0.17772985266475042</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-1344</v>
      </c>
      <c r="G21" s="121">
        <f>F21/$F$34</f>
        <v>-3.0887796631437573E-4</v>
      </c>
      <c r="I21" s="169" t="s">
        <v>120</v>
      </c>
      <c r="J21" s="110" t="s">
        <v>293</v>
      </c>
      <c r="K21" s="111">
        <v>0</v>
      </c>
      <c r="L21" s="111">
        <v>0</v>
      </c>
      <c r="M21" s="111">
        <v>0</v>
      </c>
      <c r="N21" s="111">
        <v>0</v>
      </c>
      <c r="O21" s="111">
        <f t="shared" ref="O21" si="3">IF(M21=0,0,M21-K21)-N21</f>
        <v>0</v>
      </c>
      <c r="P21" s="111">
        <f t="shared" ref="P21" si="4">IF(M21=0,K21,0)</f>
        <v>0</v>
      </c>
      <c r="Q21" s="168"/>
      <c r="R21" s="112">
        <v>41519</v>
      </c>
      <c r="S21" s="112"/>
      <c r="T21" s="168"/>
    </row>
    <row r="22" spans="2:20" x14ac:dyDescent="0.25">
      <c r="B22" s="116" t="s">
        <v>131</v>
      </c>
      <c r="C22" s="117">
        <f>SUM(C23:C27)</f>
        <v>2255772</v>
      </c>
      <c r="D22" s="140">
        <f t="shared" ref="D22:D27" si="5">C22/$C$34</f>
        <v>0.51842133022984516</v>
      </c>
      <c r="E22" s="116"/>
      <c r="F22" s="117"/>
      <c r="G22" s="118"/>
      <c r="I22" s="169" t="s">
        <v>120</v>
      </c>
      <c r="J22" s="110" t="s">
        <v>294</v>
      </c>
      <c r="K22" s="111">
        <v>0</v>
      </c>
      <c r="L22" s="111">
        <v>0</v>
      </c>
      <c r="M22" s="111">
        <v>0</v>
      </c>
      <c r="N22" s="111">
        <v>0</v>
      </c>
      <c r="O22" s="111">
        <f t="shared" ref="O22" si="6">IF(M22=0,0,M22-K22)-N22</f>
        <v>0</v>
      </c>
      <c r="P22" s="111">
        <f t="shared" ref="P22" si="7">IF(M22=0,K22,0)</f>
        <v>0</v>
      </c>
      <c r="Q22" s="168"/>
      <c r="R22" s="112">
        <v>41527</v>
      </c>
      <c r="S22" s="112"/>
      <c r="T22" s="168"/>
    </row>
    <row r="23" spans="2:20" x14ac:dyDescent="0.25">
      <c r="B23" s="138" t="s">
        <v>69</v>
      </c>
      <c r="C23" s="139">
        <f>EconomiaT41!C11</f>
        <v>42540</v>
      </c>
      <c r="D23" s="202">
        <f t="shared" si="5"/>
        <v>9.7765392016469811E-3</v>
      </c>
      <c r="E23" s="116" t="s">
        <v>264</v>
      </c>
      <c r="F23" s="117">
        <f>SUM(F24:F25)</f>
        <v>546685</v>
      </c>
      <c r="G23" s="118">
        <f>F23/$F$34</f>
        <v>0.1256391004572727</v>
      </c>
      <c r="I23" s="169" t="s">
        <v>120</v>
      </c>
      <c r="J23" s="110" t="s">
        <v>295</v>
      </c>
      <c r="K23" s="111">
        <v>0</v>
      </c>
      <c r="L23" s="111">
        <v>0</v>
      </c>
      <c r="M23" s="111">
        <v>0</v>
      </c>
      <c r="N23" s="111">
        <v>0</v>
      </c>
      <c r="O23" s="111">
        <f t="shared" ref="O23:O24" si="8">IF(M23=0,0,M23-K23)-N23</f>
        <v>0</v>
      </c>
      <c r="P23" s="111">
        <f t="shared" ref="P23:P24" si="9">IF(M23=0,K23,0)</f>
        <v>0</v>
      </c>
      <c r="Q23" s="168"/>
      <c r="R23" s="112">
        <v>41532</v>
      </c>
      <c r="S23" s="112"/>
      <c r="T23" s="168"/>
    </row>
    <row r="24" spans="2:20" x14ac:dyDescent="0.25">
      <c r="B24" s="138" t="s">
        <v>79</v>
      </c>
      <c r="C24" s="139">
        <f>EconomiaT41!C12</f>
        <v>0</v>
      </c>
      <c r="D24" s="202">
        <f t="shared" si="5"/>
        <v>0</v>
      </c>
      <c r="E24" s="206" t="s">
        <v>84</v>
      </c>
      <c r="F24" s="209">
        <f>EconomiaT41!C16</f>
        <v>546685</v>
      </c>
      <c r="G24" s="121">
        <f>F24/$F$34</f>
        <v>0.1256391004572727</v>
      </c>
      <c r="I24" s="169" t="s">
        <v>115</v>
      </c>
      <c r="J24" s="110" t="s">
        <v>387</v>
      </c>
      <c r="K24" s="111">
        <v>772000</v>
      </c>
      <c r="L24" s="111">
        <v>1344</v>
      </c>
      <c r="M24" s="111">
        <v>0</v>
      </c>
      <c r="N24" s="111">
        <v>0</v>
      </c>
      <c r="O24" s="111">
        <f t="shared" si="8"/>
        <v>0</v>
      </c>
      <c r="P24" s="111">
        <f t="shared" si="9"/>
        <v>772000</v>
      </c>
      <c r="Q24" s="168"/>
      <c r="R24" s="112">
        <v>41576</v>
      </c>
      <c r="S24" s="112"/>
      <c r="T24" s="168"/>
    </row>
    <row r="25" spans="2:20" x14ac:dyDescent="0.25">
      <c r="B25" s="138" t="s">
        <v>71</v>
      </c>
      <c r="C25" s="139">
        <f>EconomiaT41!C6</f>
        <v>1221024</v>
      </c>
      <c r="D25" s="202">
        <f t="shared" si="5"/>
        <v>0.28061563239661036</v>
      </c>
      <c r="E25" s="206" t="s">
        <v>67</v>
      </c>
      <c r="F25" s="209">
        <f>EconomiaT41!C20</f>
        <v>0</v>
      </c>
      <c r="G25" s="121">
        <f>F25/$F$34</f>
        <v>0</v>
      </c>
      <c r="I25" s="17"/>
      <c r="J25" s="108"/>
      <c r="K25" s="126"/>
      <c r="L25" s="126"/>
      <c r="M25" s="126"/>
      <c r="N25" s="126"/>
      <c r="O25" s="126"/>
      <c r="P25" s="126"/>
      <c r="Q25" s="127"/>
      <c r="R25" s="128"/>
      <c r="S25" s="128"/>
      <c r="T25" s="167"/>
    </row>
    <row r="26" spans="2:20" x14ac:dyDescent="0.25">
      <c r="B26" s="138" t="s">
        <v>72</v>
      </c>
      <c r="C26" s="139">
        <f>EconomiaT41!C7</f>
        <v>992208</v>
      </c>
      <c r="D26" s="202">
        <f t="shared" si="5"/>
        <v>0.22802915863158787</v>
      </c>
      <c r="E26" s="116"/>
      <c r="F26" s="117"/>
      <c r="G26" s="118"/>
      <c r="I26" s="17"/>
      <c r="J26" s="108"/>
      <c r="K26" s="126"/>
      <c r="L26" s="126"/>
      <c r="M26" s="126"/>
      <c r="N26" s="126"/>
      <c r="O26" s="126"/>
      <c r="P26" s="126"/>
      <c r="Q26" s="127"/>
      <c r="R26" s="128"/>
      <c r="S26" s="128"/>
      <c r="T26" s="127"/>
    </row>
    <row r="27" spans="2:20" x14ac:dyDescent="0.25">
      <c r="B27" s="138" t="s">
        <v>76</v>
      </c>
      <c r="C27" s="139">
        <f>EconomiaT41!C10</f>
        <v>0</v>
      </c>
      <c r="D27" s="202">
        <f t="shared" si="5"/>
        <v>0</v>
      </c>
      <c r="E27" s="116" t="s">
        <v>265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06" t="s">
        <v>132</v>
      </c>
      <c r="F28" s="209">
        <f>EconomiaT41!C14</f>
        <v>171948</v>
      </c>
      <c r="G28" s="121">
        <f t="shared" si="10"/>
        <v>3.9517074815345443E-2</v>
      </c>
      <c r="I28" s="17"/>
      <c r="J28" s="181"/>
      <c r="K28" s="126"/>
      <c r="L28" s="126"/>
      <c r="M28" s="126"/>
      <c r="N28" s="126"/>
      <c r="O28" s="126"/>
      <c r="P28" s="126"/>
      <c r="Q28" s="127"/>
      <c r="R28" s="128"/>
      <c r="S28" s="128"/>
      <c r="T28" s="127"/>
    </row>
    <row r="29" spans="2:20" x14ac:dyDescent="0.25">
      <c r="B29" s="116" t="s">
        <v>133</v>
      </c>
      <c r="C29" s="117">
        <f>EconomiaT41!S24</f>
        <v>109631</v>
      </c>
      <c r="D29" s="140">
        <f>C29/$C$34</f>
        <v>2.5195387146585806E-2</v>
      </c>
      <c r="E29" s="206" t="s">
        <v>82</v>
      </c>
      <c r="F29" s="209">
        <f>EconomiaT41!C15</f>
        <v>174880</v>
      </c>
      <c r="G29" s="121">
        <f t="shared" si="10"/>
        <v>4.0190906807334843E-2</v>
      </c>
      <c r="I29" s="17"/>
      <c r="J29" s="108"/>
      <c r="K29" s="126"/>
      <c r="L29" s="126"/>
      <c r="M29" s="126"/>
      <c r="N29" s="126"/>
      <c r="O29" s="126"/>
      <c r="P29" s="126"/>
      <c r="Q29" s="127"/>
      <c r="R29" s="128"/>
      <c r="S29" s="128"/>
      <c r="T29" s="167"/>
    </row>
    <row r="30" spans="2:20" x14ac:dyDescent="0.25">
      <c r="B30" s="116"/>
      <c r="C30" s="117"/>
      <c r="D30" s="140"/>
      <c r="E30" s="206" t="s">
        <v>85</v>
      </c>
      <c r="F30" s="209">
        <f>EconomiaT41!C17</f>
        <v>459000</v>
      </c>
      <c r="G30" s="121">
        <f t="shared" si="10"/>
        <v>0.1054873411743292</v>
      </c>
      <c r="I30" s="17"/>
      <c r="J30" s="108"/>
      <c r="K30" s="126"/>
      <c r="L30" s="126"/>
      <c r="M30" s="126"/>
      <c r="N30" s="126"/>
      <c r="O30" s="126"/>
      <c r="P30" s="126"/>
      <c r="Q30" s="127"/>
      <c r="R30" s="128"/>
      <c r="S30" s="128"/>
      <c r="T30" s="167"/>
    </row>
    <row r="31" spans="2:20" x14ac:dyDescent="0.25">
      <c r="B31" s="116"/>
      <c r="C31" s="117"/>
      <c r="D31" s="140"/>
      <c r="E31" s="206" t="s">
        <v>86</v>
      </c>
      <c r="F31" s="209">
        <f>EconomiaT41!C18</f>
        <v>320000</v>
      </c>
      <c r="G31" s="121">
        <f t="shared" si="10"/>
        <v>7.3542372931994213E-2</v>
      </c>
      <c r="I31" s="17"/>
      <c r="J31" s="108"/>
      <c r="K31" s="126"/>
      <c r="L31" s="126"/>
      <c r="M31" s="126"/>
      <c r="N31" s="126"/>
      <c r="O31" s="126"/>
      <c r="P31" s="126"/>
      <c r="Q31" s="127"/>
      <c r="R31" s="128"/>
      <c r="S31" s="128"/>
      <c r="T31" s="167"/>
    </row>
    <row r="32" spans="2:20" x14ac:dyDescent="0.25">
      <c r="B32" s="116"/>
      <c r="C32" s="117"/>
      <c r="D32" s="140"/>
      <c r="E32" s="206" t="s">
        <v>89</v>
      </c>
      <c r="F32" s="209">
        <f>EconomiaT41!C21</f>
        <v>24400</v>
      </c>
      <c r="G32" s="121">
        <f t="shared" si="10"/>
        <v>5.6076059360645591E-3</v>
      </c>
      <c r="I32" s="17"/>
      <c r="J32" s="108"/>
      <c r="K32" s="126"/>
      <c r="L32" s="126"/>
      <c r="M32" s="126"/>
      <c r="N32" s="126"/>
      <c r="O32" s="126"/>
      <c r="P32" s="126"/>
      <c r="Q32" s="127"/>
      <c r="R32" s="128"/>
      <c r="S32" s="128"/>
      <c r="T32" s="167"/>
    </row>
    <row r="33" spans="2:20" x14ac:dyDescent="0.25">
      <c r="B33" s="141"/>
      <c r="C33" s="142"/>
      <c r="D33" s="140"/>
      <c r="E33" s="206" t="s">
        <v>90</v>
      </c>
      <c r="F33" s="209">
        <f>EconomiaT41!C22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xr:uid="{00000000-0009-0000-0000-000016000000}"/>
  <mergeCells count="5">
    <mergeCell ref="B2:G2"/>
    <mergeCell ref="I2:T2"/>
    <mergeCell ref="B3:G3"/>
    <mergeCell ref="B4:C4"/>
    <mergeCell ref="E4:F4"/>
  </mergeCells>
  <conditionalFormatting sqref="F12:F17 O4:O49 T4:T49 Q4:Q49">
    <cfRule type="cellIs" dxfId="292" priority="1" operator="lessThan">
      <formula>0</formula>
    </cfRule>
    <cfRule type="cellIs" dxfId="29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4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70</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71</v>
      </c>
      <c r="B6" s="67" t="s">
        <v>71</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71</v>
      </c>
      <c r="Z6" s="71">
        <f>C6/$C$13</f>
        <v>0.59462289410952385</v>
      </c>
    </row>
    <row r="7" spans="1:26" x14ac:dyDescent="0.25">
      <c r="A7" s="67" t="s">
        <v>72</v>
      </c>
      <c r="B7" s="67" t="s">
        <v>72</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72</v>
      </c>
      <c r="Z7" s="71">
        <f t="shared" ref="Z7:Z12" si="4">C7/$C$13</f>
        <v>0.3411687078186233</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12" t="s">
        <v>77</v>
      </c>
      <c r="B11" s="67" t="s">
        <v>78</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78</v>
      </c>
      <c r="Z11" s="71">
        <f t="shared" si="4"/>
        <v>1.682911968353169E-2</v>
      </c>
    </row>
    <row r="12" spans="1:26" x14ac:dyDescent="0.25">
      <c r="A12" s="713"/>
      <c r="B12" s="67" t="s">
        <v>79</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79</v>
      </c>
      <c r="Z12" s="71">
        <f t="shared" si="4"/>
        <v>4.7379278388321198E-2</v>
      </c>
    </row>
    <row r="13" spans="1:26" s="78" customFormat="1" ht="18.75" x14ac:dyDescent="0.3">
      <c r="A13" s="73" t="s">
        <v>80</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81</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14">
        <f>C13</f>
        <v>3165941</v>
      </c>
      <c r="Z14" s="715"/>
    </row>
    <row r="15" spans="1:26" x14ac:dyDescent="0.25">
      <c r="A15" s="80" t="s">
        <v>82</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83</v>
      </c>
      <c r="B16" s="81" t="s">
        <v>84</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85</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77</v>
      </c>
      <c r="B20" s="81" t="s">
        <v>67</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89</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90</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91</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81</v>
      </c>
      <c r="Z23" s="91">
        <f>C14/$C$23</f>
        <v>0.18632732356036527</v>
      </c>
    </row>
    <row r="24" spans="1:26" s="66" customFormat="1" ht="18.75" x14ac:dyDescent="0.3">
      <c r="A24" s="92" t="s">
        <v>92</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82</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84</v>
      </c>
      <c r="Z25" s="91">
        <f t="shared" si="18"/>
        <v>7.7383356897596442E-2</v>
      </c>
    </row>
    <row r="26" spans="1:26" s="53" customFormat="1" x14ac:dyDescent="0.25">
      <c r="A26" s="716" t="s">
        <v>93</v>
      </c>
      <c r="B26" s="716"/>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85</v>
      </c>
      <c r="Z26" s="91">
        <f t="shared" si="18"/>
        <v>0.32648906653626592</v>
      </c>
    </row>
    <row r="27" spans="1:26" s="53" customFormat="1" x14ac:dyDescent="0.25">
      <c r="A27" s="717" t="s">
        <v>94</v>
      </c>
      <c r="B27" s="717"/>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86</v>
      </c>
      <c r="Z27" s="91">
        <f t="shared" si="18"/>
        <v>0.2126098927383091</v>
      </c>
    </row>
    <row r="28" spans="1:26" x14ac:dyDescent="0.25">
      <c r="A28" s="718" t="s">
        <v>95</v>
      </c>
      <c r="B28" s="718"/>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88</v>
      </c>
      <c r="Z28" s="91">
        <f t="shared" si="18"/>
        <v>0</v>
      </c>
    </row>
    <row r="29" spans="1:26" x14ac:dyDescent="0.25">
      <c r="A29" s="716" t="s">
        <v>96</v>
      </c>
      <c r="B29" s="716"/>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67</v>
      </c>
      <c r="Z29" s="91">
        <f t="shared" si="18"/>
        <v>0</v>
      </c>
    </row>
    <row r="30" spans="1:26" s="59" customFormat="1" x14ac:dyDescent="0.25">
      <c r="A30" s="717" t="s">
        <v>97</v>
      </c>
      <c r="B30" s="717"/>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89</v>
      </c>
      <c r="Z30" s="91">
        <f t="shared" si="18"/>
        <v>2.9300300842998225E-2</v>
      </c>
    </row>
    <row r="31" spans="1:26" s="59" customFormat="1" x14ac:dyDescent="0.25">
      <c r="A31" s="718" t="s">
        <v>98</v>
      </c>
      <c r="B31" s="718"/>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9" t="s">
        <v>259</v>
      </c>
      <c r="C33" s="173" t="s">
        <v>181</v>
      </c>
      <c r="D33" s="174"/>
      <c r="E33" s="174"/>
      <c r="F33" s="174"/>
      <c r="G33" s="174"/>
      <c r="H33" s="174"/>
      <c r="I33" s="174"/>
      <c r="J33" s="174"/>
      <c r="K33" s="174"/>
      <c r="L33" s="174"/>
      <c r="M33" s="174"/>
      <c r="N33" s="174"/>
      <c r="O33" s="174"/>
      <c r="P33" s="174"/>
      <c r="Q33" s="174"/>
      <c r="R33" s="174"/>
      <c r="S33" s="174"/>
      <c r="Y33" s="709">
        <f>C23</f>
        <v>1505104</v>
      </c>
      <c r="Z33" s="710"/>
    </row>
    <row r="34" spans="1:26" x14ac:dyDescent="0.25">
      <c r="A34" s="57"/>
      <c r="B34" s="719"/>
      <c r="C34" s="173" t="s">
        <v>104</v>
      </c>
      <c r="D34" s="174"/>
      <c r="E34" s="174"/>
      <c r="F34" s="174"/>
      <c r="G34" s="174"/>
      <c r="H34" s="174"/>
      <c r="I34" s="174"/>
      <c r="J34" s="174"/>
      <c r="K34" s="174"/>
      <c r="L34" s="174"/>
      <c r="M34" s="174"/>
      <c r="N34" s="174"/>
      <c r="O34" s="174"/>
      <c r="P34" s="174"/>
      <c r="Q34" s="174"/>
      <c r="R34" s="174"/>
      <c r="S34" s="174"/>
    </row>
    <row r="35" spans="1:26" x14ac:dyDescent="0.25">
      <c r="A35" s="57"/>
      <c r="B35" s="719"/>
      <c r="C35" s="173" t="s">
        <v>61</v>
      </c>
      <c r="D35" s="175"/>
      <c r="E35" s="175"/>
      <c r="F35" s="175"/>
      <c r="G35" s="175"/>
      <c r="H35" s="175"/>
      <c r="I35" s="175"/>
      <c r="J35" s="175"/>
      <c r="K35" s="175"/>
      <c r="L35" s="175"/>
      <c r="M35" s="175"/>
      <c r="N35" s="175"/>
      <c r="O35" s="175"/>
      <c r="P35" s="175"/>
      <c r="Q35" s="175"/>
      <c r="R35" s="175"/>
      <c r="S35" s="175"/>
    </row>
    <row r="36" spans="1:26" x14ac:dyDescent="0.25">
      <c r="A36" s="57"/>
      <c r="B36" s="719"/>
      <c r="C36" s="173" t="s">
        <v>210</v>
      </c>
      <c r="D36" s="176"/>
      <c r="E36" s="176"/>
      <c r="F36" s="176"/>
      <c r="G36" s="176"/>
      <c r="H36" s="176"/>
      <c r="I36" s="176"/>
      <c r="J36" s="176"/>
      <c r="K36" s="176"/>
      <c r="L36" s="176"/>
      <c r="M36" s="176"/>
      <c r="N36" s="176"/>
      <c r="O36" s="176"/>
      <c r="P36" s="176"/>
      <c r="Q36" s="176"/>
      <c r="R36" s="176"/>
      <c r="S36" s="176"/>
    </row>
    <row r="37" spans="1:26" x14ac:dyDescent="0.25">
      <c r="B37" s="719"/>
      <c r="C37" s="173" t="s">
        <v>211</v>
      </c>
      <c r="D37" s="176"/>
      <c r="E37" s="176"/>
      <c r="F37" s="176"/>
      <c r="G37" s="176"/>
      <c r="H37" s="176"/>
      <c r="I37" s="176"/>
      <c r="J37" s="176"/>
      <c r="K37" s="176"/>
      <c r="L37" s="176"/>
      <c r="M37" s="176"/>
      <c r="N37" s="176"/>
      <c r="O37" s="176"/>
      <c r="P37" s="176"/>
      <c r="Q37" s="176"/>
      <c r="R37" s="176"/>
      <c r="S37" s="176"/>
    </row>
    <row r="38" spans="1:26" x14ac:dyDescent="0.25">
      <c r="B38" s="719"/>
      <c r="C38" s="173" t="s">
        <v>257</v>
      </c>
      <c r="D38" s="176"/>
      <c r="E38" s="176"/>
      <c r="F38" s="176"/>
      <c r="G38" s="176"/>
      <c r="H38" s="176"/>
      <c r="I38" s="176"/>
      <c r="J38" s="176"/>
      <c r="K38" s="176"/>
      <c r="L38" s="176"/>
      <c r="M38" s="176"/>
      <c r="N38" s="176"/>
      <c r="O38" s="176"/>
      <c r="P38" s="176"/>
      <c r="Q38" s="176"/>
      <c r="R38" s="176"/>
      <c r="S38" s="176"/>
    </row>
    <row r="39" spans="1:26" ht="15" customHeight="1" x14ac:dyDescent="0.25">
      <c r="G39" s="243"/>
      <c r="H39" s="104"/>
      <c r="I39"/>
      <c r="J39"/>
    </row>
    <row r="40" spans="1:26" ht="15" customHeight="1" x14ac:dyDescent="0.25">
      <c r="G40" s="711"/>
      <c r="H40" s="711"/>
      <c r="I40" s="711"/>
      <c r="J40" s="711"/>
    </row>
    <row r="41" spans="1:26" x14ac:dyDescent="0.25">
      <c r="G41" s="243"/>
      <c r="H41" s="243"/>
      <c r="I41" s="243"/>
      <c r="J41" s="243"/>
    </row>
    <row r="42" spans="1:26" x14ac:dyDescent="0.25">
      <c r="G42" s="243"/>
      <c r="H42" s="243"/>
      <c r="I42" s="243"/>
      <c r="J42" s="243"/>
    </row>
    <row r="43" spans="1:26" x14ac:dyDescent="0.25">
      <c r="G43" s="243"/>
      <c r="H43" s="243"/>
      <c r="I43" s="243"/>
      <c r="J43" s="243"/>
    </row>
    <row r="44" spans="1:26" x14ac:dyDescent="0.25">
      <c r="G44" s="243"/>
      <c r="H44" s="243"/>
      <c r="I44" s="243"/>
      <c r="J44" s="243"/>
    </row>
    <row r="45" spans="1:26" x14ac:dyDescent="0.25">
      <c r="G45" s="243"/>
      <c r="H45" s="243"/>
      <c r="I45" s="243"/>
      <c r="J45" s="243"/>
    </row>
    <row r="46" spans="1:26" x14ac:dyDescent="0.25">
      <c r="G46" s="243"/>
      <c r="H46" s="243"/>
      <c r="I46" s="243"/>
      <c r="J46" s="243"/>
    </row>
    <row r="47" spans="1:26" x14ac:dyDescent="0.25">
      <c r="G47" s="243"/>
      <c r="H47" s="243"/>
      <c r="I47" s="243"/>
      <c r="J47" s="243"/>
    </row>
    <row r="48" spans="1:26" x14ac:dyDescent="0.25">
      <c r="G48" s="243"/>
      <c r="H48" s="243"/>
      <c r="I48" s="243"/>
      <c r="J48" s="243"/>
    </row>
    <row r="49" spans="7:10" x14ac:dyDescent="0.25">
      <c r="G49" s="720"/>
      <c r="H49" s="720"/>
      <c r="I49" s="720"/>
      <c r="J49" s="720"/>
    </row>
    <row r="50" spans="7:10" x14ac:dyDescent="0.25">
      <c r="G50" s="243"/>
      <c r="H50" s="243"/>
      <c r="I50" s="243"/>
      <c r="J50" s="243"/>
    </row>
    <row r="51" spans="7:10" x14ac:dyDescent="0.25">
      <c r="G51" s="720"/>
      <c r="H51" s="720"/>
      <c r="I51" s="720"/>
      <c r="J51" s="720"/>
    </row>
    <row r="52" spans="7:10" ht="15" customHeight="1" x14ac:dyDescent="0.25">
      <c r="G52" s="720"/>
      <c r="H52" s="720"/>
      <c r="I52" s="720"/>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21" t="s">
        <v>389</v>
      </c>
      <c r="C2" s="722"/>
      <c r="D2" s="722"/>
      <c r="E2" s="722"/>
      <c r="F2" s="722"/>
      <c r="G2" s="723"/>
      <c r="I2" s="724" t="s">
        <v>390</v>
      </c>
      <c r="J2" s="724"/>
      <c r="K2" s="724"/>
      <c r="L2" s="724"/>
      <c r="M2" s="724"/>
      <c r="N2" s="724"/>
      <c r="O2" s="724"/>
      <c r="P2" s="724"/>
      <c r="Q2" s="724"/>
      <c r="R2" s="724"/>
      <c r="S2" s="724"/>
      <c r="T2" s="724"/>
    </row>
    <row r="3" spans="2:20" x14ac:dyDescent="0.25">
      <c r="B3" s="725" t="s">
        <v>102</v>
      </c>
      <c r="C3" s="726"/>
      <c r="D3" s="726"/>
      <c r="E3" s="726"/>
      <c r="F3" s="726"/>
      <c r="G3" s="727"/>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8" t="s">
        <v>113</v>
      </c>
      <c r="C4" s="729"/>
      <c r="D4" s="109"/>
      <c r="E4" s="730" t="s">
        <v>114</v>
      </c>
      <c r="F4" s="729"/>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3" si="0">IF(M5=0,0,M5-K5)-N5</f>
        <v>0</v>
      </c>
      <c r="P5" s="111">
        <f t="shared" ref="P5:P23" si="1">IF(M5=0,K5,0)</f>
        <v>0</v>
      </c>
      <c r="Q5" s="168"/>
      <c r="R5" s="112">
        <v>41400</v>
      </c>
      <c r="S5" s="112"/>
      <c r="T5" s="168"/>
    </row>
    <row r="6" spans="2:20" x14ac:dyDescent="0.25">
      <c r="B6" s="116" t="s">
        <v>116</v>
      </c>
      <c r="C6" s="117">
        <f>SUM(C7:C9)</f>
        <v>1328400</v>
      </c>
      <c r="D6" s="140">
        <f>C6/$C$34</f>
        <v>0.18877874900398747</v>
      </c>
      <c r="E6" s="116" t="s">
        <v>117</v>
      </c>
      <c r="F6" s="117">
        <f>F7+F8+F9</f>
        <v>2093561</v>
      </c>
      <c r="G6" s="118">
        <f>F6/$F$34</f>
        <v>0.29751567791594175</v>
      </c>
      <c r="I6" s="169" t="s">
        <v>120</v>
      </c>
      <c r="J6" s="110" t="s">
        <v>205</v>
      </c>
      <c r="K6" s="111">
        <v>0</v>
      </c>
      <c r="L6" s="111">
        <v>0</v>
      </c>
      <c r="M6" s="111">
        <v>0</v>
      </c>
      <c r="N6" s="111">
        <v>0</v>
      </c>
      <c r="O6" s="111">
        <f t="shared" si="0"/>
        <v>0</v>
      </c>
      <c r="P6" s="111">
        <f t="shared" si="1"/>
        <v>0</v>
      </c>
      <c r="Q6" s="168"/>
      <c r="R6" s="112">
        <v>41400</v>
      </c>
      <c r="S6" s="112"/>
      <c r="T6" s="168"/>
    </row>
    <row r="7" spans="2:20" x14ac:dyDescent="0.25">
      <c r="B7" s="119" t="s">
        <v>84</v>
      </c>
      <c r="C7" s="120">
        <f>EconomiaT42!C16+'A-P_T41'!C7</f>
        <v>1059700</v>
      </c>
      <c r="D7" s="202">
        <f>C7/$C$34</f>
        <v>0.15059382740102795</v>
      </c>
      <c r="E7" s="203" t="s">
        <v>118</v>
      </c>
      <c r="F7" s="204">
        <v>300000</v>
      </c>
      <c r="G7" s="121">
        <f>F7/$F$34</f>
        <v>4.2632960479671966E-2</v>
      </c>
      <c r="I7" s="169" t="s">
        <v>115</v>
      </c>
      <c r="J7" s="110" t="s">
        <v>195</v>
      </c>
      <c r="K7" s="111">
        <v>0</v>
      </c>
      <c r="L7" s="111">
        <v>0</v>
      </c>
      <c r="M7" s="111">
        <v>0</v>
      </c>
      <c r="N7" s="111">
        <v>0</v>
      </c>
      <c r="O7" s="111">
        <f t="shared" si="0"/>
        <v>0</v>
      </c>
      <c r="P7" s="111">
        <f t="shared" si="1"/>
        <v>0</v>
      </c>
      <c r="Q7" s="168"/>
      <c r="R7" s="112">
        <v>41400</v>
      </c>
      <c r="S7" s="112"/>
      <c r="T7" s="168"/>
    </row>
    <row r="8" spans="2:20" x14ac:dyDescent="0.25">
      <c r="B8" s="119" t="s">
        <v>67</v>
      </c>
      <c r="C8" s="120">
        <f>EconomiaT42!C20+'A-P_T41'!C8</f>
        <v>268700</v>
      </c>
      <c r="D8" s="202">
        <f>C8/$C$34</f>
        <v>3.8184921602959526E-2</v>
      </c>
      <c r="E8" s="203" t="s">
        <v>261</v>
      </c>
      <c r="F8" s="204">
        <f>'A-P_T41'!F9</f>
        <v>687461</v>
      </c>
      <c r="G8" s="121">
        <f>F8/$F$34</f>
        <v>9.7694992147719234E-2</v>
      </c>
      <c r="I8" s="169" t="s">
        <v>120</v>
      </c>
      <c r="J8" s="110" t="s">
        <v>199</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391</v>
      </c>
      <c r="F9" s="204">
        <f>'A-P_T41'!F11-EconomiaT41!C24+EconomiaT41!C5-1344</f>
        <v>1106100</v>
      </c>
      <c r="G9" s="121">
        <f>F9/$F$34</f>
        <v>0.15718772528855054</v>
      </c>
      <c r="I9" s="169" t="s">
        <v>115</v>
      </c>
      <c r="J9" s="110" t="s">
        <v>203</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193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0.10970881830102253</v>
      </c>
      <c r="E11" s="116" t="s">
        <v>107</v>
      </c>
      <c r="F11" s="117">
        <f>SUM(F12:F17)+C9</f>
        <v>3438144</v>
      </c>
      <c r="G11" s="118">
        <f t="shared" ref="G11:G17" si="2">F11/$F$34</f>
        <v>0.48859419091807094</v>
      </c>
      <c r="I11" s="169" t="s">
        <v>115</v>
      </c>
      <c r="J11" s="110" t="s">
        <v>197</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SUMIF(I4:I88,"S",$P$4:$P$88)</f>
        <v>0</v>
      </c>
      <c r="D12" s="202">
        <f>C12/$C$34</f>
        <v>0</v>
      </c>
      <c r="E12" s="49" t="s">
        <v>122</v>
      </c>
      <c r="F12" s="131">
        <f>SUMIF(I4:I53,"J",$O$4:$O$83)</f>
        <v>0</v>
      </c>
      <c r="G12" s="121">
        <f t="shared" si="2"/>
        <v>0</v>
      </c>
      <c r="I12" s="169" t="s">
        <v>115</v>
      </c>
      <c r="J12" s="110" t="s">
        <v>191</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SUMIF(I4:I83,"J",$P$4:$P$83)</f>
        <v>772000</v>
      </c>
      <c r="D13" s="202">
        <f>C13/$C$34</f>
        <v>0.10970881830102253</v>
      </c>
      <c r="E13" s="49" t="s">
        <v>123</v>
      </c>
      <c r="F13" s="131">
        <f>SUMIF(I3:I52,"S",$O$4:$O$83)</f>
        <v>0</v>
      </c>
      <c r="G13" s="121">
        <f t="shared" si="2"/>
        <v>0</v>
      </c>
      <c r="I13" s="169" t="s">
        <v>115</v>
      </c>
      <c r="J13" s="110" t="s">
        <v>196</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SUMIF(I4:I83,"E",$P$4:$P$83)</f>
        <v>0</v>
      </c>
      <c r="D14" s="202">
        <f>C14/$C$34</f>
        <v>0</v>
      </c>
      <c r="E14" s="49" t="s">
        <v>124</v>
      </c>
      <c r="F14" s="131">
        <f>SUMIF(I4:I53,"C",$O$4:$O$83)</f>
        <v>0</v>
      </c>
      <c r="G14" s="121">
        <f t="shared" si="2"/>
        <v>0</v>
      </c>
      <c r="I14" s="169" t="s">
        <v>115</v>
      </c>
      <c r="J14" s="110" t="s">
        <v>190</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SUMIF(I4:I83,"M",$P$4:$P$83)</f>
        <v>0</v>
      </c>
      <c r="D15" s="202">
        <f>C15/$C$34</f>
        <v>0</v>
      </c>
      <c r="E15" s="49" t="s">
        <v>126</v>
      </c>
      <c r="F15" s="131">
        <f>SUMIF(I4:I53,"E",$O$4:$O$83)</f>
        <v>0</v>
      </c>
      <c r="G15" s="121">
        <f t="shared" si="2"/>
        <v>0</v>
      </c>
      <c r="I15" s="169" t="s">
        <v>115</v>
      </c>
      <c r="J15" s="110" t="s">
        <v>198</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SUMIF(I4:I53,"M",$O$4:$O$83)</f>
        <v>0</v>
      </c>
      <c r="G16" s="121">
        <f t="shared" si="2"/>
        <v>0</v>
      </c>
      <c r="I16" s="169" t="s">
        <v>115</v>
      </c>
      <c r="J16" s="110" t="s">
        <v>202</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C9+C22-F27+EconomiaT42!C24-EconomiaT42!C5</f>
        <v>3438144</v>
      </c>
      <c r="G17" s="121">
        <f t="shared" si="2"/>
        <v>0.48859419091807094</v>
      </c>
      <c r="I17" s="169" t="s">
        <v>115</v>
      </c>
      <c r="J17" s="110" t="s">
        <v>192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SUM(M4:M62)</f>
        <v>0</v>
      </c>
      <c r="D18" s="202">
        <f>C18/$C$34</f>
        <v>0</v>
      </c>
      <c r="E18" s="124"/>
      <c r="F18" s="125"/>
      <c r="G18" s="137"/>
      <c r="I18" s="169" t="s">
        <v>115</v>
      </c>
      <c r="J18" s="110" t="s">
        <v>201</v>
      </c>
      <c r="K18" s="111">
        <v>0</v>
      </c>
      <c r="L18" s="111">
        <v>0</v>
      </c>
      <c r="M18" s="111">
        <v>0</v>
      </c>
      <c r="N18" s="111">
        <v>0</v>
      </c>
      <c r="O18" s="111">
        <f t="shared" si="0"/>
        <v>0</v>
      </c>
      <c r="P18" s="111">
        <f t="shared" si="1"/>
        <v>0</v>
      </c>
      <c r="Q18" s="168"/>
      <c r="R18" s="112">
        <v>41400</v>
      </c>
      <c r="S18" s="112"/>
      <c r="T18" s="168"/>
    </row>
    <row r="19" spans="2:20" x14ac:dyDescent="0.25">
      <c r="B19" s="122" t="s">
        <v>76</v>
      </c>
      <c r="C19" s="123">
        <f>SUM(N4:N44)*-1</f>
        <v>0</v>
      </c>
      <c r="D19" s="202">
        <f>C19/$C$34</f>
        <v>0</v>
      </c>
      <c r="E19" s="116" t="s">
        <v>129</v>
      </c>
      <c r="F19" s="134">
        <f>F20+F21</f>
        <v>0</v>
      </c>
      <c r="G19" s="118">
        <f>F19/$F$34</f>
        <v>0</v>
      </c>
      <c r="I19" s="169" t="s">
        <v>115</v>
      </c>
      <c r="J19" s="110" t="s">
        <v>194</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EconomiaT42!C19</f>
        <v>0</v>
      </c>
      <c r="G20" s="121">
        <f>F20/$F$34</f>
        <v>0</v>
      </c>
      <c r="I20" s="169" t="s">
        <v>120</v>
      </c>
      <c r="J20" s="110" t="s">
        <v>293</v>
      </c>
      <c r="K20" s="111">
        <v>0</v>
      </c>
      <c r="L20" s="111">
        <v>0</v>
      </c>
      <c r="M20" s="111">
        <v>0</v>
      </c>
      <c r="N20" s="111">
        <v>0</v>
      </c>
      <c r="O20" s="111">
        <f t="shared" si="0"/>
        <v>0</v>
      </c>
      <c r="P20" s="111">
        <f t="shared" si="1"/>
        <v>0</v>
      </c>
      <c r="Q20" s="168"/>
      <c r="R20" s="112">
        <v>41519</v>
      </c>
      <c r="S20" s="112"/>
      <c r="T20" s="168"/>
    </row>
    <row r="21" spans="2:20" x14ac:dyDescent="0.25">
      <c r="B21" s="132"/>
      <c r="C21" s="133"/>
      <c r="D21" s="140"/>
      <c r="E21" s="122" t="s">
        <v>130</v>
      </c>
      <c r="F21" s="208">
        <f>SUM(L4:L53)*-1</f>
        <v>0</v>
      </c>
      <c r="G21" s="121">
        <f>F21/$F$34</f>
        <v>0</v>
      </c>
      <c r="I21" s="169" t="s">
        <v>120</v>
      </c>
      <c r="J21" s="110" t="s">
        <v>294</v>
      </c>
      <c r="K21" s="111">
        <v>0</v>
      </c>
      <c r="L21" s="111">
        <v>0</v>
      </c>
      <c r="M21" s="111">
        <v>0</v>
      </c>
      <c r="N21" s="111">
        <v>0</v>
      </c>
      <c r="O21" s="111">
        <f t="shared" si="0"/>
        <v>0</v>
      </c>
      <c r="P21" s="111">
        <f t="shared" si="1"/>
        <v>0</v>
      </c>
      <c r="Q21" s="168"/>
      <c r="R21" s="112">
        <v>41527</v>
      </c>
      <c r="S21" s="112"/>
      <c r="T21" s="168"/>
    </row>
    <row r="22" spans="2:20" x14ac:dyDescent="0.25">
      <c r="B22" s="116" t="s">
        <v>131</v>
      </c>
      <c r="C22" s="117">
        <f>SUM(C23:C27)</f>
        <v>3165941</v>
      </c>
      <c r="D22" s="140">
        <f t="shared" ref="D22:D27" si="3">C22/$C$34</f>
        <v>0.44991145844657715</v>
      </c>
      <c r="E22" s="116"/>
      <c r="F22" s="117"/>
      <c r="G22" s="118"/>
      <c r="I22" s="169" t="s">
        <v>120</v>
      </c>
      <c r="J22" s="110" t="s">
        <v>295</v>
      </c>
      <c r="K22" s="111">
        <v>0</v>
      </c>
      <c r="L22" s="111">
        <v>0</v>
      </c>
      <c r="M22" s="111">
        <v>0</v>
      </c>
      <c r="N22" s="111">
        <v>0</v>
      </c>
      <c r="O22" s="111">
        <f t="shared" si="0"/>
        <v>0</v>
      </c>
      <c r="P22" s="111">
        <f t="shared" si="1"/>
        <v>0</v>
      </c>
      <c r="Q22" s="168"/>
      <c r="R22" s="112">
        <v>41532</v>
      </c>
      <c r="S22" s="112"/>
      <c r="T22" s="168"/>
    </row>
    <row r="23" spans="2:20" x14ac:dyDescent="0.25">
      <c r="B23" s="138" t="s">
        <v>69</v>
      </c>
      <c r="C23" s="139">
        <f>EconomiaT42!C11</f>
        <v>53280</v>
      </c>
      <c r="D23" s="202">
        <f t="shared" si="3"/>
        <v>7.571613781189741E-3</v>
      </c>
      <c r="E23" s="116" t="s">
        <v>264</v>
      </c>
      <c r="F23" s="117">
        <f>SUM(F24:F25)</f>
        <v>116470</v>
      </c>
      <c r="G23" s="118">
        <f>F23/$F$34</f>
        <v>1.6551536356891314E-2</v>
      </c>
      <c r="I23" s="169" t="s">
        <v>115</v>
      </c>
      <c r="J23" s="110" t="s">
        <v>387</v>
      </c>
      <c r="K23" s="111">
        <v>772000</v>
      </c>
      <c r="L23" s="111">
        <v>0</v>
      </c>
      <c r="M23" s="111">
        <v>0</v>
      </c>
      <c r="N23" s="111">
        <v>0</v>
      </c>
      <c r="O23" s="111">
        <f t="shared" si="0"/>
        <v>0</v>
      </c>
      <c r="P23" s="111">
        <f t="shared" si="1"/>
        <v>772000</v>
      </c>
      <c r="Q23" s="168"/>
      <c r="R23" s="112">
        <v>41576</v>
      </c>
      <c r="S23" s="112"/>
      <c r="T23" s="168"/>
    </row>
    <row r="24" spans="2:20" x14ac:dyDescent="0.25">
      <c r="B24" s="138" t="s">
        <v>79</v>
      </c>
      <c r="C24" s="139">
        <f>EconomiaT42!C12</f>
        <v>150000</v>
      </c>
      <c r="D24" s="202">
        <f t="shared" si="3"/>
        <v>2.1316480239835983E-2</v>
      </c>
      <c r="E24" s="206" t="s">
        <v>84</v>
      </c>
      <c r="F24" s="209">
        <f>EconomiaT42!C16</f>
        <v>116470</v>
      </c>
      <c r="G24" s="121">
        <f>F24/$F$34</f>
        <v>1.6551536356891314E-2</v>
      </c>
      <c r="I24" s="169" t="s">
        <v>120</v>
      </c>
      <c r="J24" s="110" t="s">
        <v>396</v>
      </c>
      <c r="K24" s="111">
        <v>0</v>
      </c>
      <c r="L24" s="111">
        <v>0</v>
      </c>
      <c r="M24" s="111">
        <v>0</v>
      </c>
      <c r="N24" s="111">
        <v>0</v>
      </c>
      <c r="O24" s="111">
        <f t="shared" ref="O24" si="4">IF(M24=0,0,M24-K24)-N24</f>
        <v>0</v>
      </c>
      <c r="P24" s="111">
        <f t="shared" ref="P24" si="5">IF(M24=0,K24,0)</f>
        <v>0</v>
      </c>
      <c r="Q24" s="168"/>
      <c r="R24" s="112">
        <v>41583</v>
      </c>
      <c r="S24" s="112"/>
      <c r="T24" s="168"/>
    </row>
    <row r="25" spans="2:20" x14ac:dyDescent="0.25">
      <c r="B25" s="138" t="s">
        <v>71</v>
      </c>
      <c r="C25" s="139">
        <f>EconomiaT42!C6</f>
        <v>1882541</v>
      </c>
      <c r="D25" s="202">
        <f t="shared" si="3"/>
        <v>0.26752765351454044</v>
      </c>
      <c r="E25" s="206" t="s">
        <v>67</v>
      </c>
      <c r="F25" s="209">
        <f>EconomiaT42!C20</f>
        <v>0</v>
      </c>
      <c r="G25" s="121">
        <f>F25/$F$34</f>
        <v>0</v>
      </c>
      <c r="I25" s="169" t="s">
        <v>120</v>
      </c>
      <c r="J25" s="110" t="s">
        <v>397</v>
      </c>
      <c r="K25" s="111">
        <v>0</v>
      </c>
      <c r="L25" s="111">
        <v>0</v>
      </c>
      <c r="M25" s="111">
        <v>0</v>
      </c>
      <c r="N25" s="111">
        <v>0</v>
      </c>
      <c r="O25" s="111">
        <f t="shared" ref="O25" si="6">IF(M25=0,0,M25-K25)-N25</f>
        <v>0</v>
      </c>
      <c r="P25" s="111">
        <f t="shared" ref="P25" si="7">IF(M25=0,K25,0)</f>
        <v>0</v>
      </c>
      <c r="Q25" s="168"/>
      <c r="R25" s="112">
        <v>41539</v>
      </c>
      <c r="S25" s="112"/>
      <c r="T25" s="168"/>
    </row>
    <row r="26" spans="2:20" x14ac:dyDescent="0.25">
      <c r="B26" s="138" t="s">
        <v>72</v>
      </c>
      <c r="C26" s="139">
        <f>EconomiaT42!C7</f>
        <v>1080120</v>
      </c>
      <c r="D26" s="202">
        <f t="shared" si="3"/>
        <v>0.15349571091101094</v>
      </c>
      <c r="E26" s="116"/>
      <c r="F26" s="117"/>
      <c r="G26" s="118"/>
      <c r="I26" s="169" t="s">
        <v>120</v>
      </c>
      <c r="J26" s="110" t="s">
        <v>398</v>
      </c>
      <c r="K26" s="111">
        <v>0</v>
      </c>
      <c r="L26" s="111">
        <v>0</v>
      </c>
      <c r="M26" s="111">
        <v>0</v>
      </c>
      <c r="N26" s="111">
        <v>0</v>
      </c>
      <c r="O26" s="111">
        <f t="shared" ref="O26" si="8">IF(M26=0,0,M26-K26)-N26</f>
        <v>0</v>
      </c>
      <c r="P26" s="111">
        <f t="shared" ref="P26" si="9">IF(M26=0,K26,0)</f>
        <v>0</v>
      </c>
      <c r="Q26" s="168"/>
      <c r="R26" s="112">
        <v>41605</v>
      </c>
      <c r="S26" s="112"/>
      <c r="T26" s="168"/>
    </row>
    <row r="27" spans="2:20" x14ac:dyDescent="0.25">
      <c r="B27" s="138" t="s">
        <v>76</v>
      </c>
      <c r="C27" s="139">
        <f>EconomiaT42!C10</f>
        <v>0</v>
      </c>
      <c r="D27" s="202">
        <f t="shared" si="3"/>
        <v>0</v>
      </c>
      <c r="E27" s="116" t="s">
        <v>265</v>
      </c>
      <c r="F27" s="117">
        <f>SUM(F28:F33)</f>
        <v>1388634</v>
      </c>
      <c r="G27" s="118">
        <f t="shared" ref="G27:G33" si="10">F27/$F$34</f>
        <v>0.19733859480909599</v>
      </c>
      <c r="I27" s="169" t="s">
        <v>120</v>
      </c>
      <c r="J27" s="110" t="s">
        <v>399</v>
      </c>
      <c r="K27" s="111">
        <v>0</v>
      </c>
      <c r="L27" s="111">
        <v>0</v>
      </c>
      <c r="M27" s="111">
        <v>0</v>
      </c>
      <c r="N27" s="111">
        <v>0</v>
      </c>
      <c r="O27" s="111">
        <f t="shared" ref="O27" si="11">IF(M27=0,0,M27-K27)-N27</f>
        <v>0</v>
      </c>
      <c r="P27" s="111">
        <f t="shared" ref="P27" si="12">IF(M27=0,K27,0)</f>
        <v>0</v>
      </c>
      <c r="Q27" s="168"/>
      <c r="R27" s="112">
        <v>41552</v>
      </c>
      <c r="S27" s="112"/>
      <c r="T27" s="168"/>
    </row>
    <row r="28" spans="2:20" x14ac:dyDescent="0.25">
      <c r="B28" s="116"/>
      <c r="C28" s="117"/>
      <c r="D28" s="140"/>
      <c r="E28" s="206" t="s">
        <v>132</v>
      </c>
      <c r="F28" s="209">
        <f>EconomiaT42!C14</f>
        <v>280442</v>
      </c>
      <c r="G28" s="121">
        <f t="shared" si="10"/>
        <v>3.9853575676133887E-2</v>
      </c>
      <c r="I28" s="17"/>
      <c r="J28" s="108"/>
      <c r="K28" s="126"/>
      <c r="L28" s="126"/>
      <c r="M28" s="126"/>
      <c r="N28" s="126"/>
      <c r="O28" s="126"/>
      <c r="P28" s="126"/>
      <c r="Q28" s="127"/>
      <c r="R28" s="128"/>
      <c r="S28" s="128"/>
      <c r="T28" s="167"/>
    </row>
    <row r="29" spans="2:20" x14ac:dyDescent="0.25">
      <c r="B29" s="116" t="s">
        <v>133</v>
      </c>
      <c r="C29" s="117">
        <f>EconomiaT42!S24</f>
        <v>1770468</v>
      </c>
      <c r="D29" s="140">
        <f>C29/$C$34</f>
        <v>0.25160097424841288</v>
      </c>
      <c r="E29" s="206" t="s">
        <v>82</v>
      </c>
      <c r="F29" s="209">
        <f>EconomiaT42!C15</f>
        <v>252692</v>
      </c>
      <c r="G29" s="121">
        <f t="shared" si="10"/>
        <v>3.5910026831764225E-2</v>
      </c>
      <c r="I29" s="17"/>
      <c r="J29" s="108"/>
      <c r="K29" s="126"/>
      <c r="L29" s="126"/>
      <c r="M29" s="126"/>
      <c r="N29" s="126"/>
      <c r="O29" s="126"/>
      <c r="P29" s="126"/>
      <c r="Q29" s="127"/>
      <c r="R29" s="128"/>
      <c r="S29" s="128"/>
      <c r="T29" s="167"/>
    </row>
    <row r="30" spans="2:20" x14ac:dyDescent="0.25">
      <c r="B30" s="116"/>
      <c r="C30" s="117"/>
      <c r="D30" s="140"/>
      <c r="E30" s="206" t="s">
        <v>85</v>
      </c>
      <c r="F30" s="209">
        <f>EconomiaT42!C17</f>
        <v>491400</v>
      </c>
      <c r="G30" s="121">
        <f t="shared" si="10"/>
        <v>6.9832789265702674E-2</v>
      </c>
      <c r="I30" s="17"/>
      <c r="J30" s="108"/>
      <c r="K30" s="126"/>
      <c r="L30" s="126"/>
      <c r="M30" s="126"/>
      <c r="N30" s="126"/>
      <c r="O30" s="126"/>
      <c r="P30" s="126"/>
      <c r="Q30" s="127"/>
      <c r="R30" s="128"/>
      <c r="S30" s="128"/>
      <c r="T30" s="167"/>
    </row>
    <row r="31" spans="2:20" x14ac:dyDescent="0.25">
      <c r="B31" s="116"/>
      <c r="C31" s="117"/>
      <c r="D31" s="140"/>
      <c r="E31" s="206" t="s">
        <v>86</v>
      </c>
      <c r="F31" s="209">
        <f>EconomiaT42!C18</f>
        <v>320000</v>
      </c>
      <c r="G31" s="121">
        <f t="shared" si="10"/>
        <v>4.5475157844983433E-2</v>
      </c>
      <c r="I31" s="17"/>
      <c r="J31" s="108"/>
      <c r="K31" s="126"/>
      <c r="L31" s="126"/>
      <c r="M31" s="126"/>
      <c r="N31" s="126"/>
      <c r="O31" s="126"/>
      <c r="P31" s="126"/>
      <c r="Q31" s="127"/>
      <c r="R31" s="128"/>
      <c r="S31" s="128"/>
      <c r="T31" s="167"/>
    </row>
    <row r="32" spans="2:20" x14ac:dyDescent="0.25">
      <c r="B32" s="116"/>
      <c r="C32" s="117"/>
      <c r="D32" s="140"/>
      <c r="E32" s="206" t="s">
        <v>89</v>
      </c>
      <c r="F32" s="209">
        <f>EconomiaT42!C21</f>
        <v>44100</v>
      </c>
      <c r="G32" s="121">
        <f t="shared" si="10"/>
        <v>6.2670451905117788E-3</v>
      </c>
      <c r="I32" s="17"/>
      <c r="J32" s="108"/>
      <c r="K32" s="126"/>
      <c r="L32" s="126"/>
      <c r="M32" s="126"/>
      <c r="N32" s="126"/>
      <c r="O32" s="126"/>
      <c r="P32" s="126"/>
      <c r="Q32" s="127"/>
      <c r="R32" s="128"/>
      <c r="S32" s="128"/>
      <c r="T32" s="167"/>
    </row>
    <row r="33" spans="2:20" x14ac:dyDescent="0.25">
      <c r="B33" s="141"/>
      <c r="C33" s="142"/>
      <c r="D33" s="140"/>
      <c r="E33" s="206" t="s">
        <v>90</v>
      </c>
      <c r="F33" s="209">
        <f>EconomiaT42!C22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7"/>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280"/>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xr:uid="{00000000-0009-0000-0000-000018000000}"/>
  <mergeCells count="5">
    <mergeCell ref="B2:G2"/>
    <mergeCell ref="I2:T2"/>
    <mergeCell ref="B3:G3"/>
    <mergeCell ref="B4:C4"/>
    <mergeCell ref="E4:F4"/>
  </mergeCells>
  <conditionalFormatting sqref="F12:F17 O4:O48 T4:T48 Q4:Q48">
    <cfRule type="cellIs" dxfId="290" priority="1" operator="lessThan">
      <formula>0</formula>
    </cfRule>
    <cfRule type="cellIs" dxfId="289"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483</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70</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71</v>
      </c>
      <c r="B6" s="67" t="s">
        <v>71</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71</v>
      </c>
      <c r="Z6" s="71">
        <f>C6/$C$13</f>
        <v>0.5840639165329885</v>
      </c>
    </row>
    <row r="7" spans="1:26" x14ac:dyDescent="0.25">
      <c r="A7" s="67" t="s">
        <v>72</v>
      </c>
      <c r="B7" s="67" t="s">
        <v>72</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72</v>
      </c>
      <c r="Z7" s="71">
        <f t="shared" ref="Z7:Z12" si="4">C7/$C$13</f>
        <v>0.40020591280373652</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1.4407556936503879E-5</v>
      </c>
    </row>
    <row r="11" spans="1:26" x14ac:dyDescent="0.25">
      <c r="A11" s="712" t="s">
        <v>77</v>
      </c>
      <c r="B11" s="67" t="s">
        <v>78</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78</v>
      </c>
      <c r="Z11" s="71">
        <f t="shared" si="4"/>
        <v>1.5715763106338432E-2</v>
      </c>
    </row>
    <row r="12" spans="1:26" x14ac:dyDescent="0.25">
      <c r="A12" s="713"/>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81</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14">
        <f>C13</f>
        <v>3470401</v>
      </c>
      <c r="Z14" s="715"/>
    </row>
    <row r="15" spans="1:26" x14ac:dyDescent="0.25">
      <c r="A15" s="80" t="s">
        <v>82</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83</v>
      </c>
      <c r="B16" s="81" t="s">
        <v>84</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85</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77</v>
      </c>
      <c r="B20" s="81" t="s">
        <v>67</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89</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90</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91</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81</v>
      </c>
      <c r="Z23" s="91">
        <f>C14/$C$23</f>
        <v>8.2261667981976844E-2</v>
      </c>
    </row>
    <row r="24" spans="1:26" s="66" customFormat="1" ht="18.75" x14ac:dyDescent="0.3">
      <c r="A24" s="92" t="s">
        <v>92</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82</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84</v>
      </c>
      <c r="Z25" s="91">
        <f t="shared" si="13"/>
        <v>5.7276371777269644E-2</v>
      </c>
    </row>
    <row r="26" spans="1:26" s="53" customFormat="1" x14ac:dyDescent="0.25">
      <c r="A26" s="716" t="s">
        <v>93</v>
      </c>
      <c r="B26" s="716"/>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85</v>
      </c>
      <c r="Z26" s="91">
        <f t="shared" si="13"/>
        <v>0.2255080313659498</v>
      </c>
    </row>
    <row r="27" spans="1:26" s="53" customFormat="1" x14ac:dyDescent="0.25">
      <c r="A27" s="717" t="s">
        <v>94</v>
      </c>
      <c r="B27" s="717"/>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86</v>
      </c>
      <c r="Z27" s="91">
        <f t="shared" si="13"/>
        <v>7.3605232595985254E-2</v>
      </c>
    </row>
    <row r="28" spans="1:26" x14ac:dyDescent="0.25">
      <c r="A28" s="718" t="s">
        <v>95</v>
      </c>
      <c r="B28" s="718"/>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88</v>
      </c>
      <c r="Z28" s="91">
        <f t="shared" si="13"/>
        <v>0</v>
      </c>
    </row>
    <row r="29" spans="1:26" x14ac:dyDescent="0.25">
      <c r="A29" s="716" t="s">
        <v>96</v>
      </c>
      <c r="B29" s="716"/>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67</v>
      </c>
      <c r="Z29" s="91">
        <f t="shared" si="13"/>
        <v>0.47585782873304461</v>
      </c>
    </row>
    <row r="30" spans="1:26" s="59" customFormat="1" x14ac:dyDescent="0.25">
      <c r="A30" s="717" t="s">
        <v>97</v>
      </c>
      <c r="B30" s="717"/>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89</v>
      </c>
      <c r="Z30" s="91">
        <f t="shared" si="13"/>
        <v>2.0471455315758398E-2</v>
      </c>
    </row>
    <row r="31" spans="1:26" s="59" customFormat="1" x14ac:dyDescent="0.25">
      <c r="A31" s="718" t="s">
        <v>98</v>
      </c>
      <c r="B31" s="718"/>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90</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9" t="s">
        <v>437</v>
      </c>
      <c r="C33" s="173" t="s">
        <v>181</v>
      </c>
      <c r="D33" s="174"/>
      <c r="E33" s="174"/>
      <c r="F33" s="174">
        <v>71520</v>
      </c>
      <c r="G33" s="174">
        <v>73260</v>
      </c>
      <c r="H33" s="174">
        <v>75770</v>
      </c>
      <c r="I33" s="174">
        <v>78340</v>
      </c>
      <c r="J33" s="174">
        <v>83470</v>
      </c>
      <c r="K33" s="174">
        <v>87400</v>
      </c>
      <c r="L33" s="174">
        <v>88060</v>
      </c>
      <c r="M33" s="174">
        <v>88720</v>
      </c>
      <c r="N33" s="174">
        <v>92380</v>
      </c>
      <c r="O33" s="174">
        <v>99790</v>
      </c>
      <c r="P33" s="174">
        <v>107180</v>
      </c>
      <c r="Q33" s="174">
        <v>108160</v>
      </c>
      <c r="R33" s="174">
        <v>109620</v>
      </c>
      <c r="S33" s="174">
        <v>114480</v>
      </c>
      <c r="Y33" s="709">
        <f>C23</f>
        <v>4347517</v>
      </c>
      <c r="Z33" s="710"/>
    </row>
    <row r="34" spans="1:26" x14ac:dyDescent="0.25">
      <c r="A34" s="57"/>
      <c r="B34" s="719"/>
      <c r="C34" s="173" t="s">
        <v>104</v>
      </c>
      <c r="D34" s="174"/>
      <c r="E34" s="174"/>
      <c r="F34" s="174">
        <v>20200</v>
      </c>
      <c r="G34" s="174">
        <v>20490</v>
      </c>
      <c r="H34" s="174">
        <v>20660</v>
      </c>
      <c r="I34" s="174">
        <v>21200</v>
      </c>
      <c r="J34" s="174">
        <v>21200</v>
      </c>
      <c r="K34" s="174">
        <v>21360</v>
      </c>
      <c r="L34" s="174">
        <v>22640</v>
      </c>
      <c r="M34" s="174">
        <v>23040</v>
      </c>
      <c r="N34" s="174">
        <v>23040</v>
      </c>
      <c r="O34" s="174">
        <v>23140</v>
      </c>
      <c r="P34" s="174">
        <v>23470</v>
      </c>
      <c r="Q34" s="174">
        <v>23100</v>
      </c>
      <c r="R34" s="174">
        <v>23900</v>
      </c>
      <c r="S34" s="174">
        <v>24470</v>
      </c>
    </row>
    <row r="35" spans="1:26" x14ac:dyDescent="0.25">
      <c r="A35" s="57"/>
      <c r="B35" s="719"/>
      <c r="C35" s="173" t="s">
        <v>61</v>
      </c>
      <c r="D35" s="175"/>
      <c r="E35" s="175"/>
      <c r="F35" s="175" t="s">
        <v>436</v>
      </c>
      <c r="G35" s="175" t="s">
        <v>440</v>
      </c>
      <c r="H35" s="175" t="s">
        <v>450</v>
      </c>
      <c r="I35" s="175" t="s">
        <v>452</v>
      </c>
      <c r="J35" s="175" t="s">
        <v>454</v>
      </c>
      <c r="K35" s="175" t="s">
        <v>456</v>
      </c>
      <c r="L35" s="175" t="s">
        <v>465</v>
      </c>
      <c r="M35" s="175" t="s">
        <v>466</v>
      </c>
      <c r="N35" s="175" t="s">
        <v>474</v>
      </c>
      <c r="O35" s="175" t="s">
        <v>475</v>
      </c>
      <c r="P35" s="175" t="s">
        <v>477</v>
      </c>
      <c r="Q35" s="175" t="s">
        <v>478</v>
      </c>
      <c r="R35" s="175" t="s">
        <v>480</v>
      </c>
      <c r="S35" s="175" t="s">
        <v>481</v>
      </c>
    </row>
    <row r="36" spans="1:26" x14ac:dyDescent="0.25">
      <c r="A36" s="57"/>
      <c r="B36" s="719"/>
      <c r="C36" s="173" t="s">
        <v>210</v>
      </c>
      <c r="D36" s="176"/>
      <c r="E36" s="176"/>
      <c r="F36" s="176">
        <v>3.25</v>
      </c>
      <c r="G36" s="176">
        <v>3.25</v>
      </c>
      <c r="H36" s="176">
        <v>3.5</v>
      </c>
      <c r="I36" s="176">
        <v>3.5</v>
      </c>
      <c r="J36" s="176">
        <v>3.5</v>
      </c>
      <c r="K36" s="176">
        <v>3.5</v>
      </c>
      <c r="L36" s="176">
        <v>3.75</v>
      </c>
      <c r="M36" s="176">
        <v>3.75</v>
      </c>
      <c r="N36" s="176">
        <v>3.75</v>
      </c>
      <c r="O36" s="176">
        <v>3.75</v>
      </c>
      <c r="P36" s="176">
        <v>3.75</v>
      </c>
      <c r="Q36" s="176">
        <v>4</v>
      </c>
      <c r="R36" s="176">
        <v>4</v>
      </c>
      <c r="S36" s="176">
        <v>4</v>
      </c>
    </row>
    <row r="37" spans="1:26" x14ac:dyDescent="0.25">
      <c r="B37" s="719"/>
      <c r="C37" s="173" t="s">
        <v>211</v>
      </c>
      <c r="D37" s="176"/>
      <c r="E37" s="176"/>
      <c r="F37" s="176">
        <v>5.25</v>
      </c>
      <c r="G37" s="176">
        <v>5</v>
      </c>
      <c r="H37" s="176">
        <v>5.5</v>
      </c>
      <c r="I37" s="176">
        <v>5.75</v>
      </c>
      <c r="J37" s="176">
        <v>6</v>
      </c>
      <c r="K37" s="176">
        <v>6</v>
      </c>
      <c r="L37" s="176">
        <v>6</v>
      </c>
      <c r="M37" s="176">
        <v>5.75</v>
      </c>
      <c r="N37" s="176">
        <v>5.75</v>
      </c>
      <c r="O37" s="176">
        <v>5.75</v>
      </c>
      <c r="P37" s="176">
        <v>6</v>
      </c>
      <c r="Q37" s="176">
        <v>5.75</v>
      </c>
      <c r="R37" s="176">
        <v>5.5</v>
      </c>
      <c r="S37" s="176">
        <v>5.5</v>
      </c>
    </row>
    <row r="38" spans="1:26" x14ac:dyDescent="0.25">
      <c r="B38" s="719"/>
      <c r="C38" s="173" t="s">
        <v>257</v>
      </c>
      <c r="D38" s="176"/>
      <c r="E38" s="176"/>
      <c r="F38" s="176">
        <v>1.75</v>
      </c>
      <c r="G38" s="176">
        <v>1.75</v>
      </c>
      <c r="H38" s="176">
        <v>1.75</v>
      </c>
      <c r="I38" s="176">
        <v>1.75</v>
      </c>
      <c r="J38" s="176">
        <v>1.75</v>
      </c>
      <c r="K38" s="176">
        <v>2</v>
      </c>
      <c r="L38" s="176">
        <v>2</v>
      </c>
      <c r="M38" s="176">
        <v>2</v>
      </c>
      <c r="N38" s="176">
        <v>2</v>
      </c>
      <c r="O38" s="176">
        <v>2</v>
      </c>
      <c r="P38" s="176">
        <v>2</v>
      </c>
      <c r="Q38" s="176">
        <v>2</v>
      </c>
      <c r="R38" s="176">
        <v>2</v>
      </c>
      <c r="S38" s="176">
        <v>2</v>
      </c>
    </row>
    <row r="39" spans="1:26" ht="15" customHeight="1" x14ac:dyDescent="0.25">
      <c r="C39" s="164" t="s">
        <v>438</v>
      </c>
      <c r="F39" s="288">
        <f t="shared" ref="F39:S39" si="21">F33/F34</f>
        <v>3.5405940594059406</v>
      </c>
      <c r="G39" s="288">
        <f t="shared" si="21"/>
        <v>3.5754026354319182</v>
      </c>
      <c r="H39" s="288">
        <f t="shared" si="21"/>
        <v>3.6674733785091966</v>
      </c>
      <c r="I39" s="288">
        <f t="shared" si="21"/>
        <v>3.6952830188679244</v>
      </c>
      <c r="J39" s="288">
        <f t="shared" si="21"/>
        <v>3.9372641509433963</v>
      </c>
      <c r="K39" s="288">
        <f t="shared" si="21"/>
        <v>4.0917602996254683</v>
      </c>
      <c r="L39" s="288">
        <f t="shared" si="21"/>
        <v>3.8895759717314489</v>
      </c>
      <c r="M39" s="288">
        <f t="shared" si="21"/>
        <v>3.8506944444444446</v>
      </c>
      <c r="N39" s="288">
        <f t="shared" si="21"/>
        <v>4.0095486111111107</v>
      </c>
      <c r="O39" s="288">
        <f t="shared" si="21"/>
        <v>4.3124459809853066</v>
      </c>
      <c r="P39" s="288">
        <f t="shared" si="21"/>
        <v>4.5666808691947169</v>
      </c>
      <c r="Q39" s="288">
        <f t="shared" si="21"/>
        <v>4.6822510822510823</v>
      </c>
      <c r="R39" s="288">
        <f t="shared" si="21"/>
        <v>4.5866108786610882</v>
      </c>
      <c r="S39" s="288">
        <f t="shared" si="21"/>
        <v>4.6783816918675933</v>
      </c>
    </row>
    <row r="40" spans="1:26" ht="15" customHeight="1" x14ac:dyDescent="0.25">
      <c r="E40" s="106"/>
      <c r="G40" s="711"/>
      <c r="H40" s="711"/>
      <c r="I40" s="711"/>
      <c r="J40" s="711"/>
    </row>
    <row r="41" spans="1:26" x14ac:dyDescent="0.25">
      <c r="G41" s="258"/>
      <c r="H41" s="258"/>
      <c r="I41" s="258"/>
      <c r="J41" s="258"/>
    </row>
    <row r="42" spans="1:26" x14ac:dyDescent="0.25">
      <c r="E42" s="106"/>
      <c r="G42" s="258"/>
      <c r="H42" s="258"/>
      <c r="I42" s="258"/>
      <c r="J42" s="258"/>
    </row>
    <row r="43" spans="1:26" x14ac:dyDescent="0.25">
      <c r="G43" s="292"/>
      <c r="H43" s="258"/>
      <c r="I43" s="258"/>
      <c r="J43" s="258"/>
    </row>
    <row r="44" spans="1:26" x14ac:dyDescent="0.25">
      <c r="G44" s="258"/>
      <c r="H44" s="258"/>
      <c r="I44" s="258"/>
      <c r="J44" s="258"/>
    </row>
    <row r="45" spans="1:26" x14ac:dyDescent="0.25">
      <c r="G45" s="258"/>
      <c r="H45" s="258"/>
      <c r="I45" s="258"/>
      <c r="J45" s="258"/>
    </row>
    <row r="46" spans="1:26" x14ac:dyDescent="0.25">
      <c r="G46" s="258"/>
      <c r="H46" s="258"/>
      <c r="I46" s="258"/>
      <c r="J46" s="258"/>
    </row>
    <row r="47" spans="1:26" x14ac:dyDescent="0.25">
      <c r="G47" s="258"/>
      <c r="H47" s="258"/>
      <c r="I47" s="258"/>
      <c r="J47" s="258"/>
    </row>
    <row r="48" spans="1:26" x14ac:dyDescent="0.25">
      <c r="G48" s="258"/>
      <c r="H48" s="258"/>
      <c r="I48" s="258"/>
      <c r="J48" s="258"/>
    </row>
    <row r="49" spans="7:10" x14ac:dyDescent="0.25">
      <c r="G49" s="720"/>
      <c r="H49" s="720"/>
      <c r="I49" s="720"/>
      <c r="J49" s="720"/>
    </row>
    <row r="50" spans="7:10" x14ac:dyDescent="0.25">
      <c r="G50" s="258"/>
      <c r="H50" s="258"/>
      <c r="I50" s="258"/>
      <c r="J50" s="258"/>
    </row>
    <row r="51" spans="7:10" x14ac:dyDescent="0.25">
      <c r="G51" s="720"/>
      <c r="H51" s="720"/>
      <c r="I51" s="720"/>
      <c r="J51" s="720"/>
    </row>
    <row r="52" spans="7:10" ht="15" customHeight="1" x14ac:dyDescent="0.25">
      <c r="G52" s="720"/>
      <c r="H52" s="720"/>
      <c r="I52" s="720"/>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21" t="s">
        <v>424</v>
      </c>
      <c r="C2" s="722"/>
      <c r="D2" s="722"/>
      <c r="E2" s="722"/>
      <c r="F2" s="722"/>
      <c r="G2" s="723"/>
      <c r="I2" s="731" t="s">
        <v>425</v>
      </c>
      <c r="J2" s="731"/>
      <c r="K2" s="731"/>
      <c r="L2" s="731"/>
      <c r="M2" s="731"/>
      <c r="N2" s="731"/>
      <c r="O2" s="731"/>
      <c r="P2" s="731"/>
      <c r="Q2" s="731"/>
      <c r="R2" s="731"/>
      <c r="S2" s="731"/>
      <c r="T2" s="731"/>
    </row>
    <row r="3" spans="2:20" x14ac:dyDescent="0.25">
      <c r="B3" s="725" t="s">
        <v>102</v>
      </c>
      <c r="C3" s="726"/>
      <c r="D3" s="726"/>
      <c r="E3" s="726"/>
      <c r="F3" s="726"/>
      <c r="G3" s="727"/>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8" t="s">
        <v>113</v>
      </c>
      <c r="C4" s="729"/>
      <c r="D4" s="109"/>
      <c r="E4" s="730" t="s">
        <v>114</v>
      </c>
      <c r="F4" s="729"/>
      <c r="G4" s="109"/>
      <c r="I4" s="287" t="s">
        <v>435</v>
      </c>
      <c r="J4" s="108" t="s">
        <v>387</v>
      </c>
      <c r="K4" s="126">
        <v>0</v>
      </c>
      <c r="L4" s="126">
        <v>0</v>
      </c>
      <c r="M4" s="126">
        <v>0</v>
      </c>
      <c r="N4" s="126">
        <v>0</v>
      </c>
      <c r="O4" s="126">
        <f t="shared" ref="O4" si="0">IF(M4=0,0,M4-K4)-N4</f>
        <v>0</v>
      </c>
      <c r="P4" s="126">
        <v>772000</v>
      </c>
      <c r="Q4" s="127"/>
      <c r="R4" s="128">
        <v>41576</v>
      </c>
      <c r="S4" s="128"/>
      <c r="T4" s="127"/>
    </row>
    <row r="5" spans="2:20" x14ac:dyDescent="0.25">
      <c r="B5" s="113"/>
      <c r="C5" s="114"/>
      <c r="D5" s="201"/>
      <c r="E5" s="113"/>
      <c r="F5" s="114"/>
      <c r="G5" s="115"/>
    </row>
    <row r="6" spans="2:20" x14ac:dyDescent="0.25">
      <c r="B6" s="116" t="s">
        <v>116</v>
      </c>
      <c r="C6" s="117">
        <f>SUM(C7:C9)</f>
        <v>3377510</v>
      </c>
      <c r="D6" s="140">
        <f>C6/$C$34</f>
        <v>0.43616962202188397</v>
      </c>
      <c r="E6" s="116" t="s">
        <v>117</v>
      </c>
      <c r="F6" s="117">
        <f>F7+F8+F9</f>
        <v>3873175</v>
      </c>
      <c r="G6" s="118">
        <f>F6/$F$34</f>
        <v>0.5001795037689335</v>
      </c>
    </row>
    <row r="7" spans="2:20" x14ac:dyDescent="0.25">
      <c r="B7" s="119" t="s">
        <v>84</v>
      </c>
      <c r="C7" s="120">
        <f>EconomiaT43!C16+'A-P_T42'!C7</f>
        <v>1308710</v>
      </c>
      <c r="D7" s="202">
        <f>C7/$C$34</f>
        <v>0.1690060269358965</v>
      </c>
      <c r="E7" s="203" t="s">
        <v>118</v>
      </c>
      <c r="F7" s="204">
        <v>300000</v>
      </c>
      <c r="G7" s="121">
        <f>F7/$F$34</f>
        <v>3.8741820633118831E-2</v>
      </c>
    </row>
    <row r="8" spans="2:20" x14ac:dyDescent="0.25">
      <c r="B8" s="119" t="s">
        <v>67</v>
      </c>
      <c r="C8" s="120">
        <f>EconomiaT43!C20+'A-P_T42'!C8+P4</f>
        <v>3109500</v>
      </c>
      <c r="D8" s="202">
        <f>C8/$C$34</f>
        <v>0.40155897086227671</v>
      </c>
      <c r="E8" s="203" t="s">
        <v>261</v>
      </c>
      <c r="F8" s="204">
        <f>'A-P_T42'!F9+'A-P_T42'!F8</f>
        <v>1793561</v>
      </c>
      <c r="G8" s="121">
        <f>F8/$F$34</f>
        <v>0.23161939518852415</v>
      </c>
    </row>
    <row r="9" spans="2:20" x14ac:dyDescent="0.25">
      <c r="B9" s="122" t="s">
        <v>119</v>
      </c>
      <c r="C9" s="123">
        <v>-1040700</v>
      </c>
      <c r="D9" s="202">
        <f>C9/$C$34</f>
        <v>-0.13439537577628924</v>
      </c>
      <c r="E9" s="203" t="s">
        <v>426</v>
      </c>
      <c r="F9" s="204">
        <f>'A-P_T42'!F11-EconomiaT42!C24+EconomiaT42!C5+2307</f>
        <v>1779614</v>
      </c>
      <c r="G9" s="121">
        <f>F9/$F$34</f>
        <v>0.22981828794729045</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-477122</v>
      </c>
      <c r="G11" s="118">
        <f t="shared" ref="G11:G17" si="1">F11/$F$34</f>
        <v>-6.1615249813716411E-2</v>
      </c>
    </row>
    <row r="12" spans="2:20" x14ac:dyDescent="0.25">
      <c r="B12" s="129" t="s">
        <v>121</v>
      </c>
      <c r="C12" s="130">
        <f>SUMIF(I4:I44,"S",$P$4:$P$44)</f>
        <v>0</v>
      </c>
      <c r="D12" s="202">
        <f>C12/$C$34</f>
        <v>0</v>
      </c>
      <c r="E12" s="49" t="s">
        <v>122</v>
      </c>
      <c r="F12" s="131">
        <f>SUMIF(I4:I9,"J",$O$4:$O$39)</f>
        <v>0</v>
      </c>
      <c r="G12" s="121">
        <f t="shared" si="1"/>
        <v>0</v>
      </c>
    </row>
    <row r="13" spans="2:20" x14ac:dyDescent="0.25">
      <c r="B13" s="129" t="s">
        <v>100</v>
      </c>
      <c r="C13" s="130">
        <f>SUMIF(I4:I39,"J",$P$4:$P$39)</f>
        <v>0</v>
      </c>
      <c r="D13" s="202">
        <f>C13/$C$34</f>
        <v>0</v>
      </c>
      <c r="E13" s="49" t="s">
        <v>123</v>
      </c>
      <c r="F13" s="131">
        <f>SUMIF(I3:I8,"S",$O$4:$O$39)</f>
        <v>0</v>
      </c>
      <c r="G13" s="121">
        <f t="shared" si="1"/>
        <v>0</v>
      </c>
    </row>
    <row r="14" spans="2:20" x14ac:dyDescent="0.25">
      <c r="B14" s="129" t="s">
        <v>99</v>
      </c>
      <c r="C14" s="130">
        <f>SUMIF(I4:I39,"E",$P$4:$P$39)</f>
        <v>0</v>
      </c>
      <c r="D14" s="202">
        <f>C14/$C$34</f>
        <v>0</v>
      </c>
      <c r="E14" s="49" t="s">
        <v>124</v>
      </c>
      <c r="F14" s="131">
        <f>SUMIF(I4:I9,"C",$O$4:$O$39)</f>
        <v>0</v>
      </c>
      <c r="G14" s="121">
        <f t="shared" si="1"/>
        <v>0</v>
      </c>
    </row>
    <row r="15" spans="2:20" x14ac:dyDescent="0.25">
      <c r="B15" s="129" t="s">
        <v>125</v>
      </c>
      <c r="C15" s="130">
        <f>SUMIF(I4:I39,"M",$P$4:$P$39)</f>
        <v>0</v>
      </c>
      <c r="D15" s="202">
        <f>C15/$C$34</f>
        <v>0</v>
      </c>
      <c r="E15" s="49" t="s">
        <v>126</v>
      </c>
      <c r="F15" s="131">
        <f>SUMIF(I4:I9,"E",$O$4:$O$39)</f>
        <v>0</v>
      </c>
      <c r="G15" s="121">
        <f t="shared" si="1"/>
        <v>0</v>
      </c>
    </row>
    <row r="16" spans="2:20" x14ac:dyDescent="0.25">
      <c r="B16" s="132"/>
      <c r="C16" s="133"/>
      <c r="D16" s="140"/>
      <c r="E16" s="49" t="s">
        <v>127</v>
      </c>
      <c r="F16" s="131">
        <f>SUMIF(I4:I9,"M",$O$4:$O$39)</f>
        <v>0</v>
      </c>
      <c r="G16" s="121">
        <f t="shared" si="1"/>
        <v>0</v>
      </c>
    </row>
    <row r="17" spans="2:7" x14ac:dyDescent="0.25">
      <c r="B17" s="116" t="s">
        <v>74</v>
      </c>
      <c r="C17" s="134">
        <f>C18+C19</f>
        <v>0</v>
      </c>
      <c r="D17" s="140">
        <f>C17/$C$34</f>
        <v>0</v>
      </c>
      <c r="E17" s="135" t="s">
        <v>128</v>
      </c>
      <c r="F17" s="136">
        <f>C22-F27+EconomiaT43!C24-EconomiaT43!C5</f>
        <v>563578</v>
      </c>
      <c r="G17" s="121">
        <f t="shared" si="1"/>
        <v>7.2780125962572814E-2</v>
      </c>
    </row>
    <row r="18" spans="2:7" x14ac:dyDescent="0.25">
      <c r="B18" s="129" t="s">
        <v>74</v>
      </c>
      <c r="C18" s="130">
        <f>SUM(M4:M18)</f>
        <v>0</v>
      </c>
      <c r="D18" s="202">
        <f>C18/$C$34</f>
        <v>0</v>
      </c>
      <c r="E18" s="124"/>
      <c r="F18" s="125"/>
      <c r="G18" s="137"/>
    </row>
    <row r="19" spans="2:7" x14ac:dyDescent="0.25">
      <c r="B19" s="122" t="s">
        <v>76</v>
      </c>
      <c r="C19" s="123">
        <f>SUM(N4:N4)*-1</f>
        <v>0</v>
      </c>
      <c r="D19" s="202">
        <f>C19/$C$34</f>
        <v>0</v>
      </c>
      <c r="E19" s="116" t="s">
        <v>129</v>
      </c>
      <c r="F19" s="134">
        <f>F20+F21</f>
        <v>0</v>
      </c>
      <c r="G19" s="118">
        <f>F19/$F$34</f>
        <v>0</v>
      </c>
    </row>
    <row r="20" spans="2:7" x14ac:dyDescent="0.25">
      <c r="B20" s="132"/>
      <c r="C20" s="133"/>
      <c r="D20" s="202"/>
      <c r="E20" s="206" t="s">
        <v>88</v>
      </c>
      <c r="F20" s="207">
        <f>EconomiaT43!C19</f>
        <v>0</v>
      </c>
      <c r="G20" s="121">
        <f>F20/$F$34</f>
        <v>0</v>
      </c>
    </row>
    <row r="21" spans="2:7" x14ac:dyDescent="0.25">
      <c r="B21" s="132"/>
      <c r="C21" s="133"/>
      <c r="D21" s="140"/>
      <c r="E21" s="122" t="s">
        <v>130</v>
      </c>
      <c r="F21" s="208">
        <f>SUM(L4:L9)*-1</f>
        <v>0</v>
      </c>
      <c r="G21" s="121">
        <f>F21/$F$34</f>
        <v>0</v>
      </c>
    </row>
    <row r="22" spans="2:7" x14ac:dyDescent="0.25">
      <c r="B22" s="116" t="s">
        <v>131</v>
      </c>
      <c r="C22" s="117">
        <f>SUM(C23:C27)</f>
        <v>3470401</v>
      </c>
      <c r="D22" s="140">
        <f t="shared" ref="D22:D27" si="2">C22/$C$34</f>
        <v>0.4481655102233208</v>
      </c>
      <c r="E22" s="116"/>
      <c r="F22" s="117"/>
      <c r="G22" s="118"/>
    </row>
    <row r="23" spans="2:7" x14ac:dyDescent="0.25">
      <c r="B23" s="138" t="s">
        <v>69</v>
      </c>
      <c r="C23" s="139">
        <f>EconomiaT43!C11</f>
        <v>54540</v>
      </c>
      <c r="D23" s="202">
        <f t="shared" si="2"/>
        <v>7.043262991101004E-3</v>
      </c>
      <c r="E23" s="116" t="s">
        <v>264</v>
      </c>
      <c r="F23" s="117">
        <f>SUM(F24:F25)</f>
        <v>2317810</v>
      </c>
      <c r="G23" s="118">
        <f>F23/$F$34</f>
        <v>0.29932059760549723</v>
      </c>
    </row>
    <row r="24" spans="2:7" x14ac:dyDescent="0.25">
      <c r="B24" s="138" t="s">
        <v>79</v>
      </c>
      <c r="C24" s="139">
        <f>EconomiaT43!C12</f>
        <v>0</v>
      </c>
      <c r="D24" s="202">
        <f t="shared" si="2"/>
        <v>0</v>
      </c>
      <c r="E24" s="206" t="s">
        <v>84</v>
      </c>
      <c r="F24" s="209">
        <f>EconomiaT43!C16</f>
        <v>249010</v>
      </c>
      <c r="G24" s="121">
        <f>F24/$F$34</f>
        <v>3.2157002519509738E-2</v>
      </c>
    </row>
    <row r="25" spans="2:7" x14ac:dyDescent="0.25">
      <c r="B25" s="138" t="s">
        <v>71</v>
      </c>
      <c r="C25" s="139">
        <f>EconomiaT43!C6</f>
        <v>2026936</v>
      </c>
      <c r="D25" s="202">
        <f t="shared" si="2"/>
        <v>0.26175730315603785</v>
      </c>
      <c r="E25" s="206" t="s">
        <v>67</v>
      </c>
      <c r="F25" s="209">
        <f>EconomiaT43!C20</f>
        <v>2068800</v>
      </c>
      <c r="G25" s="121">
        <f>F25/$F$34</f>
        <v>0.26716359508598747</v>
      </c>
    </row>
    <row r="26" spans="2:7" x14ac:dyDescent="0.25">
      <c r="B26" s="138" t="s">
        <v>72</v>
      </c>
      <c r="C26" s="139">
        <f>EconomiaT43!C7</f>
        <v>1388875</v>
      </c>
      <c r="D26" s="202">
        <f t="shared" si="2"/>
        <v>0.17935848710607641</v>
      </c>
      <c r="E26" s="116"/>
      <c r="F26" s="117"/>
      <c r="G26" s="118"/>
    </row>
    <row r="27" spans="2:7" x14ac:dyDescent="0.25">
      <c r="B27" s="138" t="s">
        <v>76</v>
      </c>
      <c r="C27" s="139">
        <f>EconomiaT43!C10</f>
        <v>50</v>
      </c>
      <c r="D27" s="202">
        <f t="shared" si="2"/>
        <v>6.4569701055198051E-6</v>
      </c>
      <c r="E27" s="116" t="s">
        <v>265</v>
      </c>
      <c r="F27" s="117">
        <f>SUM(F28:F33)</f>
        <v>2029707</v>
      </c>
      <c r="G27" s="118">
        <f t="shared" ref="G27:G33" si="3">F27/$F$34</f>
        <v>0.26211514843928574</v>
      </c>
    </row>
    <row r="28" spans="2:7" x14ac:dyDescent="0.25">
      <c r="B28" s="116"/>
      <c r="C28" s="117"/>
      <c r="D28" s="140"/>
      <c r="E28" s="206" t="s">
        <v>132</v>
      </c>
      <c r="F28" s="209">
        <f>EconomiaT43!C14</f>
        <v>357634</v>
      </c>
      <c r="G28" s="121">
        <f t="shared" si="3"/>
        <v>4.6184640934349402E-2</v>
      </c>
    </row>
    <row r="29" spans="2:7" x14ac:dyDescent="0.25">
      <c r="B29" s="116" t="s">
        <v>133</v>
      </c>
      <c r="C29" s="117">
        <f>EconomiaT43!S24</f>
        <v>895659</v>
      </c>
      <c r="D29" s="140">
        <f>C29/$C$34</f>
        <v>0.11566486775479527</v>
      </c>
      <c r="E29" s="206" t="s">
        <v>82</v>
      </c>
      <c r="F29" s="209">
        <f>EconomiaT43!C15</f>
        <v>281984</v>
      </c>
      <c r="G29" s="121">
        <f t="shared" si="3"/>
        <v>3.6415245164697935E-2</v>
      </c>
    </row>
    <row r="30" spans="2:7" x14ac:dyDescent="0.25">
      <c r="B30" s="116"/>
      <c r="C30" s="117"/>
      <c r="D30" s="140"/>
      <c r="E30" s="206" t="s">
        <v>85</v>
      </c>
      <c r="F30" s="209">
        <f>EconomiaT43!C17</f>
        <v>980400</v>
      </c>
      <c r="G30" s="121">
        <f t="shared" si="3"/>
        <v>0.12660826982903234</v>
      </c>
    </row>
    <row r="31" spans="2:7" x14ac:dyDescent="0.25">
      <c r="B31" s="116"/>
      <c r="C31" s="117"/>
      <c r="D31" s="140"/>
      <c r="E31" s="206" t="s">
        <v>86</v>
      </c>
      <c r="F31" s="209">
        <f>EconomiaT43!C18</f>
        <v>320000</v>
      </c>
      <c r="G31" s="121">
        <f t="shared" si="3"/>
        <v>4.1324608675326752E-2</v>
      </c>
    </row>
    <row r="32" spans="2:7" x14ac:dyDescent="0.25">
      <c r="B32" s="116"/>
      <c r="C32" s="117"/>
      <c r="D32" s="140"/>
      <c r="E32" s="206" t="s">
        <v>89</v>
      </c>
      <c r="F32" s="209">
        <f>EconomiaT43!C21</f>
        <v>89000</v>
      </c>
      <c r="G32" s="121">
        <f t="shared" si="3"/>
        <v>1.1493406787825254E-2</v>
      </c>
    </row>
    <row r="33" spans="2:8" x14ac:dyDescent="0.25">
      <c r="B33" s="141"/>
      <c r="C33" s="142"/>
      <c r="D33" s="140"/>
      <c r="E33" s="206" t="s">
        <v>90</v>
      </c>
      <c r="F33" s="209">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xr:uid="{00000000-0009-0000-0000-00001A000000}"/>
  <mergeCells count="5">
    <mergeCell ref="B2:G2"/>
    <mergeCell ref="I2:T2"/>
    <mergeCell ref="B3:G3"/>
    <mergeCell ref="B4:C4"/>
    <mergeCell ref="E4:F4"/>
  </mergeCells>
  <conditionalFormatting sqref="F12:F17 O4 T4 Q4">
    <cfRule type="cellIs" dxfId="288" priority="1" operator="lessThan">
      <formula>0</formula>
    </cfRule>
    <cfRule type="cellIs" dxfId="287"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12">
        <f t="shared" si="1"/>
        <v>1835.2</v>
      </c>
    </row>
    <row r="5" spans="1:26" s="66" customFormat="1" ht="18.75" x14ac:dyDescent="0.3">
      <c r="A5" s="62" t="s">
        <v>70</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71</v>
      </c>
      <c r="B6" s="67" t="s">
        <v>71</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71</v>
      </c>
      <c r="Z6" s="71">
        <f>C6/$C$13</f>
        <v>0.55939214516658664</v>
      </c>
    </row>
    <row r="7" spans="1:26" x14ac:dyDescent="0.25">
      <c r="A7" s="67" t="s">
        <v>72</v>
      </c>
      <c r="B7" s="67" t="s">
        <v>72</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72</v>
      </c>
      <c r="Z7" s="71">
        <f t="shared" ref="Z7:Z12" si="4">C7/$C$13</f>
        <v>0.3677097755150327</v>
      </c>
    </row>
    <row r="8" spans="1:26" x14ac:dyDescent="0.25">
      <c r="A8" s="67" t="s">
        <v>73</v>
      </c>
      <c r="B8" s="67" t="s">
        <v>74</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74</v>
      </c>
      <c r="Z8" s="71">
        <f t="shared" si="4"/>
        <v>6.0880841965382255E-3</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76</v>
      </c>
      <c r="Z10" s="71">
        <f t="shared" si="4"/>
        <v>0</v>
      </c>
    </row>
    <row r="11" spans="1:26" x14ac:dyDescent="0.25">
      <c r="A11" s="712" t="s">
        <v>77</v>
      </c>
      <c r="B11" s="67" t="s">
        <v>78</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78</v>
      </c>
      <c r="Z11" s="71">
        <f t="shared" si="4"/>
        <v>1.5541917677310006E-2</v>
      </c>
    </row>
    <row r="12" spans="1:26" x14ac:dyDescent="0.25">
      <c r="A12" s="713"/>
      <c r="B12" s="67" t="s">
        <v>79</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79</v>
      </c>
      <c r="Z12" s="71">
        <f t="shared" si="4"/>
        <v>5.1268077444532427E-2</v>
      </c>
    </row>
    <row r="13" spans="1:26" s="78" customFormat="1" ht="18.75" x14ac:dyDescent="0.3">
      <c r="A13" s="73" t="s">
        <v>80</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81</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14">
        <f>C13</f>
        <v>3901063</v>
      </c>
      <c r="Z14" s="715"/>
    </row>
    <row r="15" spans="1:26" x14ac:dyDescent="0.25">
      <c r="A15" s="80" t="s">
        <v>82</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83</v>
      </c>
      <c r="B16" s="81" t="s">
        <v>84</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85</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89</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90</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81</v>
      </c>
      <c r="Z23" s="91">
        <f>C14/$C$23</f>
        <v>0.18545285044219101</v>
      </c>
    </row>
    <row r="24" spans="1:26" s="66" customFormat="1" ht="18.75" x14ac:dyDescent="0.3">
      <c r="A24" s="92" t="s">
        <v>92</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82</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84</v>
      </c>
      <c r="Z25" s="91">
        <f t="shared" si="14"/>
        <v>0</v>
      </c>
    </row>
    <row r="26" spans="1:26" s="53" customFormat="1" x14ac:dyDescent="0.25">
      <c r="A26" s="716" t="s">
        <v>93</v>
      </c>
      <c r="B26" s="716"/>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85</v>
      </c>
      <c r="Z26" s="91">
        <f t="shared" si="14"/>
        <v>0.52764788140305441</v>
      </c>
    </row>
    <row r="27" spans="1:26" s="53" customFormat="1" x14ac:dyDescent="0.25">
      <c r="A27" s="717" t="s">
        <v>94</v>
      </c>
      <c r="B27" s="717"/>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86</v>
      </c>
      <c r="Z27" s="91">
        <f t="shared" si="14"/>
        <v>0.12619381319056608</v>
      </c>
    </row>
    <row r="28" spans="1:26" x14ac:dyDescent="0.25">
      <c r="A28" s="718" t="s">
        <v>95</v>
      </c>
      <c r="B28" s="718"/>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88</v>
      </c>
      <c r="Z28" s="91">
        <f t="shared" si="14"/>
        <v>0</v>
      </c>
    </row>
    <row r="29" spans="1:26" x14ac:dyDescent="0.25">
      <c r="A29" s="716" t="s">
        <v>96</v>
      </c>
      <c r="B29" s="716"/>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67</v>
      </c>
      <c r="Z29" s="91">
        <f t="shared" si="14"/>
        <v>0</v>
      </c>
    </row>
    <row r="30" spans="1:26" s="59" customFormat="1" x14ac:dyDescent="0.25">
      <c r="A30" s="717" t="s">
        <v>97</v>
      </c>
      <c r="B30" s="717"/>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89</v>
      </c>
      <c r="Z30" s="91">
        <f t="shared" si="14"/>
        <v>3.470329862740567E-2</v>
      </c>
    </row>
    <row r="31" spans="1:26" s="59" customFormat="1" x14ac:dyDescent="0.25">
      <c r="A31" s="718" t="s">
        <v>98</v>
      </c>
      <c r="B31" s="718"/>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24</v>
      </c>
      <c r="E33" s="174">
        <v>23</v>
      </c>
      <c r="F33" s="174"/>
      <c r="G33" s="174"/>
      <c r="H33" s="174"/>
      <c r="I33" s="174"/>
      <c r="J33" s="174">
        <v>22</v>
      </c>
      <c r="K33" s="174">
        <v>23</v>
      </c>
      <c r="L33" s="174">
        <v>23</v>
      </c>
      <c r="M33" s="174">
        <v>22</v>
      </c>
      <c r="N33" s="174">
        <v>22</v>
      </c>
      <c r="O33" s="174">
        <v>22</v>
      </c>
      <c r="P33" s="174">
        <v>22</v>
      </c>
      <c r="Q33" s="174">
        <v>22</v>
      </c>
      <c r="R33" s="174">
        <v>22</v>
      </c>
      <c r="S33" s="174">
        <v>22</v>
      </c>
      <c r="Z33" s="369"/>
    </row>
    <row r="34" spans="1:26" s="59" customFormat="1" ht="18.75" x14ac:dyDescent="0.3">
      <c r="A34" s="57"/>
      <c r="B34" s="719" t="s">
        <v>437</v>
      </c>
      <c r="C34" s="173" t="s">
        <v>181</v>
      </c>
      <c r="D34" s="174">
        <v>119160</v>
      </c>
      <c r="E34" s="174">
        <v>118250</v>
      </c>
      <c r="F34" s="174"/>
      <c r="G34" s="174"/>
      <c r="H34" s="174"/>
      <c r="I34" s="174"/>
      <c r="J34" s="174">
        <v>141350</v>
      </c>
      <c r="K34" s="174">
        <v>147100</v>
      </c>
      <c r="L34" s="174">
        <v>153920</v>
      </c>
      <c r="M34" s="174">
        <v>156180</v>
      </c>
      <c r="N34" s="174">
        <v>160880</v>
      </c>
      <c r="O34" s="174">
        <v>165270</v>
      </c>
      <c r="P34" s="174">
        <v>165560</v>
      </c>
      <c r="Q34" s="174">
        <v>169440</v>
      </c>
      <c r="R34" s="174">
        <v>176050</v>
      </c>
      <c r="S34" s="174">
        <v>181970</v>
      </c>
      <c r="Y34" s="709">
        <f>C23</f>
        <v>2535782</v>
      </c>
      <c r="Z34" s="710"/>
    </row>
    <row r="35" spans="1:26" x14ac:dyDescent="0.25">
      <c r="A35" s="57"/>
      <c r="B35" s="719"/>
      <c r="C35" s="173" t="s">
        <v>104</v>
      </c>
      <c r="D35" s="174">
        <v>25260</v>
      </c>
      <c r="E35" s="174">
        <v>24950</v>
      </c>
      <c r="F35" s="174"/>
      <c r="G35" s="174"/>
      <c r="H35" s="174"/>
      <c r="I35" s="174"/>
      <c r="J35" s="174">
        <v>28960</v>
      </c>
      <c r="K35" s="174">
        <v>29290</v>
      </c>
      <c r="L35" s="174">
        <v>30890</v>
      </c>
      <c r="M35" s="174">
        <v>31280</v>
      </c>
      <c r="N35" s="174">
        <v>31560</v>
      </c>
      <c r="O35" s="174">
        <v>31560</v>
      </c>
      <c r="P35" s="174">
        <v>31560</v>
      </c>
      <c r="Q35" s="174">
        <v>31560</v>
      </c>
      <c r="R35" s="174">
        <v>32580</v>
      </c>
      <c r="S35" s="174">
        <v>33000</v>
      </c>
    </row>
    <row r="36" spans="1:26" x14ac:dyDescent="0.25">
      <c r="A36" s="57"/>
      <c r="B36" s="719"/>
      <c r="C36" s="173" t="s">
        <v>61</v>
      </c>
      <c r="D36" s="175" t="s">
        <v>486</v>
      </c>
      <c r="E36" s="175" t="s">
        <v>490</v>
      </c>
      <c r="F36" s="175"/>
      <c r="G36" s="175"/>
      <c r="H36" s="175"/>
      <c r="I36" s="175"/>
      <c r="J36" s="175" t="s">
        <v>499</v>
      </c>
      <c r="K36" s="175" t="s">
        <v>501</v>
      </c>
      <c r="L36" s="175" t="s">
        <v>508</v>
      </c>
      <c r="M36" s="175" t="s">
        <v>490</v>
      </c>
      <c r="N36" s="175" t="s">
        <v>514</v>
      </c>
      <c r="O36" s="175" t="s">
        <v>532</v>
      </c>
      <c r="P36" s="175" t="s">
        <v>534</v>
      </c>
      <c r="Q36" s="175" t="s">
        <v>535</v>
      </c>
      <c r="R36" s="175" t="s">
        <v>536</v>
      </c>
      <c r="S36" s="175" t="s">
        <v>538</v>
      </c>
    </row>
    <row r="37" spans="1:26" x14ac:dyDescent="0.25">
      <c r="A37" s="57"/>
      <c r="B37" s="719"/>
      <c r="C37" s="173" t="s">
        <v>210</v>
      </c>
      <c r="D37" s="176">
        <v>4</v>
      </c>
      <c r="E37" s="176">
        <v>4.25</v>
      </c>
      <c r="F37" s="176"/>
      <c r="G37" s="176"/>
      <c r="H37" s="176"/>
      <c r="I37" s="176"/>
      <c r="J37" s="176">
        <v>4.5</v>
      </c>
      <c r="K37" s="176">
        <v>4.5</v>
      </c>
      <c r="L37" s="176">
        <v>4.5</v>
      </c>
      <c r="M37" s="176">
        <v>4.75</v>
      </c>
      <c r="N37" s="176">
        <v>4.75</v>
      </c>
      <c r="O37" s="176">
        <v>4.75</v>
      </c>
      <c r="P37" s="176">
        <v>5</v>
      </c>
      <c r="Q37" s="176">
        <v>5</v>
      </c>
      <c r="R37" s="176">
        <v>5</v>
      </c>
      <c r="S37" s="176">
        <v>5</v>
      </c>
    </row>
    <row r="38" spans="1:26" x14ac:dyDescent="0.25">
      <c r="B38" s="719"/>
      <c r="C38" s="173" t="s">
        <v>211</v>
      </c>
      <c r="D38" s="176">
        <v>5.5</v>
      </c>
      <c r="E38" s="176">
        <v>5.5</v>
      </c>
      <c r="F38" s="176"/>
      <c r="G38" s="176"/>
      <c r="H38" s="176"/>
      <c r="I38" s="176"/>
      <c r="J38" s="176">
        <v>5.5</v>
      </c>
      <c r="K38" s="176">
        <v>5.5</v>
      </c>
      <c r="L38" s="176">
        <v>5.5</v>
      </c>
      <c r="M38" s="176">
        <v>5.5</v>
      </c>
      <c r="N38" s="176">
        <v>5.5</v>
      </c>
      <c r="O38" s="176">
        <v>5.5</v>
      </c>
      <c r="P38" s="176">
        <v>5.75</v>
      </c>
      <c r="Q38" s="176">
        <v>5.75</v>
      </c>
      <c r="R38" s="176">
        <v>5.75</v>
      </c>
      <c r="S38" s="176">
        <v>6</v>
      </c>
    </row>
    <row r="39" spans="1:26" x14ac:dyDescent="0.25">
      <c r="B39" s="719"/>
      <c r="C39" s="173" t="s">
        <v>257</v>
      </c>
      <c r="D39" s="176">
        <v>2</v>
      </c>
      <c r="E39" s="176">
        <v>2</v>
      </c>
      <c r="F39" s="176"/>
      <c r="G39" s="176"/>
      <c r="H39" s="176"/>
      <c r="I39" s="176"/>
      <c r="J39" s="176">
        <v>2</v>
      </c>
      <c r="K39" s="176">
        <v>2</v>
      </c>
      <c r="L39" s="176">
        <v>2</v>
      </c>
      <c r="M39" s="176">
        <v>2</v>
      </c>
      <c r="N39" s="176">
        <v>2</v>
      </c>
      <c r="O39" s="176">
        <v>2.25</v>
      </c>
      <c r="P39" s="176">
        <v>2.25</v>
      </c>
      <c r="Q39" s="176">
        <v>2.25</v>
      </c>
      <c r="R39" s="176">
        <v>2.25</v>
      </c>
      <c r="S39" s="176">
        <v>2.25</v>
      </c>
    </row>
    <row r="40" spans="1:26" ht="15" customHeight="1" x14ac:dyDescent="0.25">
      <c r="C40" s="164" t="s">
        <v>438</v>
      </c>
      <c r="D40" s="330">
        <f>D34/D35</f>
        <v>4.7173396674584325</v>
      </c>
      <c r="E40" s="288">
        <f>E34/E35</f>
        <v>4.7394789579158321</v>
      </c>
      <c r="F40" s="288"/>
      <c r="G40" s="288"/>
      <c r="H40" s="288"/>
      <c r="I40" s="330"/>
      <c r="J40" s="330">
        <f t="shared" ref="J40:S40" si="22">J34/J35</f>
        <v>4.880870165745856</v>
      </c>
      <c r="K40" s="330">
        <f t="shared" si="22"/>
        <v>5.0221918743598497</v>
      </c>
      <c r="L40" s="330">
        <f t="shared" si="22"/>
        <v>4.9828423438005824</v>
      </c>
      <c r="M40" s="330">
        <f t="shared" si="22"/>
        <v>4.9929667519181589</v>
      </c>
      <c r="N40" s="330">
        <f t="shared" si="22"/>
        <v>5.0975918884664129</v>
      </c>
      <c r="O40" s="330">
        <f t="shared" si="22"/>
        <v>5.2366920152091252</v>
      </c>
      <c r="P40" s="330">
        <f t="shared" si="22"/>
        <v>5.245880861850444</v>
      </c>
      <c r="Q40" s="330">
        <f t="shared" si="22"/>
        <v>5.3688212927756656</v>
      </c>
      <c r="R40" s="330">
        <f t="shared" si="22"/>
        <v>5.4036218538980973</v>
      </c>
      <c r="S40" s="330">
        <f t="shared" si="22"/>
        <v>5.5142424242424246</v>
      </c>
    </row>
    <row r="41" spans="1:26" ht="15" customHeight="1" x14ac:dyDescent="0.25">
      <c r="D41" s="52"/>
      <c r="E41" s="334"/>
      <c r="G41" s="711"/>
      <c r="H41" s="711"/>
      <c r="I41" s="711"/>
      <c r="J41" s="711"/>
    </row>
    <row r="42" spans="1:26" x14ac:dyDescent="0.25">
      <c r="C42" s="4" t="s">
        <v>485</v>
      </c>
      <c r="D42" s="246">
        <v>75301</v>
      </c>
      <c r="E42" s="341">
        <v>83847.5</v>
      </c>
      <c r="F42" s="246">
        <v>89545.5</v>
      </c>
      <c r="G42" s="329">
        <v>92801.500000000015</v>
      </c>
      <c r="H42" s="329">
        <v>94836.500000000015</v>
      </c>
      <c r="I42" s="329">
        <v>96057.500000000015</v>
      </c>
      <c r="J42" s="329">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29"/>
      <c r="H43" s="329"/>
      <c r="I43" s="329"/>
      <c r="J43" s="329"/>
    </row>
    <row r="44" spans="1:26" x14ac:dyDescent="0.25">
      <c r="G44" s="329"/>
      <c r="H44" s="329"/>
      <c r="I44" s="329"/>
      <c r="J44" s="343"/>
    </row>
    <row r="45" spans="1:26" x14ac:dyDescent="0.25">
      <c r="G45" s="329"/>
      <c r="H45" s="329"/>
      <c r="I45" s="329"/>
      <c r="J45" s="329"/>
    </row>
    <row r="46" spans="1:26" x14ac:dyDescent="0.25">
      <c r="G46" s="720"/>
      <c r="H46" s="720"/>
      <c r="I46" s="720"/>
      <c r="J46" s="720"/>
    </row>
    <row r="47" spans="1:26" x14ac:dyDescent="0.25">
      <c r="G47" s="329"/>
      <c r="H47" s="329"/>
      <c r="I47" s="329"/>
      <c r="J47" s="329"/>
    </row>
    <row r="48" spans="1:26" x14ac:dyDescent="0.25">
      <c r="G48" s="720"/>
      <c r="H48" s="720"/>
      <c r="I48" s="720"/>
      <c r="J48" s="720"/>
    </row>
    <row r="49" spans="7:10" ht="15" customHeight="1" x14ac:dyDescent="0.25">
      <c r="G49" s="720"/>
      <c r="H49" s="720"/>
      <c r="I49" s="720"/>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21" t="s">
        <v>493</v>
      </c>
      <c r="C2" s="722"/>
      <c r="D2" s="722"/>
      <c r="E2" s="722"/>
      <c r="F2" s="722"/>
      <c r="G2" s="723"/>
      <c r="I2" s="731" t="s">
        <v>494</v>
      </c>
      <c r="J2" s="731"/>
      <c r="K2" s="731"/>
      <c r="L2" s="731"/>
      <c r="M2" s="731"/>
      <c r="N2" s="731"/>
      <c r="O2" s="731"/>
      <c r="P2" s="731"/>
      <c r="Q2" s="731"/>
      <c r="R2" s="731"/>
      <c r="S2" s="731"/>
      <c r="T2" s="731"/>
    </row>
    <row r="3" spans="2:20" x14ac:dyDescent="0.25">
      <c r="B3" s="725" t="s">
        <v>102</v>
      </c>
      <c r="C3" s="726"/>
      <c r="D3" s="726"/>
      <c r="E3" s="726"/>
      <c r="F3" s="726"/>
      <c r="G3" s="727"/>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8" t="s">
        <v>113</v>
      </c>
      <c r="C4" s="729"/>
      <c r="D4" s="109"/>
      <c r="E4" s="730" t="s">
        <v>114</v>
      </c>
      <c r="F4" s="729"/>
      <c r="G4" s="109"/>
      <c r="I4" s="335" t="s">
        <v>491</v>
      </c>
      <c r="J4" s="336" t="s">
        <v>492</v>
      </c>
      <c r="K4" s="335">
        <v>0</v>
      </c>
      <c r="L4" s="335">
        <v>0</v>
      </c>
      <c r="M4" s="335">
        <v>23000</v>
      </c>
      <c r="N4" s="335">
        <f>M4-21850</f>
        <v>1150</v>
      </c>
      <c r="O4" s="337">
        <f t="shared" ref="O4" si="0">IF(M4=0,0,M4-K4)-N4</f>
        <v>21850</v>
      </c>
      <c r="P4" s="337">
        <f t="shared" ref="P4"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ref="O5" si="2">IF(M5=0,0,M5-K5)-N5</f>
        <v>1900</v>
      </c>
      <c r="P5" s="337">
        <f t="shared" ref="P5" si="3">IF(M5=0,K5,0)</f>
        <v>0</v>
      </c>
      <c r="Q5" s="338"/>
      <c r="R5" s="339"/>
      <c r="S5" s="339">
        <v>41917</v>
      </c>
      <c r="T5" s="340"/>
    </row>
    <row r="6" spans="2:20" x14ac:dyDescent="0.25">
      <c r="B6" s="116" t="s">
        <v>116</v>
      </c>
      <c r="C6" s="117">
        <f>SUM(C7:C9)</f>
        <v>3377510</v>
      </c>
      <c r="D6" s="140">
        <f>C6/$C$34</f>
        <v>0.35405494706854901</v>
      </c>
      <c r="E6" s="116" t="s">
        <v>117</v>
      </c>
      <c r="F6" s="117">
        <f>F7+F8+F9</f>
        <v>4273164</v>
      </c>
      <c r="G6" s="118">
        <f>F6/$F$34</f>
        <v>0.44794385622403166</v>
      </c>
    </row>
    <row r="7" spans="2:20" x14ac:dyDescent="0.25">
      <c r="B7" s="119" t="s">
        <v>84</v>
      </c>
      <c r="C7" s="120">
        <f>EconomiaT44!C16+'A-P_T43'!C7</f>
        <v>1308710</v>
      </c>
      <c r="D7" s="202">
        <f>C7/$C$34</f>
        <v>0.13718841684497776</v>
      </c>
      <c r="E7" s="203" t="s">
        <v>118</v>
      </c>
      <c r="F7" s="204">
        <v>300000</v>
      </c>
      <c r="G7" s="121">
        <f>F7/$F$34</f>
        <v>3.1448162735436672E-2</v>
      </c>
    </row>
    <row r="8" spans="2:20" x14ac:dyDescent="0.25">
      <c r="B8" s="119" t="s">
        <v>67</v>
      </c>
      <c r="C8" s="120">
        <f>'A-P_T43'!C8+'A-P_T43'!C9</f>
        <v>2068800</v>
      </c>
      <c r="D8" s="202">
        <f>C8/$C$34</f>
        <v>0.21686653022357127</v>
      </c>
      <c r="E8" s="203" t="s">
        <v>261</v>
      </c>
      <c r="F8" s="204">
        <f>'A-P_T43'!F9+'A-P_T43'!F8</f>
        <v>3573175</v>
      </c>
      <c r="G8" s="121">
        <f>F8/$F$34</f>
        <v>0.37456596294064642</v>
      </c>
    </row>
    <row r="9" spans="2:20" x14ac:dyDescent="0.25">
      <c r="B9" s="122" t="s">
        <v>119</v>
      </c>
      <c r="C9" s="123">
        <v>0</v>
      </c>
      <c r="D9" s="202">
        <f>C9/$C$34</f>
        <v>0</v>
      </c>
      <c r="E9" s="203" t="s">
        <v>556</v>
      </c>
      <c r="F9" s="204">
        <f>'A-P_T43'!F11-EconomiaT43!C24+EconomiaT43!C5-5</f>
        <v>399989</v>
      </c>
      <c r="G9" s="121">
        <f>F9/$F$34</f>
        <v>4.1929730547948595E-2</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2730562</v>
      </c>
      <c r="G11" s="118">
        <f t="shared" ref="G11:G17" si="4">F11/$F$34</f>
        <v>0.28623719378399809</v>
      </c>
    </row>
    <row r="12" spans="2:20" x14ac:dyDescent="0.25">
      <c r="B12" s="129" t="s">
        <v>121</v>
      </c>
      <c r="C12" s="130">
        <f>SUMIF(I4:I44,"S",$P$4:$P$44)</f>
        <v>0</v>
      </c>
      <c r="D12" s="202">
        <f>C12/$C$34</f>
        <v>0</v>
      </c>
      <c r="E12" s="49" t="s">
        <v>122</v>
      </c>
      <c r="F12" s="131">
        <f>SUMIF(I4:I9,"J",$O$4:$O$39)</f>
        <v>0</v>
      </c>
      <c r="G12" s="121">
        <f t="shared" si="4"/>
        <v>0</v>
      </c>
    </row>
    <row r="13" spans="2:20" x14ac:dyDescent="0.25">
      <c r="B13" s="129" t="s">
        <v>100</v>
      </c>
      <c r="C13" s="130">
        <f>SUMIF(I4:I39,"J",$P$4:$P$39)</f>
        <v>0</v>
      </c>
      <c r="D13" s="202">
        <f>C13/$C$34</f>
        <v>0</v>
      </c>
      <c r="E13" s="49" t="s">
        <v>123</v>
      </c>
      <c r="F13" s="131">
        <f>SUMIF(I3:I8,"S",$O$4:$O$39)</f>
        <v>0</v>
      </c>
      <c r="G13" s="121">
        <f t="shared" si="4"/>
        <v>0</v>
      </c>
    </row>
    <row r="14" spans="2:20" x14ac:dyDescent="0.25">
      <c r="B14" s="129" t="s">
        <v>99</v>
      </c>
      <c r="C14" s="130">
        <f>SUMIF(I4:I39,"E",$P$4:$P$39)</f>
        <v>0</v>
      </c>
      <c r="D14" s="202">
        <f>C14/$C$34</f>
        <v>0</v>
      </c>
      <c r="E14" s="49" t="s">
        <v>124</v>
      </c>
      <c r="F14" s="131">
        <f>SUMIF(I4:I9,"C",$O$4:$O$39)</f>
        <v>23750</v>
      </c>
      <c r="G14" s="121">
        <f t="shared" si="4"/>
        <v>2.4896462165554033E-3</v>
      </c>
    </row>
    <row r="15" spans="2:20" x14ac:dyDescent="0.25">
      <c r="B15" s="129" t="s">
        <v>125</v>
      </c>
      <c r="C15" s="130">
        <f>SUMIF(I4:I39,"M",$P$4:$P$39)</f>
        <v>0</v>
      </c>
      <c r="D15" s="202">
        <f>C15/$C$34</f>
        <v>0</v>
      </c>
      <c r="E15" s="49" t="s">
        <v>126</v>
      </c>
      <c r="F15" s="131">
        <f>SUMIF(I4:I9,"E",$O$4:$O$39)</f>
        <v>0</v>
      </c>
      <c r="G15" s="121">
        <f t="shared" si="4"/>
        <v>0</v>
      </c>
    </row>
    <row r="16" spans="2:20" x14ac:dyDescent="0.25">
      <c r="B16" s="132"/>
      <c r="C16" s="133"/>
      <c r="D16" s="140"/>
      <c r="E16" s="49" t="s">
        <v>127</v>
      </c>
      <c r="F16" s="131">
        <f>SUMIF(I4:I9,"M",$O$4:$O$39)</f>
        <v>0</v>
      </c>
      <c r="G16" s="121">
        <f t="shared" si="4"/>
        <v>0</v>
      </c>
    </row>
    <row r="17" spans="2:7" x14ac:dyDescent="0.25">
      <c r="B17" s="116" t="s">
        <v>74</v>
      </c>
      <c r="C17" s="134">
        <f>C18+C19</f>
        <v>23750</v>
      </c>
      <c r="D17" s="140">
        <f>C17/$C$34</f>
        <v>2.4896462165554033E-3</v>
      </c>
      <c r="E17" s="135" t="s">
        <v>128</v>
      </c>
      <c r="F17" s="136">
        <f>C22-F27+EconomiaT44!C24-EconomiaT44!C5</f>
        <v>2706812</v>
      </c>
      <c r="G17" s="121">
        <f t="shared" si="4"/>
        <v>0.28374754756744269</v>
      </c>
    </row>
    <row r="18" spans="2:7" x14ac:dyDescent="0.25">
      <c r="B18" s="129" t="s">
        <v>74</v>
      </c>
      <c r="C18" s="130">
        <f>SUM(M4:M18)</f>
        <v>25000</v>
      </c>
      <c r="D18" s="202">
        <f>C18/$C$34</f>
        <v>2.620680227953056E-3</v>
      </c>
      <c r="E18" s="124"/>
      <c r="F18" s="125"/>
      <c r="G18" s="137"/>
    </row>
    <row r="19" spans="2:7" x14ac:dyDescent="0.25">
      <c r="B19" s="122" t="s">
        <v>76</v>
      </c>
      <c r="C19" s="123">
        <f>SUM(N4:N50)*-1</f>
        <v>-1250</v>
      </c>
      <c r="D19" s="202">
        <f>C19/$C$34</f>
        <v>-1.3103401139765279E-4</v>
      </c>
      <c r="E19" s="116" t="s">
        <v>129</v>
      </c>
      <c r="F19" s="134">
        <f>F20+F21</f>
        <v>0</v>
      </c>
      <c r="G19" s="118">
        <f>F19/$F$34</f>
        <v>0</v>
      </c>
    </row>
    <row r="20" spans="2:7" x14ac:dyDescent="0.25">
      <c r="B20" s="132"/>
      <c r="C20" s="133"/>
      <c r="D20" s="202"/>
      <c r="E20" s="206" t="s">
        <v>88</v>
      </c>
      <c r="F20" s="207">
        <f>EconomiaT44!C19</f>
        <v>0</v>
      </c>
      <c r="G20" s="121">
        <f>F20/$F$34</f>
        <v>0</v>
      </c>
    </row>
    <row r="21" spans="2:7" x14ac:dyDescent="0.25">
      <c r="B21" s="132"/>
      <c r="C21" s="133"/>
      <c r="D21" s="140"/>
      <c r="E21" s="122" t="s">
        <v>130</v>
      </c>
      <c r="F21" s="208">
        <f>SUM(L4:L9)*-1</f>
        <v>0</v>
      </c>
      <c r="G21" s="121">
        <f>F21/$F$34</f>
        <v>0</v>
      </c>
    </row>
    <row r="22" spans="2:7" x14ac:dyDescent="0.25">
      <c r="B22" s="116" t="s">
        <v>131</v>
      </c>
      <c r="C22" s="117">
        <f>SUM(C23:C27)</f>
        <v>3877313</v>
      </c>
      <c r="D22" s="140">
        <f t="shared" ref="D22:D27" si="5">C22/$C$34</f>
        <v>0.40644790066741388</v>
      </c>
      <c r="E22" s="116"/>
      <c r="F22" s="117"/>
      <c r="G22" s="118"/>
    </row>
    <row r="23" spans="2:7" x14ac:dyDescent="0.25">
      <c r="B23" s="138" t="s">
        <v>69</v>
      </c>
      <c r="C23" s="139">
        <f>EconomiaT44!C11</f>
        <v>60630</v>
      </c>
      <c r="D23" s="202">
        <f t="shared" si="5"/>
        <v>6.3556736888317512E-3</v>
      </c>
      <c r="E23" s="116" t="s">
        <v>264</v>
      </c>
      <c r="F23" s="117">
        <f>SUM(F24:F25)</f>
        <v>0</v>
      </c>
      <c r="G23" s="118">
        <f>F23/$F$34</f>
        <v>0</v>
      </c>
    </row>
    <row r="24" spans="2:7" x14ac:dyDescent="0.25">
      <c r="B24" s="138" t="s">
        <v>79</v>
      </c>
      <c r="C24" s="139">
        <f>EconomiaT44!C12</f>
        <v>200000</v>
      </c>
      <c r="D24" s="202">
        <f t="shared" si="5"/>
        <v>2.0965441823624448E-2</v>
      </c>
      <c r="E24" s="206" t="s">
        <v>84</v>
      </c>
      <c r="F24" s="209">
        <f>EconomiaT44!C16</f>
        <v>0</v>
      </c>
      <c r="G24" s="121">
        <f>F24/$F$34</f>
        <v>0</v>
      </c>
    </row>
    <row r="25" spans="2:7" x14ac:dyDescent="0.25">
      <c r="B25" s="138" t="s">
        <v>71</v>
      </c>
      <c r="C25" s="139">
        <f>EconomiaT44!C6</f>
        <v>2182224</v>
      </c>
      <c r="D25" s="202">
        <f t="shared" si="5"/>
        <v>0.22875645159058516</v>
      </c>
      <c r="E25" s="206" t="s">
        <v>67</v>
      </c>
      <c r="F25" s="209">
        <f>EconomiaT44!C20</f>
        <v>0</v>
      </c>
      <c r="G25" s="121">
        <f>F25/$F$34</f>
        <v>0</v>
      </c>
    </row>
    <row r="26" spans="2:7" x14ac:dyDescent="0.25">
      <c r="B26" s="138" t="s">
        <v>72</v>
      </c>
      <c r="C26" s="139">
        <f>EconomiaT44!C7</f>
        <v>1434459</v>
      </c>
      <c r="D26" s="202">
        <f t="shared" si="5"/>
        <v>0.15037033356437252</v>
      </c>
      <c r="E26" s="116"/>
      <c r="F26" s="117"/>
      <c r="G26" s="118"/>
    </row>
    <row r="27" spans="2:7" x14ac:dyDescent="0.25">
      <c r="B27" s="138" t="s">
        <v>76</v>
      </c>
      <c r="C27" s="139">
        <f>EconomiaT44!C10</f>
        <v>0</v>
      </c>
      <c r="D27" s="202">
        <f t="shared" si="5"/>
        <v>0</v>
      </c>
      <c r="E27" s="116" t="s">
        <v>265</v>
      </c>
      <c r="F27" s="117">
        <f>SUM(F28:F33)</f>
        <v>2535782</v>
      </c>
      <c r="G27" s="118">
        <f t="shared" ref="G27:G33" si="6">F27/$F$34</f>
        <v>0.26581894999197025</v>
      </c>
    </row>
    <row r="28" spans="2:7" x14ac:dyDescent="0.25">
      <c r="B28" s="116"/>
      <c r="C28" s="117"/>
      <c r="D28" s="140"/>
      <c r="E28" s="206" t="s">
        <v>132</v>
      </c>
      <c r="F28" s="209">
        <f>EconomiaT44!C14</f>
        <v>470268</v>
      </c>
      <c r="G28" s="121">
        <f t="shared" si="6"/>
        <v>4.9296881977561109E-2</v>
      </c>
    </row>
    <row r="29" spans="2:7" x14ac:dyDescent="0.25">
      <c r="B29" s="116" t="s">
        <v>133</v>
      </c>
      <c r="C29" s="117">
        <f>EconomiaT44!S24</f>
        <v>2260935</v>
      </c>
      <c r="D29" s="140">
        <f>C29/$C$34</f>
        <v>0.23700750604748169</v>
      </c>
      <c r="E29" s="206" t="s">
        <v>82</v>
      </c>
      <c r="F29" s="209">
        <f>EconomiaT44!C15</f>
        <v>319514</v>
      </c>
      <c r="G29" s="121">
        <f t="shared" si="6"/>
        <v>3.349376089416771E-2</v>
      </c>
    </row>
    <row r="30" spans="2:7" x14ac:dyDescent="0.25">
      <c r="B30" s="116"/>
      <c r="C30" s="117"/>
      <c r="D30" s="140"/>
      <c r="E30" s="206" t="s">
        <v>85</v>
      </c>
      <c r="F30" s="209">
        <f>EconomiaT44!C17</f>
        <v>1338000</v>
      </c>
      <c r="G30" s="121">
        <f t="shared" si="6"/>
        <v>0.14025880580004754</v>
      </c>
    </row>
    <row r="31" spans="2:7" x14ac:dyDescent="0.25">
      <c r="B31" s="116"/>
      <c r="C31" s="117"/>
      <c r="D31" s="140"/>
      <c r="E31" s="206" t="s">
        <v>86</v>
      </c>
      <c r="F31" s="209">
        <f>EconomiaT44!C18</f>
        <v>320000</v>
      </c>
      <c r="G31" s="121">
        <f t="shared" si="6"/>
        <v>3.3544706917799115E-2</v>
      </c>
    </row>
    <row r="32" spans="2:7" x14ac:dyDescent="0.25">
      <c r="B32" s="116"/>
      <c r="C32" s="117"/>
      <c r="D32" s="140"/>
      <c r="E32" s="206" t="s">
        <v>89</v>
      </c>
      <c r="F32" s="209">
        <f>EconomiaT44!C21</f>
        <v>88000</v>
      </c>
      <c r="G32" s="121">
        <f t="shared" si="6"/>
        <v>9.2247944023947561E-3</v>
      </c>
    </row>
    <row r="33" spans="2:8" x14ac:dyDescent="0.25">
      <c r="B33" s="141"/>
      <c r="C33" s="142"/>
      <c r="D33" s="140"/>
      <c r="E33" s="206" t="s">
        <v>90</v>
      </c>
      <c r="F33" s="209">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86" priority="21" operator="lessThan">
      <formula>0</formula>
    </cfRule>
    <cfRule type="cellIs" dxfId="285" priority="22" operator="greaterThan">
      <formula>0</formula>
    </cfRule>
  </conditionalFormatting>
  <conditionalFormatting sqref="O4">
    <cfRule type="cellIs" dxfId="284" priority="19" operator="lessThan">
      <formula>0</formula>
    </cfRule>
    <cfRule type="cellIs" dxfId="283" priority="20" operator="greaterThan">
      <formula>0</formula>
    </cfRule>
  </conditionalFormatting>
  <conditionalFormatting sqref="T4">
    <cfRule type="cellIs" dxfId="282" priority="17" operator="lessThan">
      <formula>0</formula>
    </cfRule>
    <cfRule type="cellIs" dxfId="281" priority="18" operator="greaterThan">
      <formula>0</formula>
    </cfRule>
  </conditionalFormatting>
  <conditionalFormatting sqref="T4">
    <cfRule type="cellIs" dxfId="280" priority="15" operator="lessThan">
      <formula>0</formula>
    </cfRule>
    <cfRule type="cellIs" dxfId="279" priority="16" operator="greaterThan">
      <formula>0</formula>
    </cfRule>
  </conditionalFormatting>
  <conditionalFormatting sqref="O4 T4 Q4">
    <cfRule type="cellIs" dxfId="278" priority="13" operator="lessThan">
      <formula>0</formula>
    </cfRule>
    <cfRule type="cellIs" dxfId="277" priority="14" operator="greaterThan">
      <formula>0</formula>
    </cfRule>
  </conditionalFormatting>
  <conditionalFormatting sqref="T4">
    <cfRule type="cellIs" dxfId="276" priority="11" operator="lessThan">
      <formula>0</formula>
    </cfRule>
    <cfRule type="cellIs" dxfId="275" priority="12" operator="greaterThan">
      <formula>0</formula>
    </cfRule>
  </conditionalFormatting>
  <conditionalFormatting sqref="O5">
    <cfRule type="cellIs" dxfId="274" priority="9" operator="lessThan">
      <formula>0</formula>
    </cfRule>
    <cfRule type="cellIs" dxfId="273" priority="10" operator="greaterThan">
      <formula>0</formula>
    </cfRule>
  </conditionalFormatting>
  <conditionalFormatting sqref="T5">
    <cfRule type="cellIs" dxfId="272" priority="7" operator="lessThan">
      <formula>0</formula>
    </cfRule>
    <cfRule type="cellIs" dxfId="271" priority="8" operator="greaterThan">
      <formula>0</formula>
    </cfRule>
  </conditionalFormatting>
  <conditionalFormatting sqref="T5">
    <cfRule type="cellIs" dxfId="270" priority="5" operator="lessThan">
      <formula>0</formula>
    </cfRule>
    <cfRule type="cellIs" dxfId="269" priority="6" operator="greaterThan">
      <formula>0</formula>
    </cfRule>
  </conditionalFormatting>
  <conditionalFormatting sqref="O5 T5 Q5">
    <cfRule type="cellIs" dxfId="268" priority="3" operator="lessThan">
      <formula>0</formula>
    </cfRule>
    <cfRule type="cellIs" dxfId="267" priority="4" operator="greaterThan">
      <formula>0</formula>
    </cfRule>
  </conditionalFormatting>
  <conditionalFormatting sqref="T5">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7"/>
  <sheetViews>
    <sheetView workbookViewId="0">
      <selection activeCell="H17" sqref="H17:H18"/>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04" t="s">
        <v>179</v>
      </c>
      <c r="B1" s="404" t="s">
        <v>2</v>
      </c>
      <c r="C1" s="404" t="s">
        <v>578</v>
      </c>
      <c r="D1" s="332" t="s">
        <v>579</v>
      </c>
      <c r="E1" s="332" t="s">
        <v>515</v>
      </c>
      <c r="F1" s="332" t="s">
        <v>516</v>
      </c>
      <c r="H1" s="404" t="s">
        <v>487</v>
      </c>
      <c r="I1" s="404" t="str">
        <f>D1</f>
        <v>N_CA</v>
      </c>
      <c r="J1" s="332" t="s">
        <v>515</v>
      </c>
      <c r="K1" s="332" t="s">
        <v>516</v>
      </c>
      <c r="M1" s="404" t="s">
        <v>487</v>
      </c>
      <c r="N1" s="404" t="str">
        <f>I1</f>
        <v>N_CA</v>
      </c>
      <c r="O1" s="332" t="s">
        <v>515</v>
      </c>
      <c r="P1" s="332" t="s">
        <v>516</v>
      </c>
    </row>
    <row r="2" spans="1:16" x14ac:dyDescent="0.25">
      <c r="A2" t="str">
        <f>PLANTILLA!D7</f>
        <v>B. Pinczehelyi</v>
      </c>
      <c r="B2" s="265">
        <f>PLANTILLA!Y7+1.5+PLANTILLA!J7</f>
        <v>17.473696673471078</v>
      </c>
      <c r="C2" s="265">
        <f>PLANTILLA!AB7+1.5+PLANTILLA!J7</f>
        <v>12.593696673471072</v>
      </c>
      <c r="D2" s="357">
        <f t="shared" ref="D2:D19" si="0">(C2*2+B2)/8</f>
        <v>5.3326362525516533</v>
      </c>
      <c r="E2" s="265">
        <f>D2*PLANTILLA!R7</f>
        <v>4.5069002177635618</v>
      </c>
      <c r="F2" s="265">
        <f>D2*PLANTILLA!S7</f>
        <v>4.9329458935109898</v>
      </c>
      <c r="H2" t="str">
        <f>A2</f>
        <v>B. Pinczehelyi</v>
      </c>
      <c r="I2" s="159">
        <f>D2</f>
        <v>5.3326362525516533</v>
      </c>
      <c r="J2" s="265">
        <f t="shared" ref="J2:K2" si="1">E2</f>
        <v>4.5069002177635618</v>
      </c>
      <c r="K2" s="265">
        <f t="shared" si="1"/>
        <v>4.9329458935109898</v>
      </c>
      <c r="M2" t="str">
        <f>A2</f>
        <v>B. Pinczehelyi</v>
      </c>
      <c r="N2" s="159">
        <f>D2</f>
        <v>5.3326362525516533</v>
      </c>
      <c r="O2" s="265">
        <f t="shared" ref="O2:P2" si="2">E2</f>
        <v>4.5069002177635618</v>
      </c>
      <c r="P2" s="265">
        <f t="shared" si="2"/>
        <v>4.9329458935109898</v>
      </c>
    </row>
    <row r="3" spans="1:16" x14ac:dyDescent="0.25">
      <c r="A3" t="str">
        <f>PLANTILLA!D16</f>
        <v>C. Rojas</v>
      </c>
      <c r="B3" s="265">
        <f>PLANTILLA!Y16+1.5+PLANTILLA!J16</f>
        <v>11.663940014732967</v>
      </c>
      <c r="C3" s="265">
        <f>PLANTILLA!AB16+1.5+PLANTILLA!J16</f>
        <v>12.986384459177408</v>
      </c>
      <c r="D3" s="357">
        <f>(C3*2+B3)/8</f>
        <v>4.7045886166359727</v>
      </c>
      <c r="E3" s="265">
        <f>D3*PLANTILLA!R16</f>
        <v>4.3556027024427255</v>
      </c>
      <c r="F3" s="265">
        <f>D3*PLANTILLA!S16</f>
        <v>4.7012269951873451</v>
      </c>
      <c r="H3" s="159" t="str">
        <f>A7</f>
        <v>E. Toney</v>
      </c>
      <c r="I3" s="159">
        <f>D7</f>
        <v>5.1027244606891378</v>
      </c>
      <c r="J3" s="265">
        <f t="shared" ref="J3:K3" si="3">E7</f>
        <v>4.3125892886586996</v>
      </c>
      <c r="K3" s="265">
        <f t="shared" si="3"/>
        <v>4.7202663901986712</v>
      </c>
      <c r="M3" t="str">
        <f>A7</f>
        <v>E. Toney</v>
      </c>
      <c r="N3" s="159">
        <f>D7</f>
        <v>5.1027244606891378</v>
      </c>
      <c r="O3" s="265">
        <f t="shared" ref="O3:P3" si="4">E7</f>
        <v>4.3125892886586996</v>
      </c>
      <c r="P3" s="265">
        <f t="shared" si="4"/>
        <v>4.7202663901986712</v>
      </c>
    </row>
    <row r="4" spans="1:16" x14ac:dyDescent="0.25">
      <c r="A4" t="str">
        <f>PLANTILLA!D12</f>
        <v>E. Romweber</v>
      </c>
      <c r="B4" s="265">
        <f>PLANTILLA!Y12+1.5+PLANTILLA!J12</f>
        <v>15.055493310207899</v>
      </c>
      <c r="C4" s="265">
        <f>PLANTILLA!AB12+1.5+PLANTILLA!J12</f>
        <v>14.055493310207899</v>
      </c>
      <c r="D4" s="357">
        <f t="shared" si="0"/>
        <v>5.3958099913279618</v>
      </c>
      <c r="E4" s="265">
        <f>D4*PLANTILLA!R12</f>
        <v>4.9955493445249832</v>
      </c>
      <c r="F4" s="265">
        <f>D4*PLANTILLA!S12</f>
        <v>5.3919544638679353</v>
      </c>
      <c r="H4" t="str">
        <f t="shared" ref="H4:H6" si="5">A4</f>
        <v>E. Romweber</v>
      </c>
      <c r="I4" s="159">
        <f t="shared" ref="I4:I6" si="6">D4</f>
        <v>5.3958099913279618</v>
      </c>
      <c r="J4" s="265">
        <f t="shared" ref="J4" si="7">E4</f>
        <v>4.9955493445249832</v>
      </c>
      <c r="K4" s="265">
        <f t="shared" ref="K4" si="8">F4</f>
        <v>5.3919544638679353</v>
      </c>
      <c r="M4" t="str">
        <f t="shared" ref="M4" si="9">A4</f>
        <v>E. Romweber</v>
      </c>
      <c r="N4" s="159">
        <f t="shared" ref="N4" si="10">D4</f>
        <v>5.3958099913279618</v>
      </c>
      <c r="O4" s="265">
        <f t="shared" ref="O4" si="11">E4</f>
        <v>4.9955493445249832</v>
      </c>
      <c r="P4" s="265">
        <f t="shared" ref="P4" si="12">F4</f>
        <v>5.3919544638679353</v>
      </c>
    </row>
    <row r="5" spans="1:16" x14ac:dyDescent="0.25">
      <c r="A5" t="str">
        <f>PLANTILLA!D8</f>
        <v>D. Toh</v>
      </c>
      <c r="B5" s="265">
        <f>PLANTILLA!Y8+1.5+PLANTILLA!J8</f>
        <v>13.783333333333333</v>
      </c>
      <c r="C5" s="265">
        <f>PLANTILLA!AB8+1.5+PLANTILLA!J8</f>
        <v>10.556111111111113</v>
      </c>
      <c r="D5" s="357">
        <f t="shared" si="0"/>
        <v>4.3619444444444451</v>
      </c>
      <c r="E5" s="265">
        <f>D5*PLANTILLA!R8</f>
        <v>2.3315573787504449</v>
      </c>
      <c r="F5" s="265">
        <f>D5*PLANTILLA!S8</f>
        <v>2.8507996977263135</v>
      </c>
      <c r="H5" s="159" t="str">
        <f>A12</f>
        <v>B. Bartolache</v>
      </c>
      <c r="I5" s="159">
        <f>D12</f>
        <v>4.8208406230238126</v>
      </c>
      <c r="J5" s="265">
        <f t="shared" ref="J5:K5" si="13">E12</f>
        <v>4.0743539639166482</v>
      </c>
      <c r="K5" s="265">
        <f t="shared" si="13"/>
        <v>4.4595102362808179</v>
      </c>
      <c r="M5" s="159" t="str">
        <f>H5</f>
        <v>B. Bartolache</v>
      </c>
      <c r="N5" s="159">
        <f t="shared" ref="N5:P5" si="14">I5</f>
        <v>4.8208406230238126</v>
      </c>
      <c r="O5" s="265">
        <f t="shared" si="14"/>
        <v>4.0743539639166482</v>
      </c>
      <c r="P5" s="265">
        <f t="shared" si="14"/>
        <v>4.4595102362808179</v>
      </c>
    </row>
    <row r="6" spans="1:16" x14ac:dyDescent="0.25">
      <c r="A6" t="str">
        <f>PLANTILLA!D17</f>
        <v>E. Gross</v>
      </c>
      <c r="B6" s="265">
        <f>PLANTILLA!Y17+1.5+PLANTILLA!J17</f>
        <v>13.535257803075778</v>
      </c>
      <c r="C6" s="265">
        <f>PLANTILLA!AB17+1.5+PLANTILLA!J17</f>
        <v>12.225257803075783</v>
      </c>
      <c r="D6" s="357">
        <f t="shared" si="0"/>
        <v>4.7482216761534177</v>
      </c>
      <c r="E6" s="265">
        <f>D6*PLANTILLA!R17</f>
        <v>4.0129797519952293</v>
      </c>
      <c r="F6" s="265">
        <f>D6*PLANTILLA!S17</f>
        <v>4.3923342057417019</v>
      </c>
      <c r="H6" t="str">
        <f t="shared" si="5"/>
        <v>E. Gross</v>
      </c>
      <c r="I6" s="159">
        <f t="shared" si="6"/>
        <v>4.7482216761534177</v>
      </c>
      <c r="J6" s="265">
        <f t="shared" ref="J6" si="15">E6</f>
        <v>4.0129797519952293</v>
      </c>
      <c r="K6" s="265">
        <f t="shared" ref="K6" si="16">F6</f>
        <v>4.3923342057417019</v>
      </c>
      <c r="N6" s="159"/>
      <c r="O6" s="265"/>
      <c r="P6" s="265"/>
    </row>
    <row r="7" spans="1:16" x14ac:dyDescent="0.25">
      <c r="A7" t="str">
        <f>PLANTILLA!D9</f>
        <v>E. Toney</v>
      </c>
      <c r="B7" s="265">
        <f>PLANTILLA!Y9+1.5+PLANTILLA!J9</f>
        <v>15.340598561837703</v>
      </c>
      <c r="C7" s="265">
        <f>PLANTILLA!AB9+1.5+PLANTILLA!J9</f>
        <v>12.740598561837698</v>
      </c>
      <c r="D7" s="357">
        <f t="shared" si="0"/>
        <v>5.1027244606891378</v>
      </c>
      <c r="E7" s="265">
        <f>D7*PLANTILLA!R9</f>
        <v>4.3125892886586996</v>
      </c>
      <c r="F7" s="265">
        <f>D7*PLANTILLA!S9</f>
        <v>4.7202663901986712</v>
      </c>
      <c r="I7" s="422">
        <f>SUM(I2:I6)</f>
        <v>25.400233003745981</v>
      </c>
      <c r="J7" s="686">
        <f t="shared" ref="J7:K7" si="17">SUM(J2:J6)</f>
        <v>21.902372566859121</v>
      </c>
      <c r="K7" s="686">
        <f t="shared" si="17"/>
        <v>23.897011189600114</v>
      </c>
      <c r="L7" s="422"/>
      <c r="M7" s="422"/>
      <c r="N7" s="422">
        <f>SUM(N2:N6)</f>
        <v>20.652011327592565</v>
      </c>
      <c r="O7" s="686">
        <f t="shared" ref="O7:P7" si="18">SUM(O2:O6)</f>
        <v>17.889392814863893</v>
      </c>
      <c r="P7" s="686">
        <f t="shared" si="18"/>
        <v>19.504676983858413</v>
      </c>
    </row>
    <row r="8" spans="1:16" x14ac:dyDescent="0.25">
      <c r="A8" t="str">
        <f>PLANTILLA!D23</f>
        <v>P .Trivadi</v>
      </c>
      <c r="B8" s="265">
        <f>PLANTILLA!Y23+1.5+PLANTILLA!J23</f>
        <v>6.6550111316254332</v>
      </c>
      <c r="C8" s="265">
        <f>PLANTILLA!AB23+1.5+PLANTILLA!J23</f>
        <v>13.635011131625433</v>
      </c>
      <c r="D8" s="357">
        <f t="shared" si="0"/>
        <v>4.2406291743595377</v>
      </c>
      <c r="E8" s="265">
        <f>D8*PLANTILLA!R23</f>
        <v>3.5839857894358396</v>
      </c>
      <c r="F8" s="265">
        <f>D8*PLANTILLA!S23</f>
        <v>3.9227866445138067</v>
      </c>
      <c r="N8" s="159"/>
    </row>
    <row r="9" spans="1:16" x14ac:dyDescent="0.25">
      <c r="A9" t="str">
        <f>PLANTILLA!D13</f>
        <v>K. Helms</v>
      </c>
      <c r="B9" s="265">
        <f>PLANTILLA!Y13+1.5+PLANTILLA!J13</f>
        <v>10.239998091177382</v>
      </c>
      <c r="C9" s="265">
        <f>PLANTILLA!AB13+1.5+PLANTILLA!J13</f>
        <v>13.34969506087435</v>
      </c>
      <c r="D9" s="357">
        <f t="shared" si="0"/>
        <v>4.6174235266157604</v>
      </c>
      <c r="E9" s="265">
        <f>D9*PLANTILLA!R13</f>
        <v>4.2749035101035293</v>
      </c>
      <c r="F9" s="265">
        <f>D9*PLANTILLA!S13</f>
        <v>4.6141241881976081</v>
      </c>
    </row>
    <row r="10" spans="1:16" x14ac:dyDescent="0.25">
      <c r="A10" t="str">
        <f>PLANTILLA!D21</f>
        <v>J. Limon</v>
      </c>
      <c r="B10" s="265">
        <f>PLANTILLA!Y21+1.5+PLANTILLA!J21</f>
        <v>9.8657897618566999</v>
      </c>
      <c r="C10" s="265">
        <f>PLANTILLA!AB21+1.5+PLANTILLA!J21</f>
        <v>12.978170714237649</v>
      </c>
      <c r="D10" s="357">
        <f t="shared" si="0"/>
        <v>4.4777663987915002</v>
      </c>
      <c r="E10" s="265">
        <f>D10*PLANTILLA!R21</f>
        <v>4.1456061340873251</v>
      </c>
      <c r="F10" s="265">
        <f>D10*PLANTILLA!S21</f>
        <v>4.474566851116939</v>
      </c>
      <c r="H10" s="159"/>
    </row>
    <row r="11" spans="1:16" x14ac:dyDescent="0.25">
      <c r="A11" t="str">
        <f>PLANTILLA!D22</f>
        <v>L. Calosso</v>
      </c>
      <c r="B11" s="265">
        <f>PLANTILLA!Y22+1.5+PLANTILLA!J22</f>
        <v>5.9904480499534163</v>
      </c>
      <c r="C11" s="265">
        <f>PLANTILLA!AB22+1.5+PLANTILLA!J22</f>
        <v>18.060448049953415</v>
      </c>
      <c r="D11" s="357">
        <f t="shared" si="0"/>
        <v>5.2639180187325305</v>
      </c>
      <c r="E11" s="265">
        <f>D11*PLANTILLA!R22</f>
        <v>3.4460432532691132</v>
      </c>
      <c r="F11" s="265">
        <f>D11*PLANTILLA!S22</f>
        <v>3.974170952226904</v>
      </c>
    </row>
    <row r="12" spans="1:16" x14ac:dyDescent="0.25">
      <c r="A12" t="str">
        <f>PLANTILLA!D10</f>
        <v>B. Bartolache</v>
      </c>
      <c r="B12" s="265">
        <f>PLANTILLA!Y10+1.5+PLANTILLA!J10</f>
        <v>14.888908328063499</v>
      </c>
      <c r="C12" s="265">
        <f>PLANTILLA!AB10+1.5+PLANTILLA!J10</f>
        <v>11.8389083280635</v>
      </c>
      <c r="D12" s="357">
        <f t="shared" si="0"/>
        <v>4.8208406230238126</v>
      </c>
      <c r="E12" s="265">
        <f>D12*PLANTILLA!R10</f>
        <v>4.0743539639166482</v>
      </c>
      <c r="F12" s="265">
        <f>D12*PLANTILLA!S10</f>
        <v>4.4595102362808179</v>
      </c>
    </row>
    <row r="13" spans="1:16" x14ac:dyDescent="0.25">
      <c r="A13" t="str">
        <f>PLANTILLA!D14</f>
        <v>S. Zobbe</v>
      </c>
      <c r="B13" s="265">
        <f>PLANTILLA!Y14+1.5+PLANTILLA!J14</f>
        <v>11.317895580216311</v>
      </c>
      <c r="C13" s="265">
        <f>PLANTILLA!AB14+1.5+PLANTILLA!J14</f>
        <v>13.197895580216313</v>
      </c>
      <c r="D13" s="357">
        <f t="shared" si="0"/>
        <v>4.7142108425811173</v>
      </c>
      <c r="E13" s="265">
        <f>D13*PLANTILLA!R14</f>
        <v>3.9842353512947364</v>
      </c>
      <c r="F13" s="265">
        <f>D13*PLANTILLA!S14</f>
        <v>4.3608725432806468</v>
      </c>
    </row>
    <row r="14" spans="1:16" x14ac:dyDescent="0.25">
      <c r="A14" t="str">
        <f>PLANTILLA!D15</f>
        <v>S. Buschelman</v>
      </c>
      <c r="B14" s="265">
        <f>PLANTILLA!Y15+1.5+PLANTILLA!J15</f>
        <v>12.331837380904314</v>
      </c>
      <c r="C14" s="265">
        <f>PLANTILLA!AB15+1.5+PLANTILLA!J15</f>
        <v>13.02817071423765</v>
      </c>
      <c r="D14" s="357">
        <f t="shared" si="0"/>
        <v>4.7985223511724513</v>
      </c>
      <c r="E14" s="265">
        <f>D14*PLANTILLA!R15</f>
        <v>4.4425684419232967</v>
      </c>
      <c r="F14" s="265">
        <f>D14*PLANTILLA!S15</f>
        <v>4.7950936102193351</v>
      </c>
    </row>
    <row r="15" spans="1:16" x14ac:dyDescent="0.25">
      <c r="A15" t="str">
        <f>PLANTILLA!D6</f>
        <v>T. Hammond</v>
      </c>
      <c r="B15" s="265">
        <f>PLANTILLA!Y6+1.5+PLANTILLA!J6</f>
        <v>11.741310598071912</v>
      </c>
      <c r="C15" s="265">
        <f>PLANTILLA!AB6+1.5+PLANTILLA!J6</f>
        <v>6.7413105980719141</v>
      </c>
      <c r="D15" s="357">
        <f t="shared" si="0"/>
        <v>3.1529914742769676</v>
      </c>
      <c r="E15" s="265">
        <f>D15*PLANTILLA!R6</f>
        <v>2.6647641596079175</v>
      </c>
      <c r="F15" s="265">
        <f>D15*PLANTILLA!S6</f>
        <v>2.9166692811397739</v>
      </c>
    </row>
    <row r="16" spans="1:16" x14ac:dyDescent="0.25">
      <c r="A16" t="str">
        <f>PLANTILLA!D11</f>
        <v>F. Lasprilla</v>
      </c>
      <c r="B16" s="265">
        <f>PLANTILLA!Y11+1.5+PLANTILLA!J11</f>
        <v>12.188551142190475</v>
      </c>
      <c r="C16" s="265">
        <f>PLANTILLA!AB11+1.5+PLANTILLA!J11</f>
        <v>11.44721780885714</v>
      </c>
      <c r="D16" s="357">
        <f t="shared" si="0"/>
        <v>4.3853733449880945</v>
      </c>
      <c r="E16" s="265">
        <f>D16*PLANTILLA!R11</f>
        <v>3.7063169410897148</v>
      </c>
      <c r="F16" s="265">
        <f>D16*PLANTILLA!S11</f>
        <v>4.0566819878855096</v>
      </c>
    </row>
    <row r="17" spans="1:6" x14ac:dyDescent="0.25">
      <c r="A17" t="str">
        <f>PLANTILLA!D18</f>
        <v>L. Bauman</v>
      </c>
      <c r="B17" s="265">
        <f>PLANTILLA!Y18+1.5+PLANTILLA!J18</f>
        <v>8.904104591311226</v>
      </c>
      <c r="C17" s="265">
        <f>PLANTILLA!AB18+1.5+PLANTILLA!J18</f>
        <v>12.04410459131123</v>
      </c>
      <c r="D17" s="357">
        <f t="shared" si="0"/>
        <v>4.124039221741711</v>
      </c>
      <c r="E17" s="265">
        <f>D17*PLANTILLA!R18</f>
        <v>3.818118403738826</v>
      </c>
      <c r="F17" s="265">
        <f>D17*PLANTILLA!S18</f>
        <v>4.1210924266375084</v>
      </c>
    </row>
    <row r="18" spans="1:6" x14ac:dyDescent="0.25">
      <c r="A18" t="str">
        <f>PLANTILLA!D19</f>
        <v>W. Gelifini</v>
      </c>
      <c r="B18" s="265">
        <f>PLANTILLA!Y19+1.5+PLANTILLA!J19</f>
        <v>8.138705808214544</v>
      </c>
      <c r="C18" s="265">
        <f>PLANTILLA!AB19+1.5+PLANTILLA!J19</f>
        <v>11.753816919325656</v>
      </c>
      <c r="D18" s="357">
        <f t="shared" si="0"/>
        <v>3.9557924558582318</v>
      </c>
      <c r="E18" s="265">
        <f>D18*PLANTILLA!R19</f>
        <v>3.3432548248915523</v>
      </c>
      <c r="F18" s="265">
        <f>D18*PLANTILLA!S19</f>
        <v>3.6592989333128347</v>
      </c>
    </row>
    <row r="19" spans="1:6" x14ac:dyDescent="0.25">
      <c r="A19" t="str">
        <f>PLANTILLA!D5</f>
        <v>D. Gehmacher</v>
      </c>
      <c r="B19" s="265">
        <f>PLANTILLA!Y5+1.5+PLANTILLA!J5</f>
        <v>15.386037359422644</v>
      </c>
      <c r="C19" s="265">
        <f>PLANTILLA!AB5+1.5+PLANTILLA!J5</f>
        <v>4.3454779188632013</v>
      </c>
      <c r="D19" s="357">
        <f t="shared" si="0"/>
        <v>3.0096241496436309</v>
      </c>
      <c r="E19" s="265">
        <f>D19*PLANTILLA!R5</f>
        <v>2.7863705305009465</v>
      </c>
      <c r="F19" s="265">
        <f>D19*PLANTILLA!S5</f>
        <v>3.0074736497980172</v>
      </c>
    </row>
    <row r="20" spans="1:6" x14ac:dyDescent="0.25">
      <c r="A20" t="str">
        <f>PLANTILLA!D20</f>
        <v>G. Kerschl</v>
      </c>
      <c r="B20" s="265">
        <f ca="1">PLANTILLA!Y20+PLANTILLA!P20+PLANTILLA!J20</f>
        <v>5.4625466840107419</v>
      </c>
      <c r="C20" s="265">
        <f ca="1">PLANTILLA!AB6+PLANTILLA!P20+PLANTILLA!J6</f>
        <v>6.2413105980719141</v>
      </c>
      <c r="D20" s="357">
        <f t="shared" ref="D20" ca="1" si="19">(C20*2+B20)/8</f>
        <v>2.2431459850193214</v>
      </c>
      <c r="E20" s="265">
        <f ca="1">D20*PLANTILLA!R20</f>
        <v>1.8958043732162688</v>
      </c>
      <c r="F20" s="265">
        <f ca="1">D20*PLANTILLA!S20</f>
        <v>2.0750182932601109</v>
      </c>
    </row>
    <row r="21" spans="1:6" x14ac:dyDescent="0.25">
      <c r="B21" s="159"/>
      <c r="C21" s="159"/>
      <c r="D21" s="357"/>
      <c r="E21" s="159"/>
      <c r="F21" s="159"/>
    </row>
    <row r="22" spans="1:6" x14ac:dyDescent="0.25">
      <c r="B22" s="159"/>
      <c r="C22" s="159"/>
      <c r="D22" s="357"/>
      <c r="E22" s="159"/>
      <c r="F22" s="159"/>
    </row>
    <row r="23" spans="1:6" x14ac:dyDescent="0.25">
      <c r="B23">
        <v>12</v>
      </c>
      <c r="C23">
        <v>7</v>
      </c>
      <c r="D23" s="357">
        <f t="shared" ref="D23" si="20">(C23*2+B23)/8</f>
        <v>3.25</v>
      </c>
    </row>
    <row r="24" spans="1:6" x14ac:dyDescent="0.25">
      <c r="B24">
        <v>12</v>
      </c>
      <c r="C24">
        <v>7</v>
      </c>
      <c r="D24" s="357">
        <f t="shared" ref="D24:D27" si="21">(C24*2+B24)/8</f>
        <v>3.25</v>
      </c>
    </row>
    <row r="25" spans="1:6" x14ac:dyDescent="0.25">
      <c r="B25">
        <v>12</v>
      </c>
      <c r="C25">
        <v>7</v>
      </c>
      <c r="D25" s="357">
        <f t="shared" si="21"/>
        <v>3.25</v>
      </c>
    </row>
    <row r="26" spans="1:6" x14ac:dyDescent="0.25">
      <c r="B26">
        <v>12</v>
      </c>
      <c r="C26">
        <v>7</v>
      </c>
      <c r="D26" s="357">
        <f t="shared" si="21"/>
        <v>3.25</v>
      </c>
    </row>
    <row r="27" spans="1:6" x14ac:dyDescent="0.25">
      <c r="B27">
        <v>12</v>
      </c>
      <c r="C27">
        <v>7</v>
      </c>
      <c r="D27" s="357">
        <f t="shared" si="21"/>
        <v>3.25</v>
      </c>
    </row>
  </sheetData>
  <sortState ref="A2:F19">
    <sortCondition descending="1" ref="E2:E19"/>
  </sortState>
  <conditionalFormatting sqref="D2:D20">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6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12">
        <f t="shared" si="1"/>
        <v>2022.2</v>
      </c>
    </row>
    <row r="5" spans="1:26" s="66" customFormat="1" ht="18.75" x14ac:dyDescent="0.3">
      <c r="A5" s="62" t="s">
        <v>70</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71</v>
      </c>
      <c r="B6" s="67" t="s">
        <v>71</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71</v>
      </c>
      <c r="Z6" s="71">
        <f>C6/$C$13</f>
        <v>0.53701788706633413</v>
      </c>
    </row>
    <row r="7" spans="1:26" x14ac:dyDescent="0.25">
      <c r="A7" s="67" t="s">
        <v>72</v>
      </c>
      <c r="B7" s="67" t="s">
        <v>72</v>
      </c>
      <c r="C7" s="68">
        <f t="shared" si="3"/>
        <v>1358155</v>
      </c>
      <c r="D7" s="72">
        <v>70675</v>
      </c>
      <c r="E7" s="72">
        <v>75855</v>
      </c>
      <c r="F7" s="373">
        <v>80000</v>
      </c>
      <c r="G7" s="373">
        <v>82000</v>
      </c>
      <c r="H7" s="373">
        <v>83000</v>
      </c>
      <c r="I7" s="72">
        <v>84735</v>
      </c>
      <c r="J7" s="72">
        <v>85660</v>
      </c>
      <c r="K7" s="72">
        <v>86400</v>
      </c>
      <c r="L7" s="72">
        <v>87140</v>
      </c>
      <c r="M7" s="72">
        <v>87695</v>
      </c>
      <c r="N7" s="72">
        <f>M7+500</f>
        <v>88195</v>
      </c>
      <c r="O7" s="72">
        <v>88620</v>
      </c>
      <c r="P7" s="72">
        <v>88990</v>
      </c>
      <c r="Q7" s="72">
        <f>P7+370</f>
        <v>89360</v>
      </c>
      <c r="R7" s="72">
        <v>89730</v>
      </c>
      <c r="S7" s="70">
        <v>90100</v>
      </c>
      <c r="Y7" s="67" t="s">
        <v>72</v>
      </c>
      <c r="Z7" s="71">
        <f t="shared" ref="Z7:Z12" si="4">C7/$C$13</f>
        <v>0.2602790839221843</v>
      </c>
    </row>
    <row r="8" spans="1:26" x14ac:dyDescent="0.25">
      <c r="A8" s="67" t="s">
        <v>73</v>
      </c>
      <c r="B8" s="67" t="s">
        <v>74</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74</v>
      </c>
      <c r="Z8" s="71">
        <f t="shared" si="4"/>
        <v>8.4565716992789676E-3</v>
      </c>
    </row>
    <row r="9" spans="1:26" x14ac:dyDescent="0.25">
      <c r="A9" s="67"/>
      <c r="B9" s="67" t="s">
        <v>75</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75</v>
      </c>
      <c r="Z9" s="71">
        <f t="shared" si="4"/>
        <v>7.8285619669487116E-3</v>
      </c>
    </row>
    <row r="10" spans="1:26" x14ac:dyDescent="0.25">
      <c r="A10" s="67" t="s">
        <v>76</v>
      </c>
      <c r="B10" s="67" t="s">
        <v>76</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76</v>
      </c>
      <c r="Z10" s="71">
        <f t="shared" si="4"/>
        <v>9.0646506985721931E-5</v>
      </c>
    </row>
    <row r="11" spans="1:26" x14ac:dyDescent="0.25">
      <c r="A11" s="712" t="s">
        <v>77</v>
      </c>
      <c r="B11" s="67" t="s">
        <v>78</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78</v>
      </c>
      <c r="Z11" s="71">
        <f t="shared" si="4"/>
        <v>1.3849751402433696E-2</v>
      </c>
    </row>
    <row r="12" spans="1:26" x14ac:dyDescent="0.25">
      <c r="A12" s="713"/>
      <c r="B12" s="67" t="s">
        <v>79</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79</v>
      </c>
      <c r="Z12" s="71">
        <f t="shared" si="4"/>
        <v>0.17247749743583454</v>
      </c>
    </row>
    <row r="13" spans="1:26" s="78" customFormat="1" ht="18.75" x14ac:dyDescent="0.3">
      <c r="A13" s="73" t="s">
        <v>80</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81</v>
      </c>
      <c r="B14" s="81" t="str">
        <f>A14</f>
        <v>Sueldos</v>
      </c>
      <c r="C14" s="82">
        <f t="shared" si="3"/>
        <v>604148</v>
      </c>
      <c r="D14" s="83">
        <v>33360</v>
      </c>
      <c r="E14" s="83">
        <f>D14</f>
        <v>33360</v>
      </c>
      <c r="F14" s="372">
        <f>E14</f>
        <v>33360</v>
      </c>
      <c r="G14" s="372">
        <f>F14</f>
        <v>33360</v>
      </c>
      <c r="H14" s="372">
        <f>G14</f>
        <v>33360</v>
      </c>
      <c r="I14" s="83">
        <v>36240</v>
      </c>
      <c r="J14" s="83">
        <f>I14</f>
        <v>36240</v>
      </c>
      <c r="K14" s="83">
        <v>36630</v>
      </c>
      <c r="L14" s="83">
        <v>36260</v>
      </c>
      <c r="M14" s="83">
        <v>39740</v>
      </c>
      <c r="N14" s="83">
        <f>O14-342</f>
        <v>41218</v>
      </c>
      <c r="O14" s="83">
        <v>41560</v>
      </c>
      <c r="P14" s="83">
        <v>41560</v>
      </c>
      <c r="Q14" s="83">
        <v>41560</v>
      </c>
      <c r="R14" s="83">
        <v>43120</v>
      </c>
      <c r="S14" s="70">
        <v>43220</v>
      </c>
      <c r="Y14" s="714">
        <f>C13</f>
        <v>5218072</v>
      </c>
      <c r="Z14" s="715"/>
    </row>
    <row r="15" spans="1:26" x14ac:dyDescent="0.25">
      <c r="A15" s="80" t="s">
        <v>82</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83</v>
      </c>
      <c r="B16" s="81" t="s">
        <v>84</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85</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86</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90</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81</v>
      </c>
      <c r="Z23" s="91">
        <f>C14/$C$23</f>
        <v>0.13683137218664118</v>
      </c>
    </row>
    <row r="24" spans="1:26" s="66" customFormat="1" ht="18.75" x14ac:dyDescent="0.3">
      <c r="A24" s="92" t="s">
        <v>92</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82</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84</v>
      </c>
      <c r="Z25" s="91">
        <f t="shared" si="13"/>
        <v>8.5423917066075633E-2</v>
      </c>
    </row>
    <row r="26" spans="1:26" s="53" customFormat="1" x14ac:dyDescent="0.25">
      <c r="A26" s="716" t="s">
        <v>93</v>
      </c>
      <c r="B26" s="716"/>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85</v>
      </c>
      <c r="Z26" s="91">
        <f t="shared" si="13"/>
        <v>0.38049733719809914</v>
      </c>
    </row>
    <row r="27" spans="1:26" s="53" customFormat="1" x14ac:dyDescent="0.25">
      <c r="A27" s="717" t="s">
        <v>94</v>
      </c>
      <c r="B27" s="717"/>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86</v>
      </c>
      <c r="Z27" s="91">
        <f t="shared" si="13"/>
        <v>7.2475683275828415E-2</v>
      </c>
    </row>
    <row r="28" spans="1:26" x14ac:dyDescent="0.25">
      <c r="A28" s="718" t="s">
        <v>95</v>
      </c>
      <c r="B28" s="718"/>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88</v>
      </c>
      <c r="Z28" s="91">
        <f t="shared" si="13"/>
        <v>0.23847670608890864</v>
      </c>
    </row>
    <row r="29" spans="1:26" x14ac:dyDescent="0.25">
      <c r="A29" s="716" t="s">
        <v>96</v>
      </c>
      <c r="B29" s="716"/>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67</v>
      </c>
      <c r="Z29" s="91">
        <f t="shared" si="13"/>
        <v>0</v>
      </c>
    </row>
    <row r="30" spans="1:26" s="59" customFormat="1" x14ac:dyDescent="0.25">
      <c r="A30" s="717" t="s">
        <v>97</v>
      </c>
      <c r="B30" s="717"/>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89</v>
      </c>
      <c r="Z30" s="91">
        <f t="shared" si="13"/>
        <v>1.3362704103980863E-2</v>
      </c>
    </row>
    <row r="31" spans="1:26" s="59" customFormat="1" x14ac:dyDescent="0.25">
      <c r="A31" s="718" t="s">
        <v>98</v>
      </c>
      <c r="B31" s="718"/>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90</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66" customFormat="1" ht="18.75" x14ac:dyDescent="0.3">
      <c r="A33" s="367"/>
      <c r="B33" s="367"/>
      <c r="C33" s="368" t="s">
        <v>100</v>
      </c>
      <c r="D33" s="174"/>
      <c r="E33" s="174">
        <v>23</v>
      </c>
      <c r="F33" s="174"/>
      <c r="G33" s="174"/>
      <c r="H33" s="174"/>
      <c r="I33" s="174"/>
      <c r="J33" s="174">
        <v>22</v>
      </c>
      <c r="K33" s="174">
        <v>22</v>
      </c>
      <c r="L33" s="174">
        <v>22</v>
      </c>
      <c r="M33" s="174">
        <v>22</v>
      </c>
      <c r="N33" s="174"/>
      <c r="O33" s="174"/>
      <c r="P33" s="174">
        <v>22</v>
      </c>
      <c r="Q33" s="174">
        <v>22</v>
      </c>
      <c r="R33" s="174">
        <v>23</v>
      </c>
      <c r="S33" s="174">
        <v>23</v>
      </c>
      <c r="Z33" s="369"/>
    </row>
    <row r="34" spans="1:26" s="59" customFormat="1" ht="18.75" x14ac:dyDescent="0.3">
      <c r="A34" s="57"/>
      <c r="B34" s="719" t="s">
        <v>437</v>
      </c>
      <c r="C34" s="173" t="s">
        <v>181</v>
      </c>
      <c r="D34" s="174"/>
      <c r="E34" s="174">
        <v>202690</v>
      </c>
      <c r="F34" s="174"/>
      <c r="G34" s="174"/>
      <c r="H34" s="174"/>
      <c r="I34" s="174"/>
      <c r="J34" s="174">
        <v>236060</v>
      </c>
      <c r="K34" s="174">
        <v>244460</v>
      </c>
      <c r="L34" s="174">
        <v>254880</v>
      </c>
      <c r="M34" s="174">
        <v>267950</v>
      </c>
      <c r="N34" s="174"/>
      <c r="O34" s="174"/>
      <c r="P34" s="174">
        <v>302110</v>
      </c>
      <c r="Q34" s="174">
        <v>309510</v>
      </c>
      <c r="R34" s="174">
        <v>314900</v>
      </c>
      <c r="S34" s="174">
        <v>321600</v>
      </c>
      <c r="Y34" s="709">
        <f>C23</f>
        <v>4415274</v>
      </c>
      <c r="Z34" s="710"/>
    </row>
    <row r="35" spans="1:26" x14ac:dyDescent="0.25">
      <c r="A35" s="57"/>
      <c r="B35" s="719"/>
      <c r="C35" s="173" t="s">
        <v>104</v>
      </c>
      <c r="D35" s="174"/>
      <c r="E35" s="174">
        <v>33450</v>
      </c>
      <c r="F35" s="174"/>
      <c r="G35" s="174"/>
      <c r="H35" s="174"/>
      <c r="I35" s="174"/>
      <c r="J35" s="174">
        <v>35950</v>
      </c>
      <c r="K35" s="174">
        <v>35940</v>
      </c>
      <c r="L35" s="174">
        <v>37940</v>
      </c>
      <c r="M35" s="174">
        <v>39440</v>
      </c>
      <c r="N35" s="174"/>
      <c r="O35" s="174"/>
      <c r="P35" s="174">
        <v>41260</v>
      </c>
      <c r="Q35" s="174">
        <v>41260</v>
      </c>
      <c r="R35" s="174">
        <v>43250</v>
      </c>
      <c r="S35" s="174">
        <v>43730</v>
      </c>
    </row>
    <row r="36" spans="1:26" x14ac:dyDescent="0.25">
      <c r="A36" s="57"/>
      <c r="B36" s="719"/>
      <c r="C36" s="173" t="s">
        <v>61</v>
      </c>
      <c r="D36" s="175"/>
      <c r="E36" s="175" t="s">
        <v>499</v>
      </c>
      <c r="F36" s="175"/>
      <c r="G36" s="175"/>
      <c r="H36" s="175"/>
      <c r="I36" s="175"/>
      <c r="J36" s="175" t="s">
        <v>543</v>
      </c>
      <c r="K36" s="175" t="s">
        <v>546</v>
      </c>
      <c r="L36" s="175" t="s">
        <v>549</v>
      </c>
      <c r="M36" s="175" t="s">
        <v>543</v>
      </c>
      <c r="N36" s="175"/>
      <c r="O36" s="175"/>
      <c r="P36" s="175" t="s">
        <v>551</v>
      </c>
      <c r="Q36" s="175" t="s">
        <v>552</v>
      </c>
      <c r="R36" s="175" t="s">
        <v>553</v>
      </c>
      <c r="S36" s="175" t="s">
        <v>555</v>
      </c>
    </row>
    <row r="37" spans="1:26" x14ac:dyDescent="0.25">
      <c r="A37" s="57"/>
      <c r="B37" s="719"/>
      <c r="C37" s="173" t="s">
        <v>210</v>
      </c>
      <c r="D37" s="176"/>
      <c r="E37" s="176">
        <v>5</v>
      </c>
      <c r="F37" s="176"/>
      <c r="G37" s="176"/>
      <c r="H37" s="176"/>
      <c r="I37" s="176"/>
      <c r="J37" s="176">
        <v>5</v>
      </c>
      <c r="K37" s="176">
        <v>5</v>
      </c>
      <c r="L37" s="176">
        <v>5</v>
      </c>
      <c r="M37" s="176">
        <v>5</v>
      </c>
      <c r="N37" s="176"/>
      <c r="O37" s="176"/>
      <c r="P37" s="176">
        <v>5.25</v>
      </c>
      <c r="Q37" s="176">
        <v>5.25</v>
      </c>
      <c r="R37" s="176">
        <v>5.25</v>
      </c>
      <c r="S37" s="176">
        <v>5.25</v>
      </c>
    </row>
    <row r="38" spans="1:26" x14ac:dyDescent="0.25">
      <c r="B38" s="719"/>
      <c r="C38" s="173" t="s">
        <v>211</v>
      </c>
      <c r="D38" s="176"/>
      <c r="E38" s="176">
        <v>6</v>
      </c>
      <c r="F38" s="176"/>
      <c r="G38" s="176"/>
      <c r="H38" s="176"/>
      <c r="I38" s="176"/>
      <c r="J38" s="176">
        <v>5.5</v>
      </c>
      <c r="K38" s="176">
        <v>5.5</v>
      </c>
      <c r="L38" s="176">
        <v>5.75</v>
      </c>
      <c r="M38" s="176">
        <v>6</v>
      </c>
      <c r="N38" s="176"/>
      <c r="O38" s="176"/>
      <c r="P38" s="176">
        <v>6.25</v>
      </c>
      <c r="Q38" s="176">
        <v>6.25</v>
      </c>
      <c r="R38" s="176">
        <v>6</v>
      </c>
      <c r="S38" s="176">
        <v>6</v>
      </c>
    </row>
    <row r="39" spans="1:26" x14ac:dyDescent="0.25">
      <c r="B39" s="719"/>
      <c r="C39" s="173" t="s">
        <v>257</v>
      </c>
      <c r="D39" s="176"/>
      <c r="E39" s="176">
        <v>2.25</v>
      </c>
      <c r="F39" s="176"/>
      <c r="G39" s="176"/>
      <c r="H39" s="176"/>
      <c r="I39" s="176"/>
      <c r="J39" s="176">
        <v>3</v>
      </c>
      <c r="K39" s="176">
        <v>3</v>
      </c>
      <c r="L39" s="176">
        <v>3</v>
      </c>
      <c r="M39" s="176">
        <v>3</v>
      </c>
      <c r="N39" s="176"/>
      <c r="O39" s="176"/>
      <c r="P39" s="176">
        <v>3</v>
      </c>
      <c r="Q39" s="176">
        <v>3</v>
      </c>
      <c r="R39" s="176">
        <v>3</v>
      </c>
      <c r="S39" s="176">
        <v>3</v>
      </c>
    </row>
    <row r="40" spans="1:26" ht="15" customHeight="1" x14ac:dyDescent="0.25">
      <c r="C40" s="164" t="s">
        <v>438</v>
      </c>
      <c r="D40" s="330"/>
      <c r="E40" s="288">
        <f>E34/E35</f>
        <v>6.0594917787742899</v>
      </c>
      <c r="F40" s="288"/>
      <c r="G40" s="288"/>
      <c r="H40" s="288"/>
      <c r="I40" s="330"/>
      <c r="J40" s="330">
        <f>J34/J35</f>
        <v>6.5663421418637</v>
      </c>
      <c r="K40" s="330">
        <f>K34/K35</f>
        <v>6.8018920422927103</v>
      </c>
      <c r="L40" s="330">
        <f>L34/L35</f>
        <v>6.7179757511860831</v>
      </c>
      <c r="M40" s="330">
        <f>M34/M35</f>
        <v>6.7938640973630831</v>
      </c>
      <c r="N40" s="330"/>
      <c r="O40" s="330"/>
      <c r="P40" s="330">
        <f>P34/P35</f>
        <v>7.3221037324285021</v>
      </c>
      <c r="Q40" s="330">
        <f>Q34/Q35</f>
        <v>7.5014541929229281</v>
      </c>
      <c r="R40" s="330">
        <f>R34/R35</f>
        <v>7.2809248554913291</v>
      </c>
      <c r="S40" s="330">
        <f>S34/S35</f>
        <v>7.3542190715755771</v>
      </c>
    </row>
    <row r="41" spans="1:26" ht="15" customHeight="1" x14ac:dyDescent="0.25">
      <c r="D41" s="52"/>
      <c r="E41" s="362"/>
      <c r="G41" s="711"/>
      <c r="H41" s="711"/>
      <c r="I41" s="711"/>
      <c r="J41" s="711"/>
    </row>
    <row r="42" spans="1:26" x14ac:dyDescent="0.25">
      <c r="C42" s="4" t="s">
        <v>485</v>
      </c>
      <c r="D42" s="246">
        <v>72340</v>
      </c>
      <c r="E42" s="341">
        <v>81405</v>
      </c>
      <c r="F42" s="246">
        <v>86500</v>
      </c>
      <c r="G42" s="363">
        <v>89546</v>
      </c>
      <c r="H42" s="363">
        <v>92478</v>
      </c>
      <c r="I42" s="363">
        <v>93430</v>
      </c>
      <c r="J42" s="363">
        <v>94540</v>
      </c>
      <c r="K42" s="9">
        <v>95465</v>
      </c>
      <c r="L42" s="9">
        <v>96390</v>
      </c>
      <c r="M42" s="9">
        <v>97130</v>
      </c>
      <c r="N42" s="9">
        <v>97685</v>
      </c>
      <c r="O42" s="9">
        <v>91580</v>
      </c>
      <c r="P42" s="9">
        <v>88250</v>
      </c>
      <c r="Q42" s="9">
        <v>86585</v>
      </c>
      <c r="R42" s="9">
        <v>85660</v>
      </c>
      <c r="S42" s="9">
        <v>85475</v>
      </c>
    </row>
    <row r="43" spans="1:26" x14ac:dyDescent="0.25">
      <c r="G43" s="363"/>
      <c r="H43" s="363"/>
      <c r="I43" s="363"/>
      <c r="J43" s="363"/>
    </row>
    <row r="44" spans="1:26" x14ac:dyDescent="0.25">
      <c r="G44" s="363"/>
      <c r="H44" s="363"/>
      <c r="I44" s="363"/>
      <c r="J44" s="343"/>
    </row>
    <row r="45" spans="1:26" x14ac:dyDescent="0.25">
      <c r="D45" s="370"/>
      <c r="G45" s="52"/>
      <c r="H45" s="52"/>
      <c r="I45" s="52"/>
      <c r="J45" s="52"/>
      <c r="K45" s="52"/>
      <c r="L45" s="52"/>
      <c r="M45" s="52"/>
      <c r="N45" s="52"/>
      <c r="O45" s="52"/>
      <c r="P45" s="52"/>
      <c r="Q45" s="52"/>
      <c r="R45" s="52"/>
      <c r="S45" s="52"/>
    </row>
    <row r="46" spans="1:26" x14ac:dyDescent="0.25">
      <c r="G46" s="720"/>
      <c r="H46" s="720"/>
      <c r="I46" s="720"/>
      <c r="J46" s="720"/>
    </row>
    <row r="47" spans="1:26" x14ac:dyDescent="0.25">
      <c r="G47" s="363"/>
      <c r="H47" s="363"/>
      <c r="I47" s="363"/>
      <c r="J47" s="363"/>
    </row>
    <row r="48" spans="1:26" x14ac:dyDescent="0.25">
      <c r="G48" s="720"/>
      <c r="H48" s="720"/>
      <c r="I48" s="720"/>
      <c r="J48" s="720"/>
      <c r="P48" s="383"/>
    </row>
    <row r="49" spans="7:10" ht="15" customHeight="1" x14ac:dyDescent="0.25">
      <c r="G49" s="720"/>
      <c r="H49" s="720"/>
      <c r="I49" s="720"/>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21" t="s">
        <v>559</v>
      </c>
      <c r="C2" s="722"/>
      <c r="D2" s="722"/>
      <c r="E2" s="722"/>
      <c r="F2" s="722"/>
      <c r="G2" s="723"/>
      <c r="I2" s="731" t="s">
        <v>494</v>
      </c>
      <c r="J2" s="731"/>
      <c r="K2" s="731"/>
      <c r="L2" s="731"/>
      <c r="M2" s="731"/>
      <c r="N2" s="731"/>
      <c r="O2" s="731"/>
      <c r="P2" s="731"/>
      <c r="Q2" s="731"/>
      <c r="R2" s="731"/>
      <c r="S2" s="731"/>
      <c r="T2" s="731"/>
    </row>
    <row r="3" spans="2:20" x14ac:dyDescent="0.25">
      <c r="B3" s="725" t="s">
        <v>102</v>
      </c>
      <c r="C3" s="726"/>
      <c r="D3" s="726"/>
      <c r="E3" s="726"/>
      <c r="F3" s="726"/>
      <c r="G3" s="727"/>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8" t="s">
        <v>113</v>
      </c>
      <c r="C4" s="729"/>
      <c r="D4" s="109"/>
      <c r="E4" s="730" t="s">
        <v>114</v>
      </c>
      <c r="F4" s="729"/>
      <c r="G4" s="109"/>
      <c r="I4" s="335" t="s">
        <v>491</v>
      </c>
      <c r="J4" s="336" t="s">
        <v>492</v>
      </c>
      <c r="K4" s="335">
        <v>0</v>
      </c>
      <c r="L4" s="335">
        <v>0</v>
      </c>
      <c r="M4" s="335">
        <v>23000</v>
      </c>
      <c r="N4" s="335">
        <f>M4-21850</f>
        <v>1150</v>
      </c>
      <c r="O4" s="337">
        <f t="shared" ref="O4:O5" si="0">IF(M4=0,0,M4-K4)-N4</f>
        <v>21850</v>
      </c>
      <c r="P4" s="337">
        <f t="shared" ref="P4:P5"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si="0"/>
        <v>1900</v>
      </c>
      <c r="P5" s="337">
        <f t="shared" si="1"/>
        <v>0</v>
      </c>
      <c r="Q5" s="338"/>
      <c r="R5" s="339"/>
      <c r="S5" s="339">
        <v>41917</v>
      </c>
      <c r="T5" s="340"/>
    </row>
    <row r="6" spans="2:20" x14ac:dyDescent="0.25">
      <c r="B6" s="116" t="s">
        <v>116</v>
      </c>
      <c r="C6" s="117">
        <f>SUM(C7:C9)</f>
        <v>3754680</v>
      </c>
      <c r="D6" s="140">
        <f>C6/$C$34</f>
        <v>0.28634935234153447</v>
      </c>
      <c r="E6" s="116" t="s">
        <v>117</v>
      </c>
      <c r="F6" s="117">
        <f>F7+F8+F9</f>
        <v>5637805</v>
      </c>
      <c r="G6" s="118">
        <f>F6/$F$34</f>
        <v>0.42996521950681937</v>
      </c>
      <c r="I6" s="335" t="s">
        <v>491</v>
      </c>
      <c r="J6" s="336" t="s">
        <v>544</v>
      </c>
      <c r="K6" s="335">
        <v>0</v>
      </c>
      <c r="L6" s="335">
        <v>0</v>
      </c>
      <c r="M6" s="335">
        <v>31000</v>
      </c>
      <c r="N6" s="335">
        <f>M6-29450</f>
        <v>1550</v>
      </c>
      <c r="O6" s="337">
        <f t="shared" ref="O6" si="2">IF(M6=0,0,M6-K6)-N6</f>
        <v>29450</v>
      </c>
      <c r="P6" s="337">
        <f t="shared" ref="P6" si="3">IF(M6=0,K6,0)</f>
        <v>0</v>
      </c>
      <c r="Q6" s="338"/>
      <c r="R6" s="339"/>
      <c r="S6" s="339">
        <v>41983</v>
      </c>
      <c r="T6" s="340"/>
    </row>
    <row r="7" spans="2:20" x14ac:dyDescent="0.25">
      <c r="B7" s="119" t="s">
        <v>84</v>
      </c>
      <c r="C7" s="120">
        <f>EconomiaT45!C16+'A-P_T44'!C7</f>
        <v>1685880</v>
      </c>
      <c r="D7" s="202">
        <f>C7/$C$34</f>
        <v>0.12857304647148254</v>
      </c>
      <c r="E7" s="203" t="s">
        <v>118</v>
      </c>
      <c r="F7" s="204">
        <v>300000</v>
      </c>
      <c r="G7" s="121">
        <f>F7/$F$34</f>
        <v>2.2879394702733744E-2</v>
      </c>
      <c r="I7" s="374" t="s">
        <v>115</v>
      </c>
      <c r="J7" s="375" t="s">
        <v>539</v>
      </c>
      <c r="K7" s="374">
        <v>1052640</v>
      </c>
      <c r="L7" s="374">
        <v>300</v>
      </c>
      <c r="M7" s="374">
        <v>0</v>
      </c>
      <c r="N7" s="374">
        <v>0</v>
      </c>
      <c r="O7" s="376">
        <f t="shared" ref="O7:O9" si="4">IF(M7=0,0,M7-K7)-N7</f>
        <v>0</v>
      </c>
      <c r="P7" s="376">
        <f t="shared" ref="P7:P9" si="5">IF(M7=0,K7,0)</f>
        <v>1052640</v>
      </c>
      <c r="Q7" s="377"/>
      <c r="R7" s="378"/>
      <c r="S7" s="378"/>
      <c r="T7" s="379"/>
    </row>
    <row r="8" spans="2:20" x14ac:dyDescent="0.25">
      <c r="B8" s="119" t="s">
        <v>67</v>
      </c>
      <c r="C8" s="120">
        <f>'A-P_T44'!C8+'A-P_T44'!C9</f>
        <v>2068800</v>
      </c>
      <c r="D8" s="202">
        <f>C8/$C$34</f>
        <v>0.1577763058700519</v>
      </c>
      <c r="E8" s="203" t="s">
        <v>261</v>
      </c>
      <c r="F8" s="204">
        <f>'A-P_T44'!F9+'A-P_T44'!F8</f>
        <v>3973164</v>
      </c>
      <c r="G8" s="121">
        <f>F8/$F$34</f>
        <v>0.30301195791564139</v>
      </c>
      <c r="I8" s="335" t="s">
        <v>491</v>
      </c>
      <c r="J8" s="336" t="s">
        <v>464</v>
      </c>
      <c r="K8" s="335">
        <v>0</v>
      </c>
      <c r="L8" s="335">
        <v>0</v>
      </c>
      <c r="M8" s="335">
        <v>44444</v>
      </c>
      <c r="N8" s="335">
        <f>M8-42222</f>
        <v>2222</v>
      </c>
      <c r="O8" s="337">
        <f t="shared" si="4"/>
        <v>42222</v>
      </c>
      <c r="P8" s="337">
        <f t="shared" si="5"/>
        <v>0</v>
      </c>
      <c r="Q8" s="338"/>
      <c r="R8" s="339"/>
      <c r="S8" s="339">
        <v>41983</v>
      </c>
      <c r="T8" s="340"/>
    </row>
    <row r="9" spans="2:20" x14ac:dyDescent="0.25">
      <c r="B9" s="122" t="s">
        <v>119</v>
      </c>
      <c r="C9" s="123">
        <v>0</v>
      </c>
      <c r="D9" s="202">
        <f>C9/$C$34</f>
        <v>0</v>
      </c>
      <c r="E9" s="203" t="s">
        <v>545</v>
      </c>
      <c r="F9" s="204">
        <f>'A-P_T44'!F11-EconomiaT44!C24+EconomiaT44!C5-640</f>
        <v>1364641</v>
      </c>
      <c r="G9" s="121">
        <f>F9/$F$34</f>
        <v>0.10407386688844426</v>
      </c>
      <c r="I9" s="335" t="s">
        <v>491</v>
      </c>
      <c r="J9" s="336" t="s">
        <v>554</v>
      </c>
      <c r="K9" s="335">
        <v>0</v>
      </c>
      <c r="L9" s="335">
        <v>0</v>
      </c>
      <c r="M9" s="335">
        <v>20005</v>
      </c>
      <c r="N9" s="335">
        <f>M9-1905</f>
        <v>18100</v>
      </c>
      <c r="O9" s="337">
        <f t="shared" si="4"/>
        <v>1905</v>
      </c>
      <c r="P9" s="337">
        <f t="shared" si="5"/>
        <v>0</v>
      </c>
      <c r="Q9" s="338"/>
      <c r="R9" s="339"/>
      <c r="S9" s="339">
        <v>42067</v>
      </c>
      <c r="T9" s="340"/>
    </row>
    <row r="10" spans="2:20" x14ac:dyDescent="0.25">
      <c r="B10" s="124"/>
      <c r="C10" s="125"/>
      <c r="D10" s="140"/>
      <c r="E10" s="205"/>
      <c r="F10" s="125"/>
      <c r="G10" s="118"/>
      <c r="I10" s="335" t="s">
        <v>491</v>
      </c>
      <c r="J10" s="336" t="s">
        <v>558</v>
      </c>
      <c r="K10" s="335">
        <v>0</v>
      </c>
      <c r="L10" s="335">
        <v>0</v>
      </c>
      <c r="M10" s="335">
        <v>12000</v>
      </c>
      <c r="N10" s="335">
        <f>M10-11400</f>
        <v>600</v>
      </c>
      <c r="O10" s="337">
        <f t="shared" ref="O10" si="6">IF(M10=0,0,M10-K10)-N10</f>
        <v>11400</v>
      </c>
      <c r="P10" s="337">
        <f t="shared" ref="P10" si="7">IF(M10=0,K10,0)</f>
        <v>0</v>
      </c>
      <c r="Q10" s="338"/>
      <c r="R10" s="339"/>
      <c r="S10" s="339">
        <v>42076</v>
      </c>
      <c r="T10" s="340"/>
    </row>
    <row r="11" spans="2:20" x14ac:dyDescent="0.25">
      <c r="B11" s="116" t="s">
        <v>100</v>
      </c>
      <c r="C11" s="117">
        <f>SUM(C12:C15)</f>
        <v>1052640</v>
      </c>
      <c r="D11" s="140">
        <f>C11/$C$34</f>
        <v>8.0279220132952162E-2</v>
      </c>
      <c r="E11" s="116" t="s">
        <v>107</v>
      </c>
      <c r="F11" s="117">
        <f>SUM(F12:F17)+C9</f>
        <v>3059456</v>
      </c>
      <c r="G11" s="118">
        <f t="shared" ref="G11:G17" si="8">F11/$F$34</f>
        <v>0.23332833799882324</v>
      </c>
    </row>
    <row r="12" spans="2:20" x14ac:dyDescent="0.25">
      <c r="B12" s="129" t="s">
        <v>121</v>
      </c>
      <c r="C12" s="130">
        <f>SUMIF(I4:I44,"S",$P$4:$P$44)</f>
        <v>0</v>
      </c>
      <c r="D12" s="202">
        <f>C12/$C$34</f>
        <v>0</v>
      </c>
      <c r="E12" s="49" t="s">
        <v>122</v>
      </c>
      <c r="F12" s="131">
        <f>SUMIF(I4:I9,"J",$O$4:$O$39)</f>
        <v>0</v>
      </c>
      <c r="G12" s="121">
        <f t="shared" si="8"/>
        <v>0</v>
      </c>
    </row>
    <row r="13" spans="2:20" x14ac:dyDescent="0.25">
      <c r="B13" s="129" t="s">
        <v>100</v>
      </c>
      <c r="C13" s="130">
        <f>SUMIF(I4:I39,"J",$P$4:$P$39)</f>
        <v>1052640</v>
      </c>
      <c r="D13" s="202">
        <f>C13/$C$34</f>
        <v>8.0279220132952162E-2</v>
      </c>
      <c r="E13" s="49" t="s">
        <v>123</v>
      </c>
      <c r="F13" s="131">
        <f>SUMIF(I3:I8,"S",$O$4:$O$39)</f>
        <v>0</v>
      </c>
      <c r="G13" s="121">
        <f t="shared" si="8"/>
        <v>0</v>
      </c>
    </row>
    <row r="14" spans="2:20" x14ac:dyDescent="0.25">
      <c r="B14" s="129" t="s">
        <v>99</v>
      </c>
      <c r="C14" s="130">
        <f>SUMIF(I4:I39,"E",$P$4:$P$39)</f>
        <v>0</v>
      </c>
      <c r="D14" s="202">
        <f>C14/$C$34</f>
        <v>0</v>
      </c>
      <c r="E14" s="49" t="s">
        <v>124</v>
      </c>
      <c r="F14" s="131">
        <f>SUMIF(I4:I19,"C",$O$4:$O$39)</f>
        <v>108727</v>
      </c>
      <c r="G14" s="121">
        <f t="shared" si="8"/>
        <v>8.2920264928137734E-3</v>
      </c>
    </row>
    <row r="15" spans="2:20" x14ac:dyDescent="0.25">
      <c r="B15" s="129" t="s">
        <v>125</v>
      </c>
      <c r="C15" s="130">
        <f>SUMIF(I4:I39,"M",$P$4:$P$39)</f>
        <v>0</v>
      </c>
      <c r="D15" s="202">
        <f>C15/$C$34</f>
        <v>0</v>
      </c>
      <c r="E15" s="49" t="s">
        <v>126</v>
      </c>
      <c r="F15" s="131">
        <f>SUMIF(I4:I19,"E",$O$4:$O$39)</f>
        <v>0</v>
      </c>
      <c r="G15" s="121">
        <f t="shared" si="8"/>
        <v>0</v>
      </c>
    </row>
    <row r="16" spans="2:20" x14ac:dyDescent="0.25">
      <c r="B16" s="132"/>
      <c r="C16" s="133"/>
      <c r="D16" s="140"/>
      <c r="E16" s="49" t="s">
        <v>127</v>
      </c>
      <c r="F16" s="131">
        <f>SUMIF(I4:I19,"M",$O$4:$O$39)</f>
        <v>0</v>
      </c>
      <c r="G16" s="121">
        <f t="shared" si="8"/>
        <v>0</v>
      </c>
    </row>
    <row r="17" spans="2:7" x14ac:dyDescent="0.25">
      <c r="B17" s="116" t="s">
        <v>74</v>
      </c>
      <c r="C17" s="134">
        <f>C18+C19</f>
        <v>108727</v>
      </c>
      <c r="D17" s="140">
        <f>C17/$C$34</f>
        <v>8.2920264928137734E-3</v>
      </c>
      <c r="E17" s="135" t="s">
        <v>128</v>
      </c>
      <c r="F17" s="136">
        <f>C22-F27+EconomiaT45!C24-EconomiaT45!C5</f>
        <v>2950729</v>
      </c>
      <c r="G17" s="121">
        <f t="shared" si="8"/>
        <v>0.22503631150600947</v>
      </c>
    </row>
    <row r="18" spans="2:7" x14ac:dyDescent="0.25">
      <c r="B18" s="129" t="s">
        <v>74</v>
      </c>
      <c r="C18" s="130">
        <f>SUM(M4:M18)</f>
        <v>132449</v>
      </c>
      <c r="D18" s="202">
        <f>C18/$C$34</f>
        <v>1.0101176496607939E-2</v>
      </c>
      <c r="E18" s="124"/>
      <c r="F18" s="125"/>
      <c r="G18" s="137"/>
    </row>
    <row r="19" spans="2:7" x14ac:dyDescent="0.25">
      <c r="B19" s="122" t="s">
        <v>76</v>
      </c>
      <c r="C19" s="123">
        <f>SUM(N4:N50)*-1</f>
        <v>-23722</v>
      </c>
      <c r="D19" s="202">
        <f>C19/$C$34</f>
        <v>-1.8091500037941662E-3</v>
      </c>
      <c r="E19" s="116" t="s">
        <v>129</v>
      </c>
      <c r="F19" s="134">
        <f>F20+F21</f>
        <v>1052640</v>
      </c>
      <c r="G19" s="118">
        <f>F19/$F$34</f>
        <v>8.0279220132952162E-2</v>
      </c>
    </row>
    <row r="20" spans="2:7" x14ac:dyDescent="0.25">
      <c r="B20" s="132"/>
      <c r="C20" s="133"/>
      <c r="D20" s="202"/>
      <c r="E20" s="206" t="s">
        <v>88</v>
      </c>
      <c r="F20" s="207">
        <f>EconomiaT45!C19</f>
        <v>1052940</v>
      </c>
      <c r="G20" s="121">
        <f>F20/$F$34</f>
        <v>8.0302099527654894E-2</v>
      </c>
    </row>
    <row r="21" spans="2:7" x14ac:dyDescent="0.25">
      <c r="B21" s="132"/>
      <c r="C21" s="133"/>
      <c r="D21" s="140"/>
      <c r="E21" s="122" t="s">
        <v>130</v>
      </c>
      <c r="F21" s="208">
        <f>SUM(L4:L99)*-1</f>
        <v>-300</v>
      </c>
      <c r="G21" s="121">
        <f>F21/$F$34</f>
        <v>-2.2879394702733746E-5</v>
      </c>
    </row>
    <row r="22" spans="2:7" x14ac:dyDescent="0.25">
      <c r="B22" s="116" t="s">
        <v>131</v>
      </c>
      <c r="C22" s="117">
        <f>SUM(C23:C27)</f>
        <v>5133095</v>
      </c>
      <c r="D22" s="140">
        <f t="shared" ref="D22:D27" si="9">C22/$C$34</f>
        <v>0.39147368850543024</v>
      </c>
      <c r="E22" s="116"/>
      <c r="F22" s="117"/>
      <c r="G22" s="118"/>
    </row>
    <row r="23" spans="2:7" x14ac:dyDescent="0.25">
      <c r="B23" s="138" t="s">
        <v>69</v>
      </c>
      <c r="C23" s="139">
        <f>EconomiaT45!C11</f>
        <v>72269</v>
      </c>
      <c r="D23" s="202">
        <f t="shared" si="9"/>
        <v>5.5115699192395499E-3</v>
      </c>
      <c r="E23" s="116" t="s">
        <v>264</v>
      </c>
      <c r="F23" s="117">
        <f>SUM(F24:F25)</f>
        <v>377170</v>
      </c>
      <c r="G23" s="118">
        <f>F23/$F$34</f>
        <v>2.8764737666766956E-2</v>
      </c>
    </row>
    <row r="24" spans="2:7" x14ac:dyDescent="0.25">
      <c r="B24" s="138" t="s">
        <v>79</v>
      </c>
      <c r="C24" s="139">
        <f>EconomiaT45!C12</f>
        <v>900000</v>
      </c>
      <c r="D24" s="202">
        <f t="shared" si="9"/>
        <v>6.8638184108201231E-2</v>
      </c>
      <c r="E24" s="206" t="s">
        <v>84</v>
      </c>
      <c r="F24" s="209">
        <f>EconomiaT45!C16</f>
        <v>377170</v>
      </c>
      <c r="G24" s="121">
        <f>F24/$F$34</f>
        <v>2.8764737666766956E-2</v>
      </c>
    </row>
    <row r="25" spans="2:7" x14ac:dyDescent="0.25">
      <c r="B25" s="138" t="s">
        <v>71</v>
      </c>
      <c r="C25" s="139">
        <f>EconomiaT45!C6</f>
        <v>2802198</v>
      </c>
      <c r="D25" s="202">
        <f t="shared" si="9"/>
        <v>0.21370864692403699</v>
      </c>
      <c r="E25" s="206" t="s">
        <v>67</v>
      </c>
      <c r="F25" s="209">
        <f>EconomiaT45!C20</f>
        <v>0</v>
      </c>
      <c r="G25" s="121">
        <f>F25/$F$34</f>
        <v>0</v>
      </c>
    </row>
    <row r="26" spans="2:7" x14ac:dyDescent="0.25">
      <c r="B26" s="138" t="s">
        <v>72</v>
      </c>
      <c r="C26" s="139">
        <f>EconomiaT45!C7</f>
        <v>1358155</v>
      </c>
      <c r="D26" s="202">
        <f t="shared" si="9"/>
        <v>0.10357921437497117</v>
      </c>
      <c r="E26" s="116"/>
      <c r="F26" s="117"/>
      <c r="G26" s="118"/>
    </row>
    <row r="27" spans="2:7" x14ac:dyDescent="0.25">
      <c r="B27" s="138" t="s">
        <v>76</v>
      </c>
      <c r="C27" s="139">
        <f>EconomiaT45!C10</f>
        <v>473</v>
      </c>
      <c r="D27" s="202">
        <f t="shared" si="9"/>
        <v>3.6073178981310206E-5</v>
      </c>
      <c r="E27" s="116" t="s">
        <v>265</v>
      </c>
      <c r="F27" s="117">
        <f>SUM(F28:F33)</f>
        <v>2985164</v>
      </c>
      <c r="G27" s="118">
        <f t="shared" ref="G27:G33" si="10">F27/$F$34</f>
        <v>0.22766248469463826</v>
      </c>
    </row>
    <row r="28" spans="2:7" x14ac:dyDescent="0.25">
      <c r="B28" s="116"/>
      <c r="C28" s="117"/>
      <c r="D28" s="140"/>
      <c r="E28" s="206" t="s">
        <v>132</v>
      </c>
      <c r="F28" s="209">
        <f>EconomiaT45!C14</f>
        <v>604148</v>
      </c>
      <c r="G28" s="121">
        <f t="shared" si="10"/>
        <v>4.6075135169557288E-2</v>
      </c>
    </row>
    <row r="29" spans="2:7" x14ac:dyDescent="0.25">
      <c r="B29" s="116" t="s">
        <v>133</v>
      </c>
      <c r="C29" s="117">
        <f>EconomiaT45!S24</f>
        <v>3063093</v>
      </c>
      <c r="D29" s="140">
        <f>C29/$C$34</f>
        <v>0.23360571252726939</v>
      </c>
      <c r="E29" s="206" t="s">
        <v>82</v>
      </c>
      <c r="F29" s="209">
        <f>EconomiaT45!C15</f>
        <v>322016</v>
      </c>
      <c r="G29" s="121">
        <f t="shared" si="10"/>
        <v>2.4558437215318366E-2</v>
      </c>
    </row>
    <row r="30" spans="2:7" x14ac:dyDescent="0.25">
      <c r="B30" s="116"/>
      <c r="C30" s="117"/>
      <c r="D30" s="140"/>
      <c r="E30" s="206" t="s">
        <v>85</v>
      </c>
      <c r="F30" s="209">
        <f>EconomiaT45!C17</f>
        <v>1680000</v>
      </c>
      <c r="G30" s="121">
        <f t="shared" si="10"/>
        <v>0.12812461033530897</v>
      </c>
    </row>
    <row r="31" spans="2:7" x14ac:dyDescent="0.25">
      <c r="B31" s="116"/>
      <c r="C31" s="117"/>
      <c r="D31" s="140"/>
      <c r="E31" s="206" t="s">
        <v>86</v>
      </c>
      <c r="F31" s="209">
        <f>EconomiaT45!C18</f>
        <v>320000</v>
      </c>
      <c r="G31" s="121">
        <f t="shared" si="10"/>
        <v>2.4404687682915992E-2</v>
      </c>
    </row>
    <row r="32" spans="2:7" x14ac:dyDescent="0.25">
      <c r="B32" s="116"/>
      <c r="C32" s="117"/>
      <c r="D32" s="140"/>
      <c r="E32" s="206" t="s">
        <v>89</v>
      </c>
      <c r="F32" s="209">
        <f>EconomiaT45!C21</f>
        <v>59000</v>
      </c>
      <c r="G32" s="121">
        <f t="shared" si="10"/>
        <v>4.4996142915376368E-3</v>
      </c>
    </row>
    <row r="33" spans="2:8" x14ac:dyDescent="0.25">
      <c r="B33" s="141"/>
      <c r="C33" s="142"/>
      <c r="D33" s="140"/>
      <c r="E33" s="206" t="s">
        <v>90</v>
      </c>
      <c r="F33" s="209">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64" priority="71" operator="lessThan">
      <formula>0</formula>
    </cfRule>
    <cfRule type="cellIs" dxfId="263" priority="72" operator="greaterThan">
      <formula>0</formula>
    </cfRule>
  </conditionalFormatting>
  <conditionalFormatting sqref="O4">
    <cfRule type="cellIs" dxfId="262" priority="69" operator="lessThan">
      <formula>0</formula>
    </cfRule>
    <cfRule type="cellIs" dxfId="261" priority="70" operator="greaterThan">
      <formula>0</formula>
    </cfRule>
  </conditionalFormatting>
  <conditionalFormatting sqref="T4">
    <cfRule type="cellIs" dxfId="260" priority="67" operator="lessThan">
      <formula>0</formula>
    </cfRule>
    <cfRule type="cellIs" dxfId="259" priority="68" operator="greaterThan">
      <formula>0</formula>
    </cfRule>
  </conditionalFormatting>
  <conditionalFormatting sqref="T4">
    <cfRule type="cellIs" dxfId="258" priority="65" operator="lessThan">
      <formula>0</formula>
    </cfRule>
    <cfRule type="cellIs" dxfId="257" priority="66" operator="greaterThan">
      <formula>0</formula>
    </cfRule>
  </conditionalFormatting>
  <conditionalFormatting sqref="O4 T4 Q4">
    <cfRule type="cellIs" dxfId="256" priority="63" operator="lessThan">
      <formula>0</formula>
    </cfRule>
    <cfRule type="cellIs" dxfId="255" priority="64" operator="greaterThan">
      <formula>0</formula>
    </cfRule>
  </conditionalFormatting>
  <conditionalFormatting sqref="T4">
    <cfRule type="cellIs" dxfId="254" priority="61" operator="lessThan">
      <formula>0</formula>
    </cfRule>
    <cfRule type="cellIs" dxfId="253" priority="62" operator="greaterThan">
      <formula>0</formula>
    </cfRule>
  </conditionalFormatting>
  <conditionalFormatting sqref="O5">
    <cfRule type="cellIs" dxfId="252" priority="59" operator="lessThan">
      <formula>0</formula>
    </cfRule>
    <cfRule type="cellIs" dxfId="251" priority="60" operator="greaterThan">
      <formula>0</formula>
    </cfRule>
  </conditionalFormatting>
  <conditionalFormatting sqref="T5">
    <cfRule type="cellIs" dxfId="250" priority="57" operator="lessThan">
      <formula>0</formula>
    </cfRule>
    <cfRule type="cellIs" dxfId="249" priority="58" operator="greaterThan">
      <formula>0</formula>
    </cfRule>
  </conditionalFormatting>
  <conditionalFormatting sqref="T5">
    <cfRule type="cellIs" dxfId="248" priority="55" operator="lessThan">
      <formula>0</formula>
    </cfRule>
    <cfRule type="cellIs" dxfId="247" priority="56" operator="greaterThan">
      <formula>0</formula>
    </cfRule>
  </conditionalFormatting>
  <conditionalFormatting sqref="O5 T5 Q5">
    <cfRule type="cellIs" dxfId="246" priority="53" operator="lessThan">
      <formula>0</formula>
    </cfRule>
    <cfRule type="cellIs" dxfId="245" priority="54" operator="greaterThan">
      <formula>0</formula>
    </cfRule>
  </conditionalFormatting>
  <conditionalFormatting sqref="T5">
    <cfRule type="cellIs" dxfId="244" priority="51" operator="lessThan">
      <formula>0</formula>
    </cfRule>
    <cfRule type="cellIs" dxfId="243" priority="52" operator="greaterThan">
      <formula>0</formula>
    </cfRule>
  </conditionalFormatting>
  <conditionalFormatting sqref="O6">
    <cfRule type="cellIs" dxfId="242" priority="49" operator="lessThan">
      <formula>0</formula>
    </cfRule>
    <cfRule type="cellIs" dxfId="241" priority="50" operator="greaterThan">
      <formula>0</formula>
    </cfRule>
  </conditionalFormatting>
  <conditionalFormatting sqref="T6">
    <cfRule type="cellIs" dxfId="240" priority="47" operator="lessThan">
      <formula>0</formula>
    </cfRule>
    <cfRule type="cellIs" dxfId="239" priority="48" operator="greaterThan">
      <formula>0</formula>
    </cfRule>
  </conditionalFormatting>
  <conditionalFormatting sqref="T6">
    <cfRule type="cellIs" dxfId="238" priority="45" operator="lessThan">
      <formula>0</formula>
    </cfRule>
    <cfRule type="cellIs" dxfId="237" priority="46" operator="greaterThan">
      <formula>0</formula>
    </cfRule>
  </conditionalFormatting>
  <conditionalFormatting sqref="O6 T6 Q6">
    <cfRule type="cellIs" dxfId="236" priority="43" operator="lessThan">
      <formula>0</formula>
    </cfRule>
    <cfRule type="cellIs" dxfId="235" priority="44" operator="greaterThan">
      <formula>0</formula>
    </cfRule>
  </conditionalFormatting>
  <conditionalFormatting sqref="T6">
    <cfRule type="cellIs" dxfId="234" priority="41" operator="lessThan">
      <formula>0</formula>
    </cfRule>
    <cfRule type="cellIs" dxfId="233" priority="42" operator="greaterThan">
      <formula>0</formula>
    </cfRule>
  </conditionalFormatting>
  <conditionalFormatting sqref="O7">
    <cfRule type="cellIs" dxfId="232" priority="39" operator="lessThan">
      <formula>0</formula>
    </cfRule>
    <cfRule type="cellIs" dxfId="231" priority="40" operator="greaterThan">
      <formula>0</formula>
    </cfRule>
  </conditionalFormatting>
  <conditionalFormatting sqref="T7">
    <cfRule type="cellIs" dxfId="230" priority="37" operator="lessThan">
      <formula>0</formula>
    </cfRule>
    <cfRule type="cellIs" dxfId="229" priority="38" operator="greaterThan">
      <formula>0</formula>
    </cfRule>
  </conditionalFormatting>
  <conditionalFormatting sqref="T7">
    <cfRule type="cellIs" dxfId="228" priority="35" operator="lessThan">
      <formula>0</formula>
    </cfRule>
    <cfRule type="cellIs" dxfId="227" priority="36" operator="greaterThan">
      <formula>0</formula>
    </cfRule>
  </conditionalFormatting>
  <conditionalFormatting sqref="O7 T7 Q7">
    <cfRule type="cellIs" dxfId="226" priority="33" operator="lessThan">
      <formula>0</formula>
    </cfRule>
    <cfRule type="cellIs" dxfId="225" priority="34" operator="greaterThan">
      <formula>0</formula>
    </cfRule>
  </conditionalFormatting>
  <conditionalFormatting sqref="T7">
    <cfRule type="cellIs" dxfId="224" priority="31" operator="lessThan">
      <formula>0</formula>
    </cfRule>
    <cfRule type="cellIs" dxfId="223" priority="32" operator="greaterThan">
      <formula>0</formula>
    </cfRule>
  </conditionalFormatting>
  <conditionalFormatting sqref="O8">
    <cfRule type="cellIs" dxfId="222" priority="29" operator="lessThan">
      <formula>0</formula>
    </cfRule>
    <cfRule type="cellIs" dxfId="221" priority="30" operator="greaterThan">
      <formula>0</formula>
    </cfRule>
  </conditionalFormatting>
  <conditionalFormatting sqref="T8">
    <cfRule type="cellIs" dxfId="220" priority="27" operator="lessThan">
      <formula>0</formula>
    </cfRule>
    <cfRule type="cellIs" dxfId="219" priority="28" operator="greaterThan">
      <formula>0</formula>
    </cfRule>
  </conditionalFormatting>
  <conditionalFormatting sqref="T8">
    <cfRule type="cellIs" dxfId="218" priority="25" operator="lessThan">
      <formula>0</formula>
    </cfRule>
    <cfRule type="cellIs" dxfId="217" priority="26" operator="greaterThan">
      <formula>0</formula>
    </cfRule>
  </conditionalFormatting>
  <conditionalFormatting sqref="O8 T8 Q8">
    <cfRule type="cellIs" dxfId="216" priority="23" operator="lessThan">
      <formula>0</formula>
    </cfRule>
    <cfRule type="cellIs" dxfId="215" priority="24" operator="greaterThan">
      <formula>0</formula>
    </cfRule>
  </conditionalFormatting>
  <conditionalFormatting sqref="T8">
    <cfRule type="cellIs" dxfId="214" priority="21" operator="lessThan">
      <formula>0</formula>
    </cfRule>
    <cfRule type="cellIs" dxfId="213" priority="22" operator="greaterThan">
      <formula>0</formula>
    </cfRule>
  </conditionalFormatting>
  <conditionalFormatting sqref="O9">
    <cfRule type="cellIs" dxfId="212" priority="19" operator="lessThan">
      <formula>0</formula>
    </cfRule>
    <cfRule type="cellIs" dxfId="211" priority="20" operator="greaterThan">
      <formula>0</formula>
    </cfRule>
  </conditionalFormatting>
  <conditionalFormatting sqref="T9">
    <cfRule type="cellIs" dxfId="210" priority="17" operator="lessThan">
      <formula>0</formula>
    </cfRule>
    <cfRule type="cellIs" dxfId="209" priority="18" operator="greaterThan">
      <formula>0</formula>
    </cfRule>
  </conditionalFormatting>
  <conditionalFormatting sqref="T9">
    <cfRule type="cellIs" dxfId="208" priority="15" operator="lessThan">
      <formula>0</formula>
    </cfRule>
    <cfRule type="cellIs" dxfId="207" priority="16" operator="greaterThan">
      <formula>0</formula>
    </cfRule>
  </conditionalFormatting>
  <conditionalFormatting sqref="O9 T9 Q9">
    <cfRule type="cellIs" dxfId="206" priority="13" operator="lessThan">
      <formula>0</formula>
    </cfRule>
    <cfRule type="cellIs" dxfId="205" priority="14" operator="greaterThan">
      <formula>0</formula>
    </cfRule>
  </conditionalFormatting>
  <conditionalFormatting sqref="T9">
    <cfRule type="cellIs" dxfId="204" priority="11" operator="lessThan">
      <formula>0</formula>
    </cfRule>
    <cfRule type="cellIs" dxfId="203" priority="12" operator="greaterThan">
      <formula>0</formula>
    </cfRule>
  </conditionalFormatting>
  <conditionalFormatting sqref="O10">
    <cfRule type="cellIs" dxfId="202" priority="9" operator="lessThan">
      <formula>0</formula>
    </cfRule>
    <cfRule type="cellIs" dxfId="201" priority="10" operator="greaterThan">
      <formula>0</formula>
    </cfRule>
  </conditionalFormatting>
  <conditionalFormatting sqref="T10">
    <cfRule type="cellIs" dxfId="200" priority="7" operator="lessThan">
      <formula>0</formula>
    </cfRule>
    <cfRule type="cellIs" dxfId="199" priority="8" operator="greaterThan">
      <formula>0</formula>
    </cfRule>
  </conditionalFormatting>
  <conditionalFormatting sqref="T10">
    <cfRule type="cellIs" dxfId="198" priority="5" operator="lessThan">
      <formula>0</formula>
    </cfRule>
    <cfRule type="cellIs" dxfId="197" priority="6" operator="greaterThan">
      <formula>0</formula>
    </cfRule>
  </conditionalFormatting>
  <conditionalFormatting sqref="O10 T10 Q10">
    <cfRule type="cellIs" dxfId="196" priority="3" operator="lessThan">
      <formula>0</formula>
    </cfRule>
    <cfRule type="cellIs" dxfId="195" priority="4" operator="greaterThan">
      <formula>0</formula>
    </cfRule>
  </conditionalFormatting>
  <conditionalFormatting sqref="T10">
    <cfRule type="cellIs" dxfId="194" priority="1" operator="lessThan">
      <formula>0</formula>
    </cfRule>
    <cfRule type="cellIs" dxfId="193"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66" customFormat="1" x14ac:dyDescent="0.25">
      <c r="A3" s="327"/>
      <c r="B3" s="327"/>
      <c r="C3" s="327" t="s">
        <v>560</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12">
        <f t="shared" si="1"/>
        <v>2389</v>
      </c>
    </row>
    <row r="5" spans="1:26" s="66" customFormat="1" ht="18.75" x14ac:dyDescent="0.3">
      <c r="A5" s="62" t="s">
        <v>70</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71</v>
      </c>
      <c r="B6" s="67" t="s">
        <v>71</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71</v>
      </c>
      <c r="Z6" s="71">
        <f>C6/$C$13</f>
        <v>0.51135976429140029</v>
      </c>
    </row>
    <row r="7" spans="1:26" x14ac:dyDescent="0.25">
      <c r="A7" s="67" t="s">
        <v>72</v>
      </c>
      <c r="B7" s="67" t="s">
        <v>72</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72</v>
      </c>
      <c r="Z7" s="71">
        <f t="shared" ref="Z7:Z12" si="4">C7/$C$13</f>
        <v>0.25464691174279286</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4"/>
        <v>0</v>
      </c>
    </row>
    <row r="9" spans="1:26" x14ac:dyDescent="0.25">
      <c r="A9" s="67"/>
      <c r="B9" s="67" t="s">
        <v>75</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75</v>
      </c>
      <c r="Z9" s="71">
        <f t="shared" si="4"/>
        <v>2.3155890859778545E-3</v>
      </c>
    </row>
    <row r="10" spans="1:26" x14ac:dyDescent="0.25">
      <c r="A10" s="67" t="s">
        <v>76</v>
      </c>
      <c r="B10" s="67" t="s">
        <v>76</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76</v>
      </c>
      <c r="Z10" s="71">
        <f t="shared" si="4"/>
        <v>1.08771750486065E-3</v>
      </c>
    </row>
    <row r="11" spans="1:26" x14ac:dyDescent="0.25">
      <c r="A11" s="712" t="s">
        <v>77</v>
      </c>
      <c r="B11" s="67" t="s">
        <v>78</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78</v>
      </c>
      <c r="Z11" s="71">
        <f t="shared" si="4"/>
        <v>1.2696131212196999E-2</v>
      </c>
    </row>
    <row r="12" spans="1:26" x14ac:dyDescent="0.25">
      <c r="A12" s="713"/>
      <c r="B12" s="67" t="s">
        <v>79</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79</v>
      </c>
      <c r="Z12" s="71">
        <f t="shared" si="4"/>
        <v>0.21789388616277139</v>
      </c>
    </row>
    <row r="13" spans="1:26" s="78" customFormat="1" ht="18.75" x14ac:dyDescent="0.3">
      <c r="A13" s="73" t="s">
        <v>80</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81</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14">
        <f>C13</f>
        <v>6564204.3711659508</v>
      </c>
      <c r="Z14" s="715"/>
    </row>
    <row r="15" spans="1:26" x14ac:dyDescent="0.25">
      <c r="A15" s="80" t="s">
        <v>82</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83</v>
      </c>
      <c r="B16" s="81" t="s">
        <v>84</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85</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86</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87</v>
      </c>
      <c r="B19" s="81" t="s">
        <v>88</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90</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91</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81</v>
      </c>
      <c r="Z23" s="91">
        <f>C14/$C$23</f>
        <v>0.18646708257298053</v>
      </c>
    </row>
    <row r="24" spans="1:26" s="66" customFormat="1" ht="18.75" x14ac:dyDescent="0.3">
      <c r="A24" s="92" t="s">
        <v>92</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82</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84</v>
      </c>
      <c r="Z25" s="91">
        <f t="shared" si="13"/>
        <v>0.22141813865636556</v>
      </c>
    </row>
    <row r="26" spans="1:26" s="53" customFormat="1" x14ac:dyDescent="0.25">
      <c r="A26" s="716" t="s">
        <v>93</v>
      </c>
      <c r="B26" s="716"/>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85</v>
      </c>
      <c r="Z26" s="91">
        <f t="shared" si="13"/>
        <v>0.41045724226039337</v>
      </c>
    </row>
    <row r="27" spans="1:26" s="53" customFormat="1" x14ac:dyDescent="0.25">
      <c r="A27" s="717" t="s">
        <v>94</v>
      </c>
      <c r="B27" s="717"/>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86</v>
      </c>
      <c r="Z27" s="91">
        <f t="shared" si="13"/>
        <v>7.1074847144656866E-2</v>
      </c>
    </row>
    <row r="28" spans="1:26" x14ac:dyDescent="0.25">
      <c r="A28" s="718" t="s">
        <v>95</v>
      </c>
      <c r="B28" s="718"/>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88</v>
      </c>
      <c r="Z28" s="91">
        <f t="shared" si="13"/>
        <v>0</v>
      </c>
    </row>
    <row r="29" spans="1:26" x14ac:dyDescent="0.25">
      <c r="A29" s="716" t="s">
        <v>96</v>
      </c>
      <c r="B29" s="716"/>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67</v>
      </c>
      <c r="Z29" s="91">
        <f t="shared" si="13"/>
        <v>0</v>
      </c>
    </row>
    <row r="30" spans="1:26" s="59" customFormat="1" x14ac:dyDescent="0.25">
      <c r="A30" s="717" t="s">
        <v>97</v>
      </c>
      <c r="B30" s="717"/>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89</v>
      </c>
      <c r="Z30" s="91">
        <f t="shared" si="13"/>
        <v>1.821292958081832E-2</v>
      </c>
    </row>
    <row r="31" spans="1:26" s="59" customFormat="1" x14ac:dyDescent="0.25">
      <c r="A31" s="718" t="s">
        <v>98</v>
      </c>
      <c r="B31" s="718"/>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90</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22</v>
      </c>
      <c r="F33" s="174">
        <v>22</v>
      </c>
      <c r="G33" s="174">
        <v>22</v>
      </c>
      <c r="H33" s="174">
        <v>22</v>
      </c>
      <c r="I33" s="174">
        <v>22</v>
      </c>
      <c r="J33" s="174">
        <v>22</v>
      </c>
      <c r="K33" s="174">
        <v>22</v>
      </c>
      <c r="L33" s="174">
        <v>23</v>
      </c>
      <c r="M33" s="174">
        <v>23</v>
      </c>
      <c r="N33" s="174">
        <v>23</v>
      </c>
      <c r="O33" s="174">
        <v>23</v>
      </c>
      <c r="P33" s="174">
        <v>23</v>
      </c>
      <c r="Q33" s="174">
        <v>22</v>
      </c>
      <c r="R33" s="174">
        <v>22</v>
      </c>
      <c r="S33" s="174">
        <v>22</v>
      </c>
      <c r="Z33" s="369"/>
    </row>
    <row r="34" spans="1:26" s="59" customFormat="1" ht="18.75" x14ac:dyDescent="0.3">
      <c r="A34" s="57"/>
      <c r="B34" s="719" t="s">
        <v>437</v>
      </c>
      <c r="C34" s="173" t="s">
        <v>181</v>
      </c>
      <c r="D34" s="174">
        <v>321860</v>
      </c>
      <c r="E34" s="174">
        <v>322990</v>
      </c>
      <c r="F34" s="174">
        <v>324540</v>
      </c>
      <c r="G34" s="174">
        <v>328870</v>
      </c>
      <c r="H34" s="174">
        <v>343150</v>
      </c>
      <c r="I34" s="174">
        <v>358390</v>
      </c>
      <c r="J34" s="174">
        <v>369890</v>
      </c>
      <c r="K34" s="174">
        <v>378100</v>
      </c>
      <c r="L34" s="174">
        <v>386240</v>
      </c>
      <c r="M34" s="174">
        <v>412210</v>
      </c>
      <c r="N34" s="174">
        <v>432360</v>
      </c>
      <c r="O34" s="174">
        <v>449880</v>
      </c>
      <c r="P34" s="174">
        <v>468940</v>
      </c>
      <c r="Q34" s="174">
        <v>477820</v>
      </c>
      <c r="R34" s="174">
        <f>486300-530</f>
        <v>485770</v>
      </c>
      <c r="S34" s="174">
        <f>485000-610</f>
        <v>484390</v>
      </c>
      <c r="Y34" s="709">
        <f>C23</f>
        <v>4502296</v>
      </c>
      <c r="Z34" s="710"/>
    </row>
    <row r="35" spans="1:26" x14ac:dyDescent="0.25">
      <c r="A35" s="57"/>
      <c r="B35" s="719"/>
      <c r="C35" s="173" t="s">
        <v>104</v>
      </c>
      <c r="D35" s="174">
        <v>43380</v>
      </c>
      <c r="E35" s="174">
        <v>43380</v>
      </c>
      <c r="F35" s="174">
        <v>43380</v>
      </c>
      <c r="G35" s="174">
        <v>45870</v>
      </c>
      <c r="H35" s="174">
        <v>48100</v>
      </c>
      <c r="I35" s="174">
        <v>49140</v>
      </c>
      <c r="J35" s="174">
        <v>49140</v>
      </c>
      <c r="K35" s="174">
        <v>49220</v>
      </c>
      <c r="L35" s="174">
        <v>53930</v>
      </c>
      <c r="M35" s="174">
        <v>56670</v>
      </c>
      <c r="N35" s="174">
        <v>56690</v>
      </c>
      <c r="O35" s="174">
        <v>59650</v>
      </c>
      <c r="P35" s="174">
        <v>59710</v>
      </c>
      <c r="Q35" s="174">
        <v>59140</v>
      </c>
      <c r="R35" s="174">
        <f>61150-290</f>
        <v>60860</v>
      </c>
      <c r="S35" s="174">
        <f>61370-290</f>
        <v>61080</v>
      </c>
    </row>
    <row r="36" spans="1:26" x14ac:dyDescent="0.25">
      <c r="A36" s="57"/>
      <c r="B36" s="719"/>
      <c r="C36" s="173" t="s">
        <v>61</v>
      </c>
      <c r="D36" s="175" t="s">
        <v>562</v>
      </c>
      <c r="E36" s="175" t="s">
        <v>563</v>
      </c>
      <c r="F36" s="175" t="s">
        <v>564</v>
      </c>
      <c r="G36" s="175" t="s">
        <v>566</v>
      </c>
      <c r="H36" s="175" t="s">
        <v>570</v>
      </c>
      <c r="I36" s="175" t="s">
        <v>572</v>
      </c>
      <c r="J36" s="175" t="s">
        <v>573</v>
      </c>
      <c r="K36" s="175" t="s">
        <v>575</v>
      </c>
      <c r="L36" s="175" t="s">
        <v>577</v>
      </c>
      <c r="M36" s="175" t="s">
        <v>580</v>
      </c>
      <c r="N36" s="175" t="s">
        <v>581</v>
      </c>
      <c r="O36" s="175" t="s">
        <v>587</v>
      </c>
      <c r="P36" s="175" t="s">
        <v>591</v>
      </c>
      <c r="Q36" s="175" t="s">
        <v>580</v>
      </c>
      <c r="R36" s="175" t="s">
        <v>617</v>
      </c>
      <c r="S36" s="175" t="s">
        <v>564</v>
      </c>
    </row>
    <row r="37" spans="1:26" x14ac:dyDescent="0.25">
      <c r="A37" s="57"/>
      <c r="B37" s="719"/>
      <c r="C37" s="173" t="s">
        <v>210</v>
      </c>
      <c r="D37" s="176">
        <v>5.25</v>
      </c>
      <c r="E37" s="176">
        <v>5.25</v>
      </c>
      <c r="F37" s="176">
        <v>5.25</v>
      </c>
      <c r="G37" s="176">
        <v>5.25</v>
      </c>
      <c r="H37" s="176">
        <v>5.25</v>
      </c>
      <c r="I37" s="176">
        <v>5.25</v>
      </c>
      <c r="J37" s="176">
        <v>5.25</v>
      </c>
      <c r="K37" s="176">
        <v>5.25</v>
      </c>
      <c r="L37" s="176">
        <v>5.25</v>
      </c>
      <c r="M37" s="176">
        <v>5.25</v>
      </c>
      <c r="N37" s="176">
        <v>5.25</v>
      </c>
      <c r="O37" s="176">
        <v>5.5</v>
      </c>
      <c r="P37" s="176">
        <v>5.5</v>
      </c>
      <c r="Q37" s="176">
        <v>5.5</v>
      </c>
      <c r="R37" s="176">
        <v>5.5</v>
      </c>
      <c r="S37" s="176">
        <v>5.5</v>
      </c>
    </row>
    <row r="38" spans="1:26" x14ac:dyDescent="0.25">
      <c r="B38" s="719"/>
      <c r="C38" s="173" t="s">
        <v>211</v>
      </c>
      <c r="D38" s="176">
        <v>6</v>
      </c>
      <c r="E38" s="176">
        <v>6</v>
      </c>
      <c r="F38" s="176">
        <v>6</v>
      </c>
      <c r="G38" s="176">
        <v>5.75</v>
      </c>
      <c r="H38" s="176">
        <v>5.75</v>
      </c>
      <c r="I38" s="176">
        <v>5.5</v>
      </c>
      <c r="J38" s="176">
        <v>5.5</v>
      </c>
      <c r="K38" s="176">
        <v>5.5</v>
      </c>
      <c r="L38" s="176">
        <v>5.5</v>
      </c>
      <c r="M38" s="176">
        <v>5.75</v>
      </c>
      <c r="N38" s="176">
        <v>6</v>
      </c>
      <c r="O38" s="176">
        <v>6</v>
      </c>
      <c r="P38" s="176">
        <v>6.25</v>
      </c>
      <c r="Q38" s="176">
        <v>6.25</v>
      </c>
      <c r="R38" s="176">
        <v>6.25</v>
      </c>
      <c r="S38" s="176">
        <v>6.25</v>
      </c>
    </row>
    <row r="39" spans="1:26" x14ac:dyDescent="0.25">
      <c r="B39" s="719"/>
      <c r="C39" s="173" t="s">
        <v>257</v>
      </c>
      <c r="D39" s="176">
        <v>3.25</v>
      </c>
      <c r="E39" s="176">
        <v>3.25</v>
      </c>
      <c r="F39" s="176">
        <v>3.25</v>
      </c>
      <c r="G39" s="176">
        <v>3.25</v>
      </c>
      <c r="H39" s="176">
        <v>3.5</v>
      </c>
      <c r="I39" s="176">
        <v>3.5</v>
      </c>
      <c r="J39" s="176">
        <v>3.5</v>
      </c>
      <c r="K39" s="176">
        <v>3.5</v>
      </c>
      <c r="L39" s="176">
        <v>3.5</v>
      </c>
      <c r="M39" s="176">
        <v>3.5</v>
      </c>
      <c r="N39" s="176">
        <v>3.5</v>
      </c>
      <c r="O39" s="176">
        <v>3.5</v>
      </c>
      <c r="P39" s="176">
        <v>3.5</v>
      </c>
      <c r="Q39" s="176">
        <v>3.5</v>
      </c>
      <c r="R39" s="176">
        <v>3.5</v>
      </c>
      <c r="S39" s="176">
        <v>3.5</v>
      </c>
    </row>
    <row r="40" spans="1:26" ht="15" customHeight="1" x14ac:dyDescent="0.25">
      <c r="C40" s="164" t="s">
        <v>438</v>
      </c>
      <c r="D40" s="288">
        <f>D34/D35</f>
        <v>7.4195481788842788</v>
      </c>
      <c r="E40" s="288">
        <f>E34/E35</f>
        <v>7.4455970493314894</v>
      </c>
      <c r="F40" s="288">
        <f t="shared" ref="F40:S40" si="21">F34/F35</f>
        <v>7.4813278008298756</v>
      </c>
      <c r="G40" s="288">
        <f t="shared" si="21"/>
        <v>7.1696097667320693</v>
      </c>
      <c r="H40" s="288">
        <f t="shared" si="21"/>
        <v>7.1340956340956341</v>
      </c>
      <c r="I40" s="288">
        <f t="shared" si="21"/>
        <v>7.2932437932437937</v>
      </c>
      <c r="J40" s="288">
        <f t="shared" si="21"/>
        <v>7.5272690272690275</v>
      </c>
      <c r="K40" s="288">
        <f t="shared" si="21"/>
        <v>7.6818366517675738</v>
      </c>
      <c r="L40" s="288">
        <f t="shared" si="21"/>
        <v>7.1618765065826073</v>
      </c>
      <c r="M40" s="288">
        <f t="shared" si="21"/>
        <v>7.2738662431621668</v>
      </c>
      <c r="N40" s="288">
        <f t="shared" si="21"/>
        <v>7.6267419297936145</v>
      </c>
      <c r="O40" s="288">
        <f t="shared" si="21"/>
        <v>7.5419949706621958</v>
      </c>
      <c r="P40" s="288">
        <f t="shared" si="21"/>
        <v>7.8536258583151897</v>
      </c>
      <c r="Q40" s="288">
        <f t="shared" si="21"/>
        <v>8.0794724382820426</v>
      </c>
      <c r="R40" s="288">
        <f t="shared" si="21"/>
        <v>7.9817614196516598</v>
      </c>
      <c r="S40" s="288">
        <f t="shared" si="21"/>
        <v>7.9304191224623448</v>
      </c>
    </row>
    <row r="41" spans="1:26" ht="15" customHeight="1" x14ac:dyDescent="0.25">
      <c r="D41" s="9"/>
      <c r="E41" s="391"/>
      <c r="G41" s="711"/>
      <c r="H41" s="711"/>
      <c r="I41" s="711"/>
      <c r="J41" s="711"/>
    </row>
    <row r="42" spans="1:26" x14ac:dyDescent="0.25">
      <c r="C42" s="4" t="s">
        <v>485</v>
      </c>
      <c r="D42" s="9">
        <v>70675</v>
      </c>
      <c r="E42" s="341">
        <v>75855</v>
      </c>
      <c r="F42" s="246">
        <v>80000</v>
      </c>
      <c r="G42" s="392">
        <v>82000</v>
      </c>
      <c r="H42" s="392">
        <v>83000</v>
      </c>
      <c r="I42" s="392">
        <v>84735</v>
      </c>
      <c r="J42" s="392">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600</v>
      </c>
      <c r="E44" s="390">
        <f>E34-D34</f>
        <v>1130</v>
      </c>
      <c r="F44" s="390">
        <f t="shared" ref="F44:P44" si="23">F34-E34</f>
        <v>1550</v>
      </c>
      <c r="G44" s="390">
        <f t="shared" si="23"/>
        <v>4330</v>
      </c>
      <c r="H44" s="390">
        <f t="shared" si="23"/>
        <v>14280</v>
      </c>
      <c r="I44" s="390">
        <f t="shared" si="23"/>
        <v>15240</v>
      </c>
      <c r="J44" s="390">
        <f t="shared" si="23"/>
        <v>11500</v>
      </c>
      <c r="K44" s="390">
        <f t="shared" si="23"/>
        <v>8210</v>
      </c>
      <c r="L44" s="390">
        <f t="shared" si="23"/>
        <v>8140</v>
      </c>
      <c r="M44" s="390">
        <f t="shared" si="23"/>
        <v>25970</v>
      </c>
      <c r="N44" s="390">
        <f t="shared" si="23"/>
        <v>20150</v>
      </c>
      <c r="O44" s="390">
        <f t="shared" si="23"/>
        <v>17520</v>
      </c>
      <c r="P44" s="390">
        <f t="shared" si="23"/>
        <v>19060</v>
      </c>
    </row>
    <row r="45" spans="1:26" x14ac:dyDescent="0.25">
      <c r="D45" s="370"/>
      <c r="G45" s="52"/>
      <c r="H45" s="52"/>
      <c r="I45" s="52"/>
      <c r="J45" s="52"/>
      <c r="K45" s="52"/>
      <c r="L45" s="52"/>
      <c r="M45" s="52"/>
      <c r="N45" s="52"/>
      <c r="O45" s="52"/>
      <c r="P45" s="52"/>
      <c r="Q45" s="52"/>
      <c r="R45" s="52"/>
      <c r="S45" s="52"/>
    </row>
    <row r="46" spans="1:26" x14ac:dyDescent="0.25">
      <c r="G46" s="720"/>
      <c r="H46" s="720"/>
      <c r="I46" s="720"/>
      <c r="J46" s="720"/>
    </row>
    <row r="47" spans="1:26" x14ac:dyDescent="0.25">
      <c r="G47" s="392"/>
      <c r="H47" s="392"/>
      <c r="I47" s="392"/>
      <c r="J47" s="392"/>
    </row>
    <row r="48" spans="1:26" x14ac:dyDescent="0.25">
      <c r="G48" s="720"/>
      <c r="H48" s="720"/>
      <c r="I48" s="720"/>
      <c r="J48" s="720"/>
      <c r="P48" s="383"/>
    </row>
    <row r="49" spans="7:10" ht="15" customHeight="1" x14ac:dyDescent="0.25">
      <c r="G49" s="720"/>
      <c r="H49" s="720"/>
      <c r="I49" s="720"/>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21" t="s">
        <v>561</v>
      </c>
      <c r="C2" s="722"/>
      <c r="D2" s="722"/>
      <c r="E2" s="722"/>
      <c r="F2" s="722"/>
      <c r="G2" s="723"/>
      <c r="I2" s="731" t="s">
        <v>494</v>
      </c>
      <c r="J2" s="731"/>
      <c r="K2" s="731"/>
      <c r="L2" s="731"/>
      <c r="M2" s="731"/>
      <c r="N2" s="731"/>
      <c r="O2" s="731"/>
      <c r="P2" s="731"/>
      <c r="Q2" s="731"/>
      <c r="R2" s="731"/>
      <c r="S2" s="731"/>
      <c r="T2" s="731"/>
    </row>
    <row r="3" spans="2:21" x14ac:dyDescent="0.25">
      <c r="B3" s="725" t="s">
        <v>102</v>
      </c>
      <c r="C3" s="726"/>
      <c r="D3" s="726"/>
      <c r="E3" s="726"/>
      <c r="F3" s="726"/>
      <c r="G3" s="727"/>
      <c r="I3" s="107" t="s">
        <v>103</v>
      </c>
      <c r="J3" s="48" t="s">
        <v>100</v>
      </c>
      <c r="K3" s="48" t="s">
        <v>88</v>
      </c>
      <c r="L3" s="48" t="s">
        <v>104</v>
      </c>
      <c r="M3" s="48" t="s">
        <v>105</v>
      </c>
      <c r="N3" s="48" t="s">
        <v>106</v>
      </c>
      <c r="O3" s="48" t="s">
        <v>107</v>
      </c>
      <c r="P3" s="48" t="s">
        <v>108</v>
      </c>
      <c r="Q3" s="108" t="s">
        <v>109</v>
      </c>
      <c r="R3" s="108" t="s">
        <v>110</v>
      </c>
      <c r="S3" s="108" t="s">
        <v>111</v>
      </c>
      <c r="T3" s="108" t="s">
        <v>112</v>
      </c>
    </row>
    <row r="4" spans="2:21" ht="18.75" x14ac:dyDescent="0.3">
      <c r="B4" s="728" t="s">
        <v>113</v>
      </c>
      <c r="C4" s="729"/>
      <c r="D4" s="109"/>
      <c r="E4" s="730" t="s">
        <v>114</v>
      </c>
      <c r="F4" s="729"/>
      <c r="G4" s="109"/>
      <c r="I4" s="374" t="s">
        <v>115</v>
      </c>
      <c r="J4" s="375" t="s">
        <v>539</v>
      </c>
      <c r="K4" s="374">
        <f>1052640+300</f>
        <v>1052940</v>
      </c>
      <c r="L4" s="374">
        <v>0</v>
      </c>
      <c r="M4" s="374">
        <v>0</v>
      </c>
      <c r="N4" s="374">
        <v>0</v>
      </c>
      <c r="O4" s="376">
        <f t="shared" ref="O4:O6" si="0">IF(M4=0,0,M4-K4)-N4</f>
        <v>0</v>
      </c>
      <c r="P4" s="376">
        <f t="shared" ref="P4:P6" si="1">IF(M4=0,K4,0)</f>
        <v>1052940</v>
      </c>
      <c r="Q4" s="377"/>
      <c r="R4" s="378"/>
      <c r="S4" s="378"/>
      <c r="T4" s="379"/>
    </row>
    <row r="5" spans="2:21" x14ac:dyDescent="0.25">
      <c r="B5" s="113"/>
      <c r="C5" s="114"/>
      <c r="D5" s="201"/>
      <c r="E5" s="113"/>
      <c r="F5" s="114"/>
      <c r="G5" s="115"/>
      <c r="I5" s="396" t="s">
        <v>491</v>
      </c>
      <c r="J5" s="397" t="s">
        <v>571</v>
      </c>
      <c r="K5" s="396">
        <v>0</v>
      </c>
      <c r="L5" s="396">
        <v>0</v>
      </c>
      <c r="M5" s="396">
        <v>13000</v>
      </c>
      <c r="N5" s="396">
        <v>650</v>
      </c>
      <c r="O5" s="398">
        <f t="shared" si="0"/>
        <v>12350</v>
      </c>
      <c r="P5" s="398">
        <f t="shared" si="1"/>
        <v>0</v>
      </c>
      <c r="Q5" s="399"/>
      <c r="R5" s="400"/>
      <c r="S5" s="400">
        <v>42104</v>
      </c>
      <c r="T5" s="401"/>
      <c r="U5" s="47"/>
    </row>
    <row r="6" spans="2:21" x14ac:dyDescent="0.25">
      <c r="B6" s="116" t="s">
        <v>116</v>
      </c>
      <c r="C6" s="117">
        <f>SUM(C7:C9)</f>
        <v>4751570</v>
      </c>
      <c r="D6" s="140">
        <f>C6/$C$34</f>
        <v>0.27164532659126617</v>
      </c>
      <c r="E6" s="116" t="s">
        <v>117</v>
      </c>
      <c r="F6" s="117">
        <f>F7+F8+F9</f>
        <v>7870713</v>
      </c>
      <c r="G6" s="118">
        <f ca="1">F6/$F$34</f>
        <v>0.44996546476030541</v>
      </c>
      <c r="I6" s="396" t="s">
        <v>491</v>
      </c>
      <c r="J6" s="397" t="s">
        <v>616</v>
      </c>
      <c r="K6" s="396">
        <v>0</v>
      </c>
      <c r="L6" s="396">
        <v>0</v>
      </c>
      <c r="M6" s="396">
        <v>1000</v>
      </c>
      <c r="N6" s="396">
        <v>50</v>
      </c>
      <c r="O6" s="398">
        <f t="shared" si="0"/>
        <v>950</v>
      </c>
      <c r="P6" s="398">
        <f t="shared" si="1"/>
        <v>0</v>
      </c>
      <c r="Q6" s="399"/>
      <c r="R6" s="400"/>
      <c r="S6" s="400">
        <v>42169</v>
      </c>
      <c r="T6" s="401"/>
      <c r="U6" s="47"/>
    </row>
    <row r="7" spans="2:21" x14ac:dyDescent="0.25">
      <c r="B7" s="119" t="s">
        <v>84</v>
      </c>
      <c r="C7" s="120">
        <f>EconomiaT46!C16+'A-P_T45'!C7</f>
        <v>2682770</v>
      </c>
      <c r="D7" s="202">
        <f>C7/$C$34</f>
        <v>0.15337287103404795</v>
      </c>
      <c r="E7" s="203" t="s">
        <v>118</v>
      </c>
      <c r="F7" s="204">
        <v>300000</v>
      </c>
      <c r="G7" s="121">
        <f ca="1">F7/$F$34</f>
        <v>1.715087812604673E-2</v>
      </c>
      <c r="J7"/>
    </row>
    <row r="8" spans="2:21" x14ac:dyDescent="0.25">
      <c r="B8" s="119" t="s">
        <v>67</v>
      </c>
      <c r="C8" s="120">
        <f>'A-P_T45'!C8+'A-P_T45'!C9</f>
        <v>2068800</v>
      </c>
      <c r="D8" s="202">
        <f>C8/$C$34</f>
        <v>0.11827245555721824</v>
      </c>
      <c r="E8" s="203" t="s">
        <v>261</v>
      </c>
      <c r="F8" s="204">
        <f>'A-P_T45'!F9+'A-P_T45'!F8</f>
        <v>5337805</v>
      </c>
      <c r="G8" s="121">
        <f ca="1">F8/$F$34</f>
        <v>0.30516014338534286</v>
      </c>
    </row>
    <row r="9" spans="2:21" x14ac:dyDescent="0.25">
      <c r="B9" s="122" t="s">
        <v>119</v>
      </c>
      <c r="C9" s="123">
        <v>0</v>
      </c>
      <c r="D9" s="202">
        <f>C9/$C$34</f>
        <v>0</v>
      </c>
      <c r="E9" s="203" t="s">
        <v>545</v>
      </c>
      <c r="F9" s="204">
        <f>'A-P_T45'!F11-EconomiaT45!C24+EconomiaT45!C5-23750</f>
        <v>2232908</v>
      </c>
      <c r="G9" s="121">
        <f ca="1">F9/$F$34</f>
        <v>0.12765444324891584</v>
      </c>
    </row>
    <row r="10" spans="2:21" x14ac:dyDescent="0.25">
      <c r="B10" s="124"/>
      <c r="C10" s="125"/>
      <c r="D10" s="140"/>
      <c r="E10" s="205"/>
      <c r="F10" s="125"/>
      <c r="G10" s="118"/>
    </row>
    <row r="11" spans="2:21" x14ac:dyDescent="0.25">
      <c r="B11" s="116" t="s">
        <v>100</v>
      </c>
      <c r="C11" s="117">
        <f>SUM(C12:C15)</f>
        <v>1052940</v>
      </c>
      <c r="D11" s="140">
        <f>C11/$C$34</f>
        <v>6.0196152046798811E-2</v>
      </c>
      <c r="E11" s="116" t="s">
        <v>107</v>
      </c>
      <c r="F11" s="117">
        <f ca="1">SUM(F12:F17)+C9</f>
        <v>5118806.7423319006</v>
      </c>
      <c r="G11" s="118">
        <f t="shared" ref="G11:G17" ca="1" si="2">F11/$F$34</f>
        <v>0.29264010196173568</v>
      </c>
    </row>
    <row r="12" spans="2:21" x14ac:dyDescent="0.25">
      <c r="B12" s="129" t="s">
        <v>121</v>
      </c>
      <c r="C12" s="130">
        <f>SUMIF(I4:I41,"S",$P$4:$P$41)</f>
        <v>0</v>
      </c>
      <c r="D12" s="202">
        <f>C12/$C$34</f>
        <v>0</v>
      </c>
      <c r="E12" s="49" t="s">
        <v>122</v>
      </c>
      <c r="F12" s="131">
        <f ca="1">SUMIF(I4:I96,"J",$O$4:$O$36)</f>
        <v>0</v>
      </c>
      <c r="G12" s="121">
        <f t="shared" ca="1" si="2"/>
        <v>0</v>
      </c>
    </row>
    <row r="13" spans="2:21" x14ac:dyDescent="0.25">
      <c r="B13" s="129" t="s">
        <v>100</v>
      </c>
      <c r="C13" s="130">
        <f>SUMIF(I4:I36,"J",$P$4:$P$36)</f>
        <v>1052940</v>
      </c>
      <c r="D13" s="202">
        <f>C13/$C$34</f>
        <v>6.0196152046798811E-2</v>
      </c>
      <c r="E13" s="49" t="s">
        <v>123</v>
      </c>
      <c r="F13" s="131">
        <f ca="1">SUMIF(I4:I65,"S",$O$4:$O$36)</f>
        <v>0</v>
      </c>
      <c r="G13" s="121">
        <f t="shared" ca="1" si="2"/>
        <v>0</v>
      </c>
    </row>
    <row r="14" spans="2:21" x14ac:dyDescent="0.25">
      <c r="B14" s="129" t="s">
        <v>99</v>
      </c>
      <c r="C14" s="130">
        <f>SUMIF(I4:I36,"E",$P$4:$P$36)</f>
        <v>0</v>
      </c>
      <c r="D14" s="202">
        <f>C14/$C$34</f>
        <v>0</v>
      </c>
      <c r="E14" s="49" t="s">
        <v>124</v>
      </c>
      <c r="F14" s="131">
        <f>SUMIF(I4:I16,"C",$O$4:$O$36)</f>
        <v>13300</v>
      </c>
      <c r="G14" s="121">
        <f t="shared" ca="1" si="2"/>
        <v>7.6035559692140499E-4</v>
      </c>
    </row>
    <row r="15" spans="2:21" x14ac:dyDescent="0.25">
      <c r="B15" s="129" t="s">
        <v>125</v>
      </c>
      <c r="C15" s="130">
        <f>SUMIF(I4:I36,"M",$P$4:$P$36)</f>
        <v>0</v>
      </c>
      <c r="D15" s="202">
        <f>C15/$C$34</f>
        <v>0</v>
      </c>
      <c r="E15" s="49" t="s">
        <v>126</v>
      </c>
      <c r="F15" s="131">
        <f>SUMIF(I4:I16,"E",$O$4:$O$36)</f>
        <v>0</v>
      </c>
      <c r="G15" s="121">
        <f t="shared" ca="1" si="2"/>
        <v>0</v>
      </c>
    </row>
    <row r="16" spans="2:21" x14ac:dyDescent="0.25">
      <c r="B16" s="132"/>
      <c r="C16" s="133"/>
      <c r="D16" s="140"/>
      <c r="E16" s="49" t="s">
        <v>127</v>
      </c>
      <c r="F16" s="131">
        <f>SUMIF(I4:I16,"M",$O$4:$O$36)</f>
        <v>0</v>
      </c>
      <c r="G16" s="121">
        <f t="shared" ca="1" si="2"/>
        <v>0</v>
      </c>
    </row>
    <row r="17" spans="2:7" x14ac:dyDescent="0.25">
      <c r="B17" s="116" t="s">
        <v>74</v>
      </c>
      <c r="C17" s="134">
        <f>C18+C19</f>
        <v>13300</v>
      </c>
      <c r="D17" s="140">
        <f>C17/$C$34</f>
        <v>7.6035559692140499E-4</v>
      </c>
      <c r="E17" s="135" t="s">
        <v>128</v>
      </c>
      <c r="F17" s="136">
        <f>C22-F27+EconomiaT46!C24-EconomiaT46!C5</f>
        <v>5105506.7423319006</v>
      </c>
      <c r="G17" s="121">
        <f t="shared" ca="1" si="2"/>
        <v>0.29187974636481429</v>
      </c>
    </row>
    <row r="18" spans="2:7" x14ac:dyDescent="0.25">
      <c r="B18" s="129" t="s">
        <v>74</v>
      </c>
      <c r="C18" s="130">
        <f>SUM(M4:M15)</f>
        <v>14000</v>
      </c>
      <c r="D18" s="202">
        <f>C18/$C$34</f>
        <v>8.0037431254884734E-4</v>
      </c>
      <c r="E18" s="124"/>
      <c r="F18" s="125"/>
      <c r="G18" s="137"/>
    </row>
    <row r="19" spans="2:7" x14ac:dyDescent="0.25">
      <c r="B19" s="122" t="s">
        <v>76</v>
      </c>
      <c r="C19" s="123">
        <f>SUM(N4:N47)*-1</f>
        <v>-700</v>
      </c>
      <c r="D19" s="202">
        <f>C19/$C$34</f>
        <v>-4.0018715627442364E-5</v>
      </c>
      <c r="E19" s="116" t="s">
        <v>129</v>
      </c>
      <c r="F19" s="134">
        <f>F20+F21</f>
        <v>0</v>
      </c>
      <c r="G19" s="118">
        <f ca="1">F19/$F$34</f>
        <v>0</v>
      </c>
    </row>
    <row r="20" spans="2:7" x14ac:dyDescent="0.25">
      <c r="B20" s="132"/>
      <c r="C20" s="133"/>
      <c r="D20" s="202"/>
      <c r="E20" s="206" t="s">
        <v>88</v>
      </c>
      <c r="F20" s="207">
        <f>EconomiaT46!C19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6549004.3711659508</v>
      </c>
      <c r="D22" s="140">
        <f t="shared" ref="D22:D27" si="3">C22/$C$34</f>
        <v>0.37440391938938172</v>
      </c>
      <c r="E22" s="116"/>
      <c r="F22" s="117"/>
      <c r="G22" s="118"/>
    </row>
    <row r="23" spans="2:7" x14ac:dyDescent="0.25">
      <c r="B23" s="138" t="s">
        <v>69</v>
      </c>
      <c r="C23" s="139">
        <f>EconomiaT46!C11</f>
        <v>83340</v>
      </c>
      <c r="D23" s="202">
        <f t="shared" si="3"/>
        <v>4.764513943415781E-3</v>
      </c>
      <c r="E23" s="116" t="s">
        <v>264</v>
      </c>
      <c r="F23" s="117">
        <f>SUM(F24:F25)</f>
        <v>996890</v>
      </c>
      <c r="G23" s="118">
        <f ca="1">F23/$F$34</f>
        <v>5.6991796316915741E-2</v>
      </c>
    </row>
    <row r="24" spans="2:7" x14ac:dyDescent="0.25">
      <c r="B24" s="138" t="s">
        <v>79</v>
      </c>
      <c r="C24" s="139">
        <f>EconomiaT46!C12</f>
        <v>1430300</v>
      </c>
      <c r="D24" s="202">
        <f t="shared" si="3"/>
        <v>8.176966994561545E-2</v>
      </c>
      <c r="E24" s="206" t="s">
        <v>84</v>
      </c>
      <c r="F24" s="209">
        <f>EconomiaT46!C16</f>
        <v>996890</v>
      </c>
      <c r="G24" s="121">
        <f ca="1">F24/$F$34</f>
        <v>5.6991796316915741E-2</v>
      </c>
    </row>
    <row r="25" spans="2:7" x14ac:dyDescent="0.25">
      <c r="B25" s="138" t="s">
        <v>71</v>
      </c>
      <c r="C25" s="139">
        <f>EconomiaT46!C6</f>
        <v>3356670</v>
      </c>
      <c r="D25" s="202">
        <f t="shared" si="3"/>
        <v>0.19189946026452423</v>
      </c>
      <c r="E25" s="206" t="s">
        <v>67</v>
      </c>
      <c r="F25" s="209">
        <f>EconomiaT46!C20</f>
        <v>0</v>
      </c>
      <c r="G25" s="121">
        <f ca="1">F25/$F$34</f>
        <v>0</v>
      </c>
    </row>
    <row r="26" spans="2:7" x14ac:dyDescent="0.25">
      <c r="B26" s="138" t="s">
        <v>72</v>
      </c>
      <c r="C26" s="139">
        <f>EconomiaT46!C7</f>
        <v>1671554.3711659508</v>
      </c>
      <c r="D26" s="202">
        <f t="shared" si="3"/>
        <v>9.5562084336426337E-2</v>
      </c>
      <c r="E26" s="116"/>
      <c r="F26" s="117"/>
      <c r="G26" s="118"/>
    </row>
    <row r="27" spans="2:7" x14ac:dyDescent="0.25">
      <c r="B27" s="138" t="s">
        <v>76</v>
      </c>
      <c r="C27" s="139">
        <f>EconomiaT46!C10</f>
        <v>7140</v>
      </c>
      <c r="D27" s="202">
        <f t="shared" si="3"/>
        <v>4.0819089939991214E-4</v>
      </c>
      <c r="E27" s="116" t="s">
        <v>265</v>
      </c>
      <c r="F27" s="117">
        <f>SUM(F28:F33)</f>
        <v>3505406</v>
      </c>
      <c r="G27" s="118">
        <f t="shared" ref="G27:G33" ca="1" si="4">F27/$F$34</f>
        <v>0.20040263696104318</v>
      </c>
    </row>
    <row r="28" spans="2:7" x14ac:dyDescent="0.25">
      <c r="B28" s="116"/>
      <c r="C28" s="117"/>
      <c r="D28" s="140"/>
      <c r="E28" s="206" t="s">
        <v>132</v>
      </c>
      <c r="F28" s="209">
        <f>EconomiaT46!C14</f>
        <v>839530</v>
      </c>
      <c r="G28" s="121">
        <f t="shared" ca="1" si="4"/>
        <v>4.79955890438667E-2</v>
      </c>
    </row>
    <row r="29" spans="2:7" x14ac:dyDescent="0.25">
      <c r="B29" s="116" t="s">
        <v>133</v>
      </c>
      <c r="C29" s="117">
        <f>EconomiaT46!S24</f>
        <v>5125001.3711659508</v>
      </c>
      <c r="D29" s="140">
        <f>C29/$C$34</f>
        <v>0.29299424637563198</v>
      </c>
      <c r="E29" s="206" t="s">
        <v>82</v>
      </c>
      <c r="F29" s="209">
        <f>EconomiaT46!C15</f>
        <v>415055</v>
      </c>
      <c r="G29" s="121">
        <f t="shared" ca="1" si="4"/>
        <v>2.3728525735354417E-2</v>
      </c>
    </row>
    <row r="30" spans="2:7" x14ac:dyDescent="0.25">
      <c r="B30" s="116"/>
      <c r="C30" s="117"/>
      <c r="D30" s="140"/>
      <c r="E30" s="206" t="s">
        <v>85</v>
      </c>
      <c r="F30" s="209">
        <f>EconomiaT46!C17</f>
        <v>1848000</v>
      </c>
      <c r="G30" s="121">
        <f t="shared" ca="1" si="4"/>
        <v>0.10564940925644785</v>
      </c>
    </row>
    <row r="31" spans="2:7" x14ac:dyDescent="0.25">
      <c r="B31" s="116"/>
      <c r="C31" s="117"/>
      <c r="D31" s="140"/>
      <c r="E31" s="206" t="s">
        <v>86</v>
      </c>
      <c r="F31" s="209">
        <f>EconomiaT46!C18</f>
        <v>320000</v>
      </c>
      <c r="G31" s="121">
        <f t="shared" ca="1" si="4"/>
        <v>1.8294270001116511E-2</v>
      </c>
    </row>
    <row r="32" spans="2:7" x14ac:dyDescent="0.25">
      <c r="B32" s="116"/>
      <c r="C32" s="117"/>
      <c r="D32" s="140"/>
      <c r="E32" s="206" t="s">
        <v>89</v>
      </c>
      <c r="F32" s="209">
        <f>EconomiaT46!C21</f>
        <v>82000</v>
      </c>
      <c r="G32" s="121">
        <f t="shared" ca="1" si="4"/>
        <v>4.6879066877861062E-3</v>
      </c>
    </row>
    <row r="33" spans="2:8" x14ac:dyDescent="0.25">
      <c r="B33" s="141"/>
      <c r="C33" s="142"/>
      <c r="D33" s="140"/>
      <c r="E33" s="206" t="s">
        <v>90</v>
      </c>
      <c r="F33" s="209">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92" priority="91" operator="lessThan">
      <formula>0</formula>
    </cfRule>
    <cfRule type="cellIs" dxfId="191" priority="92" operator="greaterThan">
      <formula>0</formula>
    </cfRule>
  </conditionalFormatting>
  <conditionalFormatting sqref="O4">
    <cfRule type="cellIs" dxfId="190" priority="59" operator="lessThan">
      <formula>0</formula>
    </cfRule>
    <cfRule type="cellIs" dxfId="189" priority="60" operator="greaterThan">
      <formula>0</formula>
    </cfRule>
  </conditionalFormatting>
  <conditionalFormatting sqref="T4">
    <cfRule type="cellIs" dxfId="188" priority="57" operator="lessThan">
      <formula>0</formula>
    </cfRule>
    <cfRule type="cellIs" dxfId="187" priority="58" operator="greaterThan">
      <formula>0</formula>
    </cfRule>
  </conditionalFormatting>
  <conditionalFormatting sqref="T4">
    <cfRule type="cellIs" dxfId="186" priority="55" operator="lessThan">
      <formula>0</formula>
    </cfRule>
    <cfRule type="cellIs" dxfId="185" priority="56" operator="greaterThan">
      <formula>0</formula>
    </cfRule>
  </conditionalFormatting>
  <conditionalFormatting sqref="O4 T4 Q4">
    <cfRule type="cellIs" dxfId="184" priority="53" operator="lessThan">
      <formula>0</formula>
    </cfRule>
    <cfRule type="cellIs" dxfId="183" priority="54" operator="greaterThan">
      <formula>0</formula>
    </cfRule>
  </conditionalFormatting>
  <conditionalFormatting sqref="T4">
    <cfRule type="cellIs" dxfId="182" priority="51" operator="lessThan">
      <formula>0</formula>
    </cfRule>
    <cfRule type="cellIs" dxfId="181" priority="52" operator="greaterThan">
      <formula>0</formula>
    </cfRule>
  </conditionalFormatting>
  <conditionalFormatting sqref="O5">
    <cfRule type="cellIs" dxfId="180" priority="19" operator="lessThan">
      <formula>0</formula>
    </cfRule>
    <cfRule type="cellIs" dxfId="179" priority="20" operator="greaterThan">
      <formula>0</formula>
    </cfRule>
  </conditionalFormatting>
  <conditionalFormatting sqref="T5">
    <cfRule type="cellIs" dxfId="178" priority="17" operator="lessThan">
      <formula>0</formula>
    </cfRule>
    <cfRule type="cellIs" dxfId="177" priority="18" operator="greaterThan">
      <formula>0</formula>
    </cfRule>
  </conditionalFormatting>
  <conditionalFormatting sqref="T5">
    <cfRule type="cellIs" dxfId="176" priority="15" operator="lessThan">
      <formula>0</formula>
    </cfRule>
    <cfRule type="cellIs" dxfId="175" priority="16" operator="greaterThan">
      <formula>0</formula>
    </cfRule>
  </conditionalFormatting>
  <conditionalFormatting sqref="O5 T5 Q5">
    <cfRule type="cellIs" dxfId="174" priority="13" operator="lessThan">
      <formula>0</formula>
    </cfRule>
    <cfRule type="cellIs" dxfId="173" priority="14" operator="greaterThan">
      <formula>0</formula>
    </cfRule>
  </conditionalFormatting>
  <conditionalFormatting sqref="T5">
    <cfRule type="cellIs" dxfId="172" priority="11" operator="lessThan">
      <formula>0</formula>
    </cfRule>
    <cfRule type="cellIs" dxfId="171" priority="12" operator="greaterThan">
      <formula>0</formula>
    </cfRule>
  </conditionalFormatting>
  <conditionalFormatting sqref="O6">
    <cfRule type="cellIs" dxfId="170" priority="9" operator="lessThan">
      <formula>0</formula>
    </cfRule>
    <cfRule type="cellIs" dxfId="169" priority="10" operator="greaterThan">
      <formula>0</formula>
    </cfRule>
  </conditionalFormatting>
  <conditionalFormatting sqref="T6">
    <cfRule type="cellIs" dxfId="168" priority="7" operator="lessThan">
      <formula>0</formula>
    </cfRule>
    <cfRule type="cellIs" dxfId="167" priority="8" operator="greaterThan">
      <formula>0</formula>
    </cfRule>
  </conditionalFormatting>
  <conditionalFormatting sqref="T6">
    <cfRule type="cellIs" dxfId="166" priority="5" operator="lessThan">
      <formula>0</formula>
    </cfRule>
    <cfRule type="cellIs" dxfId="165" priority="6" operator="greaterThan">
      <formula>0</formula>
    </cfRule>
  </conditionalFormatting>
  <conditionalFormatting sqref="O6 T6 Q6">
    <cfRule type="cellIs" dxfId="164" priority="3" operator="lessThan">
      <formula>0</formula>
    </cfRule>
    <cfRule type="cellIs" dxfId="163" priority="4" operator="greaterThan">
      <formula>0</formula>
    </cfRule>
  </conditionalFormatting>
  <conditionalFormatting sqref="T6">
    <cfRule type="cellIs" dxfId="162" priority="1" operator="lessThan">
      <formula>0</formula>
    </cfRule>
    <cfRule type="cellIs" dxfId="161"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4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12">
        <f t="shared" si="1"/>
        <v>2695</v>
      </c>
    </row>
    <row r="5" spans="1:26" s="66" customFormat="1" ht="18.75" x14ac:dyDescent="0.3">
      <c r="A5" s="62" t="s">
        <v>70</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71</v>
      </c>
      <c r="B6" s="67" t="s">
        <v>71</v>
      </c>
      <c r="C6" s="68">
        <f t="shared" ref="C6:C23" si="3">SUM(D6:S6)</f>
        <v>4582612</v>
      </c>
      <c r="D6" s="69">
        <f>15997+15893-270</f>
        <v>31620</v>
      </c>
      <c r="E6" s="69">
        <v>31473</v>
      </c>
      <c r="F6" s="69">
        <v>589752</v>
      </c>
      <c r="G6" s="69">
        <v>137593</v>
      </c>
      <c r="H6" s="69">
        <f>427259+40000</f>
        <v>467259</v>
      </c>
      <c r="I6" s="456">
        <v>125000</v>
      </c>
      <c r="J6" s="456">
        <v>567000</v>
      </c>
      <c r="K6" s="456">
        <f>125000+36874</f>
        <v>161874</v>
      </c>
      <c r="L6" s="69">
        <v>542085</v>
      </c>
      <c r="M6" s="69">
        <v>157929</v>
      </c>
      <c r="N6" s="69">
        <v>544219</v>
      </c>
      <c r="O6" s="69">
        <v>10303</v>
      </c>
      <c r="P6" s="69">
        <f>475769+11000-7703</f>
        <v>479066</v>
      </c>
      <c r="Q6" s="69">
        <v>10062</v>
      </c>
      <c r="R6" s="69">
        <v>479614</v>
      </c>
      <c r="S6" s="70">
        <v>247763</v>
      </c>
      <c r="Y6" s="67" t="s">
        <v>71</v>
      </c>
      <c r="Z6" s="71">
        <f>C6/$C$13</f>
        <v>0.66344383507595817</v>
      </c>
    </row>
    <row r="7" spans="1:26" x14ac:dyDescent="0.25">
      <c r="A7" s="67" t="s">
        <v>72</v>
      </c>
      <c r="B7" s="67" t="s">
        <v>72</v>
      </c>
      <c r="C7" s="68">
        <f t="shared" si="3"/>
        <v>2087517.6435892477</v>
      </c>
      <c r="D7" s="72">
        <v>107305</v>
      </c>
      <c r="E7" s="72">
        <v>116740</v>
      </c>
      <c r="F7" s="72">
        <v>123215</v>
      </c>
      <c r="G7" s="72">
        <v>127655</v>
      </c>
      <c r="H7" s="72">
        <v>130430</v>
      </c>
      <c r="I7" s="457">
        <f t="shared" ref="I7:K7" si="4">H7*(1+I43)</f>
        <v>132296.52871784955</v>
      </c>
      <c r="J7" s="457">
        <f t="shared" si="4"/>
        <v>133696.42525623669</v>
      </c>
      <c r="K7" s="457">
        <f t="shared" si="4"/>
        <v>134629.68961516148</v>
      </c>
      <c r="L7" s="72">
        <v>134315</v>
      </c>
      <c r="M7" s="72">
        <v>134500</v>
      </c>
      <c r="N7" s="72">
        <v>135055</v>
      </c>
      <c r="O7" s="72">
        <v>135425</v>
      </c>
      <c r="P7" s="72">
        <v>135795</v>
      </c>
      <c r="Q7" s="72">
        <v>135610</v>
      </c>
      <c r="R7" s="72">
        <v>135425</v>
      </c>
      <c r="S7" s="70">
        <v>135425</v>
      </c>
      <c r="Y7" s="67" t="s">
        <v>72</v>
      </c>
      <c r="Z7" s="71">
        <f t="shared" ref="Z7:Z12" si="5">C7/$C$13</f>
        <v>0.30221862799023302</v>
      </c>
    </row>
    <row r="8" spans="1:26" x14ac:dyDescent="0.25">
      <c r="A8" s="67" t="s">
        <v>73</v>
      </c>
      <c r="B8" s="67" t="s">
        <v>74</v>
      </c>
      <c r="C8" s="68">
        <f t="shared" si="3"/>
        <v>0</v>
      </c>
      <c r="D8" s="69">
        <v>0</v>
      </c>
      <c r="E8" s="69"/>
      <c r="F8" s="69">
        <v>0</v>
      </c>
      <c r="G8" s="69">
        <v>0</v>
      </c>
      <c r="H8" s="69">
        <v>0</v>
      </c>
      <c r="I8" s="456"/>
      <c r="J8" s="456">
        <v>0</v>
      </c>
      <c r="K8" s="456"/>
      <c r="L8" s="69">
        <v>0</v>
      </c>
      <c r="M8" s="69">
        <v>0</v>
      </c>
      <c r="N8" s="69">
        <v>0</v>
      </c>
      <c r="O8" s="69">
        <v>0</v>
      </c>
      <c r="P8" s="69">
        <v>0</v>
      </c>
      <c r="Q8" s="69">
        <v>0</v>
      </c>
      <c r="R8" s="69">
        <v>0</v>
      </c>
      <c r="S8" s="70">
        <v>0</v>
      </c>
      <c r="Y8" s="67" t="s">
        <v>74</v>
      </c>
      <c r="Z8" s="71">
        <f t="shared" si="5"/>
        <v>0</v>
      </c>
    </row>
    <row r="9" spans="1:26" x14ac:dyDescent="0.25">
      <c r="A9" s="67"/>
      <c r="B9" s="67" t="s">
        <v>75</v>
      </c>
      <c r="C9" s="68">
        <f t="shared" si="3"/>
        <v>108300</v>
      </c>
      <c r="D9" s="69">
        <v>0</v>
      </c>
      <c r="E9" s="69">
        <v>10450</v>
      </c>
      <c r="F9" s="69">
        <v>0</v>
      </c>
      <c r="G9" s="69">
        <v>950</v>
      </c>
      <c r="H9" s="69">
        <v>0</v>
      </c>
      <c r="I9" s="456"/>
      <c r="J9" s="463">
        <v>95000</v>
      </c>
      <c r="K9" s="456"/>
      <c r="L9" s="69">
        <v>0</v>
      </c>
      <c r="M9" s="69">
        <v>0</v>
      </c>
      <c r="N9" s="69">
        <v>1900</v>
      </c>
      <c r="O9" s="69">
        <v>0</v>
      </c>
      <c r="P9" s="69">
        <v>0</v>
      </c>
      <c r="Q9" s="69">
        <v>0</v>
      </c>
      <c r="R9" s="69">
        <v>0</v>
      </c>
      <c r="S9" s="70">
        <v>0</v>
      </c>
      <c r="Y9" s="67" t="s">
        <v>75</v>
      </c>
      <c r="Z9" s="71">
        <f t="shared" si="5"/>
        <v>1.567904228826841E-2</v>
      </c>
    </row>
    <row r="10" spans="1:26" x14ac:dyDescent="0.25">
      <c r="A10" s="67" t="s">
        <v>76</v>
      </c>
      <c r="B10" s="67" t="s">
        <v>76</v>
      </c>
      <c r="C10" s="68">
        <f t="shared" si="3"/>
        <v>21440</v>
      </c>
      <c r="D10" s="72">
        <v>0</v>
      </c>
      <c r="E10" s="72">
        <v>0</v>
      </c>
      <c r="F10" s="72">
        <v>0</v>
      </c>
      <c r="G10" s="72">
        <v>0</v>
      </c>
      <c r="H10" s="72">
        <v>0</v>
      </c>
      <c r="I10" s="457"/>
      <c r="J10" s="457">
        <v>0</v>
      </c>
      <c r="K10" s="457"/>
      <c r="L10" s="72">
        <v>0</v>
      </c>
      <c r="M10" s="72">
        <v>0</v>
      </c>
      <c r="N10" s="72">
        <v>7920</v>
      </c>
      <c r="O10" s="72">
        <v>0</v>
      </c>
      <c r="P10" s="72">
        <v>0</v>
      </c>
      <c r="Q10" s="72">
        <v>0</v>
      </c>
      <c r="R10" s="72">
        <v>0</v>
      </c>
      <c r="S10" s="70">
        <v>13520</v>
      </c>
      <c r="Y10" s="67" t="s">
        <v>76</v>
      </c>
      <c r="Z10" s="71">
        <f t="shared" si="5"/>
        <v>3.1039581409092768E-3</v>
      </c>
    </row>
    <row r="11" spans="1:26" x14ac:dyDescent="0.25">
      <c r="A11" s="712" t="s">
        <v>77</v>
      </c>
      <c r="B11" s="67" t="s">
        <v>78</v>
      </c>
      <c r="C11" s="68">
        <f t="shared" si="3"/>
        <v>82440</v>
      </c>
      <c r="D11" s="72">
        <v>270</v>
      </c>
      <c r="E11" s="72">
        <v>300</v>
      </c>
      <c r="F11" s="72">
        <v>240</v>
      </c>
      <c r="G11" s="72">
        <v>180</v>
      </c>
      <c r="H11" s="72">
        <v>180</v>
      </c>
      <c r="I11" s="457"/>
      <c r="J11" s="457"/>
      <c r="K11" s="457"/>
      <c r="L11" s="72"/>
      <c r="M11" s="72">
        <v>240</v>
      </c>
      <c r="N11" s="72">
        <v>300</v>
      </c>
      <c r="O11" s="72">
        <v>120</v>
      </c>
      <c r="P11" s="72">
        <v>0</v>
      </c>
      <c r="Q11" s="72">
        <v>0</v>
      </c>
      <c r="R11" s="72">
        <v>0</v>
      </c>
      <c r="S11" s="70">
        <f>80580+30</f>
        <v>80610</v>
      </c>
      <c r="Y11" s="67" t="s">
        <v>78</v>
      </c>
      <c r="Z11" s="71">
        <f t="shared" si="5"/>
        <v>1.1935182329130635E-2</v>
      </c>
    </row>
    <row r="12" spans="1:26" x14ac:dyDescent="0.25">
      <c r="A12" s="713"/>
      <c r="B12" s="67" t="s">
        <v>79</v>
      </c>
      <c r="C12" s="68">
        <f t="shared" si="3"/>
        <v>25000</v>
      </c>
      <c r="D12" s="72">
        <v>0</v>
      </c>
      <c r="E12" s="72">
        <v>0</v>
      </c>
      <c r="F12" s="72">
        <v>0</v>
      </c>
      <c r="G12" s="72">
        <v>0</v>
      </c>
      <c r="H12" s="72">
        <v>0</v>
      </c>
      <c r="I12" s="457"/>
      <c r="J12" s="457">
        <v>0</v>
      </c>
      <c r="K12" s="457"/>
      <c r="L12" s="72">
        <v>0</v>
      </c>
      <c r="M12" s="72">
        <v>25000</v>
      </c>
      <c r="N12" s="72">
        <v>0</v>
      </c>
      <c r="O12" s="72">
        <v>0</v>
      </c>
      <c r="P12" s="72">
        <v>0</v>
      </c>
      <c r="Q12" s="72">
        <v>0</v>
      </c>
      <c r="R12" s="72">
        <v>0</v>
      </c>
      <c r="S12" s="70">
        <v>0</v>
      </c>
      <c r="Y12" s="67" t="s">
        <v>79</v>
      </c>
      <c r="Z12" s="71">
        <f t="shared" si="5"/>
        <v>3.6193541755005563E-3</v>
      </c>
    </row>
    <row r="13" spans="1:26" s="78" customFormat="1" ht="18.75" x14ac:dyDescent="0.3">
      <c r="A13" s="73" t="s">
        <v>80</v>
      </c>
      <c r="B13" s="74"/>
      <c r="C13" s="75">
        <f t="shared" si="3"/>
        <v>6907309.643589247</v>
      </c>
      <c r="D13" s="76">
        <f t="shared" ref="D13:H13" si="6">SUM(D6:D12)</f>
        <v>139195</v>
      </c>
      <c r="E13" s="76">
        <f t="shared" si="6"/>
        <v>158963</v>
      </c>
      <c r="F13" s="76">
        <f>F12+F11+F10+F9+F8+F7+F6</f>
        <v>713207</v>
      </c>
      <c r="G13" s="76">
        <f t="shared" si="6"/>
        <v>266378</v>
      </c>
      <c r="H13" s="76">
        <f t="shared" si="6"/>
        <v>597869</v>
      </c>
      <c r="I13" s="458">
        <f t="shared" ref="I13:S13" si="7">SUM(I6:I12)</f>
        <v>257296.52871784955</v>
      </c>
      <c r="J13" s="458">
        <f t="shared" si="7"/>
        <v>795696.42525623669</v>
      </c>
      <c r="K13" s="458">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81</v>
      </c>
      <c r="B14" s="81" t="str">
        <f>A14</f>
        <v>Sueldos</v>
      </c>
      <c r="C14" s="82">
        <f t="shared" si="3"/>
        <v>1070030</v>
      </c>
      <c r="D14" s="83">
        <v>62080</v>
      </c>
      <c r="E14" s="83">
        <v>62610</v>
      </c>
      <c r="F14" s="83">
        <v>62180</v>
      </c>
      <c r="G14" s="83">
        <v>64420</v>
      </c>
      <c r="H14" s="83">
        <v>65270</v>
      </c>
      <c r="I14" s="459">
        <f t="shared" ref="I14:J14" si="8">H14+200</f>
        <v>65470</v>
      </c>
      <c r="J14" s="459">
        <f t="shared" si="8"/>
        <v>65670</v>
      </c>
      <c r="K14" s="459">
        <v>66550</v>
      </c>
      <c r="L14" s="83">
        <v>66550</v>
      </c>
      <c r="M14" s="83">
        <v>68690</v>
      </c>
      <c r="N14" s="83">
        <v>68710</v>
      </c>
      <c r="O14" s="83">
        <v>69590</v>
      </c>
      <c r="P14" s="83">
        <v>69590</v>
      </c>
      <c r="Q14" s="83">
        <v>69710</v>
      </c>
      <c r="R14" s="83">
        <v>71090</v>
      </c>
      <c r="S14" s="70">
        <v>71850</v>
      </c>
      <c r="Y14" s="714">
        <f>C13</f>
        <v>6907309.643589247</v>
      </c>
      <c r="Z14" s="715"/>
    </row>
    <row r="15" spans="1:26" x14ac:dyDescent="0.25">
      <c r="A15" s="80" t="s">
        <v>82</v>
      </c>
      <c r="B15" s="81" t="str">
        <f>A15</f>
        <v xml:space="preserve">Mantenimiento </v>
      </c>
      <c r="C15" s="82">
        <f t="shared" si="3"/>
        <v>555962</v>
      </c>
      <c r="D15" s="83">
        <v>34070</v>
      </c>
      <c r="E15" s="83">
        <f>D15</f>
        <v>34070</v>
      </c>
      <c r="F15" s="83">
        <f t="shared" ref="F15:S15" si="9">E15</f>
        <v>34070</v>
      </c>
      <c r="G15" s="83">
        <f t="shared" si="9"/>
        <v>34070</v>
      </c>
      <c r="H15" s="83">
        <v>34706</v>
      </c>
      <c r="I15" s="459">
        <f t="shared" si="9"/>
        <v>34706</v>
      </c>
      <c r="J15" s="459">
        <f t="shared" si="9"/>
        <v>34706</v>
      </c>
      <c r="K15" s="459">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83</v>
      </c>
      <c r="B16" s="81" t="s">
        <v>84</v>
      </c>
      <c r="C16" s="82">
        <f t="shared" si="3"/>
        <v>184115</v>
      </c>
      <c r="D16" s="83">
        <v>0</v>
      </c>
      <c r="E16" s="83">
        <f>D16</f>
        <v>0</v>
      </c>
      <c r="F16" s="83">
        <v>71215</v>
      </c>
      <c r="G16" s="83">
        <v>0</v>
      </c>
      <c r="H16" s="83">
        <f t="shared" ref="H16:S16" si="10">G16</f>
        <v>0</v>
      </c>
      <c r="I16" s="462">
        <f t="shared" si="10"/>
        <v>0</v>
      </c>
      <c r="J16" s="462">
        <f t="shared" si="10"/>
        <v>0</v>
      </c>
      <c r="K16" s="462">
        <f t="shared" si="10"/>
        <v>0</v>
      </c>
      <c r="L16" s="462">
        <f t="shared" si="10"/>
        <v>0</v>
      </c>
      <c r="M16" s="462">
        <f t="shared" si="10"/>
        <v>0</v>
      </c>
      <c r="N16" s="462">
        <f t="shared" si="10"/>
        <v>0</v>
      </c>
      <c r="O16" s="462">
        <v>112900</v>
      </c>
      <c r="P16" s="462">
        <v>0</v>
      </c>
      <c r="Q16" s="462">
        <f t="shared" si="10"/>
        <v>0</v>
      </c>
      <c r="R16" s="462">
        <f t="shared" si="10"/>
        <v>0</v>
      </c>
      <c r="S16" s="70">
        <f t="shared" si="10"/>
        <v>0</v>
      </c>
    </row>
    <row r="17" spans="1:26" x14ac:dyDescent="0.25">
      <c r="A17" s="80" t="s">
        <v>85</v>
      </c>
      <c r="B17" s="81" t="str">
        <f>A17</f>
        <v>Empleados</v>
      </c>
      <c r="C17" s="82">
        <f t="shared" si="3"/>
        <v>1920000</v>
      </c>
      <c r="D17" s="83">
        <v>120000</v>
      </c>
      <c r="E17" s="83">
        <f t="shared" ref="E17:S22" si="11">D17</f>
        <v>120000</v>
      </c>
      <c r="F17" s="83">
        <f t="shared" si="11"/>
        <v>120000</v>
      </c>
      <c r="G17" s="83">
        <f t="shared" si="11"/>
        <v>120000</v>
      </c>
      <c r="H17" s="83">
        <f t="shared" si="11"/>
        <v>120000</v>
      </c>
      <c r="I17" s="462">
        <f t="shared" si="11"/>
        <v>120000</v>
      </c>
      <c r="J17" s="462">
        <f t="shared" si="11"/>
        <v>120000</v>
      </c>
      <c r="K17" s="462">
        <f t="shared" si="11"/>
        <v>120000</v>
      </c>
      <c r="L17" s="462">
        <f t="shared" si="11"/>
        <v>120000</v>
      </c>
      <c r="M17" s="462">
        <f t="shared" si="11"/>
        <v>120000</v>
      </c>
      <c r="N17" s="462">
        <f t="shared" si="11"/>
        <v>120000</v>
      </c>
      <c r="O17" s="462">
        <f t="shared" si="11"/>
        <v>120000</v>
      </c>
      <c r="P17" s="462">
        <f t="shared" si="11"/>
        <v>120000</v>
      </c>
      <c r="Q17" s="462">
        <f t="shared" si="11"/>
        <v>120000</v>
      </c>
      <c r="R17" s="462">
        <f t="shared" si="11"/>
        <v>120000</v>
      </c>
      <c r="S17" s="70">
        <f t="shared" si="11"/>
        <v>120000</v>
      </c>
    </row>
    <row r="18" spans="1:26" x14ac:dyDescent="0.25">
      <c r="A18" s="80" t="s">
        <v>86</v>
      </c>
      <c r="B18" s="81" t="str">
        <f>A18</f>
        <v>Juveniles</v>
      </c>
      <c r="C18" s="82">
        <f t="shared" si="3"/>
        <v>320000</v>
      </c>
      <c r="D18" s="83">
        <v>20000</v>
      </c>
      <c r="E18" s="83">
        <f t="shared" si="11"/>
        <v>20000</v>
      </c>
      <c r="F18" s="83">
        <f t="shared" si="11"/>
        <v>20000</v>
      </c>
      <c r="G18" s="83">
        <f t="shared" si="11"/>
        <v>20000</v>
      </c>
      <c r="H18" s="83">
        <f t="shared" si="11"/>
        <v>20000</v>
      </c>
      <c r="I18" s="462">
        <f t="shared" si="11"/>
        <v>20000</v>
      </c>
      <c r="J18" s="462">
        <f t="shared" si="11"/>
        <v>20000</v>
      </c>
      <c r="K18" s="462">
        <f t="shared" si="11"/>
        <v>20000</v>
      </c>
      <c r="L18" s="462">
        <f t="shared" si="11"/>
        <v>20000</v>
      </c>
      <c r="M18" s="462">
        <f t="shared" si="11"/>
        <v>20000</v>
      </c>
      <c r="N18" s="462">
        <f t="shared" si="11"/>
        <v>20000</v>
      </c>
      <c r="O18" s="462">
        <f t="shared" si="11"/>
        <v>20000</v>
      </c>
      <c r="P18" s="462">
        <f t="shared" si="11"/>
        <v>20000</v>
      </c>
      <c r="Q18" s="462">
        <f t="shared" si="11"/>
        <v>20000</v>
      </c>
      <c r="R18" s="462">
        <f t="shared" si="11"/>
        <v>20000</v>
      </c>
      <c r="S18" s="70">
        <f t="shared" si="11"/>
        <v>20000</v>
      </c>
    </row>
    <row r="19" spans="1:26" x14ac:dyDescent="0.25">
      <c r="A19" s="80" t="s">
        <v>87</v>
      </c>
      <c r="B19" s="81" t="s">
        <v>88</v>
      </c>
      <c r="C19" s="82">
        <f t="shared" si="3"/>
        <v>0</v>
      </c>
      <c r="D19" s="83">
        <v>0</v>
      </c>
      <c r="E19" s="83">
        <f t="shared" si="11"/>
        <v>0</v>
      </c>
      <c r="F19" s="83">
        <f t="shared" si="11"/>
        <v>0</v>
      </c>
      <c r="G19" s="83">
        <f t="shared" si="11"/>
        <v>0</v>
      </c>
      <c r="H19" s="83">
        <f t="shared" si="11"/>
        <v>0</v>
      </c>
      <c r="I19" s="459">
        <f t="shared" si="11"/>
        <v>0</v>
      </c>
      <c r="J19" s="459">
        <f t="shared" si="11"/>
        <v>0</v>
      </c>
      <c r="K19" s="459">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77</v>
      </c>
      <c r="B20" s="81" t="s">
        <v>67</v>
      </c>
      <c r="C20" s="82">
        <f t="shared" si="3"/>
        <v>0</v>
      </c>
      <c r="D20" s="83">
        <v>0</v>
      </c>
      <c r="E20" s="83">
        <f t="shared" si="11"/>
        <v>0</v>
      </c>
      <c r="F20" s="83">
        <f t="shared" si="11"/>
        <v>0</v>
      </c>
      <c r="G20" s="83">
        <f t="shared" si="11"/>
        <v>0</v>
      </c>
      <c r="H20" s="83">
        <f t="shared" si="11"/>
        <v>0</v>
      </c>
      <c r="I20" s="459">
        <f t="shared" si="11"/>
        <v>0</v>
      </c>
      <c r="J20" s="459">
        <f t="shared" si="11"/>
        <v>0</v>
      </c>
      <c r="K20" s="459">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89</v>
      </c>
      <c r="C21" s="82">
        <f t="shared" si="3"/>
        <v>56000</v>
      </c>
      <c r="D21" s="83">
        <v>0</v>
      </c>
      <c r="E21" s="83">
        <f t="shared" si="11"/>
        <v>0</v>
      </c>
      <c r="F21" s="83">
        <v>3000</v>
      </c>
      <c r="G21" s="83">
        <v>4000</v>
      </c>
      <c r="H21" s="83">
        <v>3000</v>
      </c>
      <c r="I21" s="459">
        <v>0</v>
      </c>
      <c r="J21" s="459">
        <v>4000</v>
      </c>
      <c r="K21" s="459">
        <v>0</v>
      </c>
      <c r="L21" s="83">
        <v>0</v>
      </c>
      <c r="M21" s="83">
        <v>0</v>
      </c>
      <c r="N21" s="83">
        <v>9000</v>
      </c>
      <c r="O21" s="83">
        <v>6000</v>
      </c>
      <c r="P21" s="83">
        <v>0</v>
      </c>
      <c r="Q21" s="83">
        <v>6000</v>
      </c>
      <c r="R21" s="83">
        <f t="shared" si="11"/>
        <v>6000</v>
      </c>
      <c r="S21" s="70">
        <v>15000</v>
      </c>
    </row>
    <row r="22" spans="1:26" x14ac:dyDescent="0.25">
      <c r="A22" s="80" t="s">
        <v>90</v>
      </c>
      <c r="B22" s="81" t="str">
        <f>A22</f>
        <v>Intereses</v>
      </c>
      <c r="C22" s="82">
        <f t="shared" si="3"/>
        <v>0</v>
      </c>
      <c r="D22" s="83">
        <v>0</v>
      </c>
      <c r="E22" s="83">
        <f t="shared" si="11"/>
        <v>0</v>
      </c>
      <c r="F22" s="83">
        <f t="shared" si="11"/>
        <v>0</v>
      </c>
      <c r="G22" s="83">
        <f t="shared" si="11"/>
        <v>0</v>
      </c>
      <c r="H22" s="83">
        <f t="shared" si="11"/>
        <v>0</v>
      </c>
      <c r="I22" s="459">
        <f t="shared" si="11"/>
        <v>0</v>
      </c>
      <c r="J22" s="459">
        <f t="shared" si="11"/>
        <v>0</v>
      </c>
      <c r="K22" s="459">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91</v>
      </c>
      <c r="B23" s="86"/>
      <c r="C23" s="87">
        <f t="shared" si="3"/>
        <v>4106107</v>
      </c>
      <c r="D23" s="88">
        <f t="shared" ref="D23:S23" si="12">SUM(D14:D22)</f>
        <v>236150</v>
      </c>
      <c r="E23" s="88">
        <f t="shared" si="12"/>
        <v>236680</v>
      </c>
      <c r="F23" s="88">
        <f t="shared" si="12"/>
        <v>310465</v>
      </c>
      <c r="G23" s="88">
        <f t="shared" si="12"/>
        <v>242490</v>
      </c>
      <c r="H23" s="88">
        <f t="shared" si="12"/>
        <v>242976</v>
      </c>
      <c r="I23" s="460">
        <f t="shared" si="12"/>
        <v>240176</v>
      </c>
      <c r="J23" s="460">
        <f t="shared" si="12"/>
        <v>244376</v>
      </c>
      <c r="K23" s="460">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81</v>
      </c>
      <c r="Z23" s="91">
        <f>C14/$C$23</f>
        <v>0.26059476774472756</v>
      </c>
    </row>
    <row r="24" spans="1:26" s="66" customFormat="1" ht="18.75" x14ac:dyDescent="0.3">
      <c r="A24" s="92" t="s">
        <v>92</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61">
        <f t="shared" si="13"/>
        <v>5748972.8998837993</v>
      </c>
      <c r="J24" s="461">
        <f t="shared" si="13"/>
        <v>6300293.3251400357</v>
      </c>
      <c r="K24" s="461">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82</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84</v>
      </c>
      <c r="Z25" s="91">
        <f t="shared" si="14"/>
        <v>4.4839308863602434E-2</v>
      </c>
    </row>
    <row r="26" spans="1:26" s="53" customFormat="1" x14ac:dyDescent="0.25">
      <c r="A26" s="716" t="s">
        <v>93</v>
      </c>
      <c r="B26" s="716"/>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85</v>
      </c>
      <c r="Z26" s="91">
        <f t="shared" si="14"/>
        <v>0.46759619269541686</v>
      </c>
    </row>
    <row r="27" spans="1:26" s="53" customFormat="1" x14ac:dyDescent="0.25">
      <c r="A27" s="717" t="s">
        <v>94</v>
      </c>
      <c r="B27" s="717"/>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86</v>
      </c>
      <c r="Z27" s="91">
        <f t="shared" si="14"/>
        <v>7.7932698782569476E-2</v>
      </c>
    </row>
    <row r="28" spans="1:26" x14ac:dyDescent="0.25">
      <c r="A28" s="718" t="s">
        <v>95</v>
      </c>
      <c r="B28" s="718"/>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88</v>
      </c>
      <c r="Z28" s="91">
        <f t="shared" si="14"/>
        <v>0</v>
      </c>
    </row>
    <row r="29" spans="1:26" x14ac:dyDescent="0.25">
      <c r="A29" s="716" t="s">
        <v>96</v>
      </c>
      <c r="B29" s="716"/>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67</v>
      </c>
      <c r="Z29" s="91">
        <f t="shared" si="14"/>
        <v>0</v>
      </c>
    </row>
    <row r="30" spans="1:26" s="59" customFormat="1" x14ac:dyDescent="0.25">
      <c r="A30" s="717" t="s">
        <v>97</v>
      </c>
      <c r="B30" s="717"/>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89</v>
      </c>
      <c r="Z30" s="91">
        <f t="shared" si="14"/>
        <v>1.3638222286949659E-2</v>
      </c>
    </row>
    <row r="31" spans="1:26" s="59" customFormat="1" x14ac:dyDescent="0.25">
      <c r="A31" s="718" t="s">
        <v>98</v>
      </c>
      <c r="B31" s="718"/>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c r="F33" s="174">
        <v>23</v>
      </c>
      <c r="G33" s="174">
        <v>23</v>
      </c>
      <c r="H33" s="174">
        <v>22</v>
      </c>
      <c r="I33" s="174"/>
      <c r="J33" s="174"/>
      <c r="K33" s="174"/>
      <c r="L33" s="174"/>
      <c r="M33" s="174">
        <v>21</v>
      </c>
      <c r="N33" s="174">
        <v>21</v>
      </c>
      <c r="O33" s="174">
        <v>21</v>
      </c>
      <c r="P33" s="174">
        <v>21</v>
      </c>
      <c r="Q33" s="174"/>
      <c r="R33" s="174">
        <v>21</v>
      </c>
      <c r="S33" s="174">
        <v>21</v>
      </c>
      <c r="Z33" s="369"/>
    </row>
    <row r="34" spans="1:26" s="59" customFormat="1" ht="18.75" x14ac:dyDescent="0.3">
      <c r="A34" s="57"/>
      <c r="B34" s="719" t="s">
        <v>437</v>
      </c>
      <c r="C34" s="173" t="s">
        <v>181</v>
      </c>
      <c r="D34" s="174">
        <v>499090</v>
      </c>
      <c r="E34" s="174"/>
      <c r="F34" s="174">
        <v>501600</v>
      </c>
      <c r="G34" s="174">
        <v>502890</v>
      </c>
      <c r="H34" s="174">
        <v>503340</v>
      </c>
      <c r="I34" s="174"/>
      <c r="J34" s="174"/>
      <c r="K34" s="174"/>
      <c r="L34" s="174"/>
      <c r="M34" s="174">
        <v>548230</v>
      </c>
      <c r="N34" s="174">
        <v>585080</v>
      </c>
      <c r="O34" s="174">
        <v>595060</v>
      </c>
      <c r="P34" s="174">
        <v>604720</v>
      </c>
      <c r="Q34" s="174"/>
      <c r="R34" s="174">
        <v>672420</v>
      </c>
      <c r="S34" s="174">
        <v>668140</v>
      </c>
      <c r="Y34" s="709">
        <f>C23</f>
        <v>4106107</v>
      </c>
      <c r="Z34" s="710"/>
    </row>
    <row r="35" spans="1:26" x14ac:dyDescent="0.25">
      <c r="A35" s="57"/>
      <c r="B35" s="719"/>
      <c r="C35" s="173" t="s">
        <v>104</v>
      </c>
      <c r="D35" s="174">
        <v>61780</v>
      </c>
      <c r="E35" s="174"/>
      <c r="F35" s="174">
        <v>62190</v>
      </c>
      <c r="G35" s="174">
        <v>64430</v>
      </c>
      <c r="H35" s="174">
        <v>64970</v>
      </c>
      <c r="I35" s="174"/>
      <c r="J35" s="174"/>
      <c r="K35" s="174"/>
      <c r="L35" s="174"/>
      <c r="M35" s="174">
        <v>68410</v>
      </c>
      <c r="N35" s="174">
        <v>68410</v>
      </c>
      <c r="O35" s="174">
        <v>69290</v>
      </c>
      <c r="P35" s="174">
        <v>69410</v>
      </c>
      <c r="Q35" s="174"/>
      <c r="R35" s="174">
        <v>71510</v>
      </c>
      <c r="S35" s="174">
        <v>71550</v>
      </c>
    </row>
    <row r="36" spans="1:26" x14ac:dyDescent="0.25">
      <c r="A36" s="57"/>
      <c r="B36" s="719"/>
      <c r="C36" s="173" t="s">
        <v>61</v>
      </c>
      <c r="D36" s="175" t="s">
        <v>622</v>
      </c>
      <c r="E36" s="175"/>
      <c r="F36" s="175" t="s">
        <v>580</v>
      </c>
      <c r="G36" s="175" t="s">
        <v>628</v>
      </c>
      <c r="H36" s="175" t="s">
        <v>634</v>
      </c>
      <c r="I36" s="175"/>
      <c r="J36" s="175"/>
      <c r="K36" s="175"/>
      <c r="L36" s="175"/>
      <c r="M36" s="175" t="s">
        <v>636</v>
      </c>
      <c r="N36" s="175" t="s">
        <v>639</v>
      </c>
      <c r="O36" s="175" t="s">
        <v>641</v>
      </c>
      <c r="P36" s="175" t="s">
        <v>645</v>
      </c>
      <c r="Q36" s="175"/>
      <c r="R36" s="175" t="s">
        <v>652</v>
      </c>
      <c r="S36" s="175" t="s">
        <v>653</v>
      </c>
    </row>
    <row r="37" spans="1:26" x14ac:dyDescent="0.25">
      <c r="A37" s="57"/>
      <c r="B37" s="719"/>
      <c r="C37" s="173" t="s">
        <v>210</v>
      </c>
      <c r="D37" s="176">
        <v>5.5</v>
      </c>
      <c r="E37" s="176"/>
      <c r="F37" s="176">
        <v>5.5</v>
      </c>
      <c r="G37" s="176">
        <v>5.5</v>
      </c>
      <c r="H37" s="176">
        <v>5.5</v>
      </c>
      <c r="I37" s="176"/>
      <c r="J37" s="176"/>
      <c r="K37" s="176"/>
      <c r="L37" s="176"/>
      <c r="M37" s="176">
        <v>5.5</v>
      </c>
      <c r="N37" s="176">
        <v>5.5</v>
      </c>
      <c r="O37" s="176">
        <v>5.75</v>
      </c>
      <c r="P37" s="176">
        <v>5.75</v>
      </c>
      <c r="Q37" s="176"/>
      <c r="R37" s="176">
        <v>6</v>
      </c>
      <c r="S37" s="176">
        <v>6</v>
      </c>
    </row>
    <row r="38" spans="1:26" x14ac:dyDescent="0.25">
      <c r="B38" s="719"/>
      <c r="C38" s="173" t="s">
        <v>211</v>
      </c>
      <c r="D38" s="176">
        <v>6.25</v>
      </c>
      <c r="E38" s="176"/>
      <c r="F38" s="176">
        <v>6.25</v>
      </c>
      <c r="G38" s="176">
        <v>6</v>
      </c>
      <c r="H38" s="176">
        <v>5.75</v>
      </c>
      <c r="I38" s="176"/>
      <c r="J38" s="176"/>
      <c r="K38" s="176"/>
      <c r="L38" s="176"/>
      <c r="M38" s="176">
        <v>5.75</v>
      </c>
      <c r="N38" s="176">
        <v>5.75</v>
      </c>
      <c r="O38" s="176">
        <v>5.75</v>
      </c>
      <c r="P38" s="176">
        <v>6</v>
      </c>
      <c r="Q38" s="176"/>
      <c r="R38" s="176">
        <v>6</v>
      </c>
      <c r="S38" s="176">
        <v>6</v>
      </c>
    </row>
    <row r="39" spans="1:26" x14ac:dyDescent="0.25">
      <c r="B39" s="719"/>
      <c r="C39" s="173" t="s">
        <v>257</v>
      </c>
      <c r="D39" s="176">
        <v>3.5</v>
      </c>
      <c r="E39" s="176"/>
      <c r="F39" s="176">
        <v>3.5</v>
      </c>
      <c r="G39" s="176">
        <v>3.5</v>
      </c>
      <c r="H39" s="176">
        <v>3.75</v>
      </c>
      <c r="I39" s="176"/>
      <c r="J39" s="176"/>
      <c r="K39" s="176"/>
      <c r="L39" s="176"/>
      <c r="M39" s="176">
        <v>4</v>
      </c>
      <c r="N39" s="176">
        <v>4</v>
      </c>
      <c r="O39" s="176">
        <v>4</v>
      </c>
      <c r="P39" s="176">
        <v>4</v>
      </c>
      <c r="Q39" s="176"/>
      <c r="R39" s="176">
        <v>4</v>
      </c>
      <c r="S39" s="176">
        <v>4.25</v>
      </c>
    </row>
    <row r="40" spans="1:26" ht="15" customHeight="1" x14ac:dyDescent="0.25">
      <c r="C40" s="164" t="s">
        <v>438</v>
      </c>
      <c r="D40" s="288">
        <f>D34/D35</f>
        <v>8.0785043703463906</v>
      </c>
      <c r="E40" s="288" t="e">
        <f>E34/E35</f>
        <v>#DIV/0!</v>
      </c>
      <c r="F40" s="288">
        <f t="shared" ref="F40:S40" si="22">F34/F35</f>
        <v>8.0656054027978783</v>
      </c>
      <c r="G40" s="288">
        <f t="shared" si="22"/>
        <v>7.8052149619742357</v>
      </c>
      <c r="H40" s="288">
        <f t="shared" si="22"/>
        <v>7.7472679698322304</v>
      </c>
      <c r="I40" s="288" t="e">
        <f t="shared" si="22"/>
        <v>#DIV/0!</v>
      </c>
      <c r="J40" s="288" t="e">
        <f t="shared" si="22"/>
        <v>#DIV/0!</v>
      </c>
      <c r="K40" s="288" t="e">
        <f t="shared" si="22"/>
        <v>#DIV/0!</v>
      </c>
      <c r="L40" s="288" t="e">
        <f t="shared" si="22"/>
        <v>#DIV/0!</v>
      </c>
      <c r="M40" s="288">
        <f t="shared" si="22"/>
        <v>8.013886858646396</v>
      </c>
      <c r="N40" s="288">
        <f t="shared" si="22"/>
        <v>8.5525507966671537</v>
      </c>
      <c r="O40" s="288">
        <f t="shared" si="22"/>
        <v>8.5879636311156009</v>
      </c>
      <c r="P40" s="288">
        <f t="shared" si="22"/>
        <v>8.7122892954905637</v>
      </c>
      <c r="Q40" s="288" t="e">
        <f t="shared" si="22"/>
        <v>#DIV/0!</v>
      </c>
      <c r="R40" s="288">
        <f t="shared" si="22"/>
        <v>9.4031603971472517</v>
      </c>
      <c r="S40" s="288">
        <f t="shared" si="22"/>
        <v>9.3380852550663871</v>
      </c>
    </row>
    <row r="41" spans="1:26" ht="15" customHeight="1" x14ac:dyDescent="0.25">
      <c r="D41" s="9"/>
      <c r="E41" s="449"/>
      <c r="G41" s="711"/>
      <c r="H41" s="711"/>
      <c r="I41" s="711"/>
      <c r="J41" s="711"/>
    </row>
    <row r="42" spans="1:26" x14ac:dyDescent="0.25">
      <c r="C42" s="4" t="s">
        <v>485</v>
      </c>
      <c r="D42" s="9">
        <v>85845</v>
      </c>
      <c r="E42" s="341">
        <v>92875</v>
      </c>
      <c r="F42" s="246">
        <v>97870</v>
      </c>
      <c r="G42" s="450">
        <v>101200</v>
      </c>
      <c r="H42" s="450">
        <v>103420</v>
      </c>
      <c r="I42" s="450">
        <v>104900</v>
      </c>
      <c r="J42" s="450">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20"/>
      <c r="H46" s="720"/>
      <c r="I46" s="720"/>
      <c r="J46" s="720"/>
      <c r="M46" s="383"/>
    </row>
    <row r="47" spans="1:26" x14ac:dyDescent="0.25">
      <c r="E47" s="106"/>
      <c r="G47" s="450"/>
      <c r="H47" s="450"/>
      <c r="I47" s="450"/>
      <c r="J47" s="450"/>
    </row>
    <row r="48" spans="1:26" x14ac:dyDescent="0.25">
      <c r="G48" s="720"/>
      <c r="H48" s="720"/>
      <c r="I48" s="720"/>
      <c r="J48" s="720"/>
      <c r="P48" s="383"/>
    </row>
    <row r="49" spans="7:10" ht="15" customHeight="1" x14ac:dyDescent="0.25">
      <c r="G49" s="720"/>
      <c r="H49" s="720"/>
      <c r="I49" s="720"/>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21" t="s">
        <v>620</v>
      </c>
      <c r="C2" s="722"/>
      <c r="D2" s="722"/>
      <c r="E2" s="722"/>
      <c r="F2" s="722"/>
      <c r="G2" s="723"/>
      <c r="I2" s="731" t="s">
        <v>621</v>
      </c>
      <c r="J2" s="731"/>
      <c r="K2" s="731"/>
      <c r="L2" s="731"/>
      <c r="M2" s="731"/>
      <c r="N2" s="731"/>
      <c r="O2" s="731"/>
      <c r="P2" s="731"/>
      <c r="Q2" s="731"/>
      <c r="R2" s="731"/>
      <c r="S2" s="731"/>
      <c r="T2" s="731"/>
    </row>
    <row r="3" spans="2:20" x14ac:dyDescent="0.25">
      <c r="B3" s="725" t="s">
        <v>102</v>
      </c>
      <c r="C3" s="726"/>
      <c r="D3" s="726"/>
      <c r="E3" s="726"/>
      <c r="F3" s="726"/>
      <c r="G3" s="727"/>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8" t="s">
        <v>113</v>
      </c>
      <c r="C4" s="729"/>
      <c r="D4" s="109"/>
      <c r="E4" s="730" t="s">
        <v>114</v>
      </c>
      <c r="F4" s="729"/>
      <c r="G4" s="109"/>
      <c r="I4" s="374" t="s">
        <v>115</v>
      </c>
      <c r="J4" s="375" t="s">
        <v>539</v>
      </c>
      <c r="K4" s="374">
        <f>1052640+300</f>
        <v>1052940</v>
      </c>
      <c r="L4" s="374">
        <v>0</v>
      </c>
      <c r="M4" s="374">
        <v>0</v>
      </c>
      <c r="N4" s="374">
        <v>0</v>
      </c>
      <c r="O4" s="376">
        <f t="shared" ref="O4:O5" si="0">IF(M4=0,0,M4-K4)-N4</f>
        <v>0</v>
      </c>
      <c r="P4" s="376">
        <f t="shared" ref="P4:P5" si="1">IF(M4=0,K4,0)</f>
        <v>1052940</v>
      </c>
      <c r="Q4" s="377"/>
      <c r="R4" s="378"/>
      <c r="S4" s="378"/>
      <c r="T4" s="379"/>
    </row>
    <row r="5" spans="2:20" x14ac:dyDescent="0.25">
      <c r="B5" s="113"/>
      <c r="C5" s="114"/>
      <c r="D5" s="201"/>
      <c r="E5" s="113"/>
      <c r="F5" s="114"/>
      <c r="G5" s="115"/>
      <c r="I5" s="396" t="s">
        <v>491</v>
      </c>
      <c r="J5" s="397" t="s">
        <v>626</v>
      </c>
      <c r="K5" s="396">
        <v>0</v>
      </c>
      <c r="L5" s="396">
        <v>0</v>
      </c>
      <c r="M5" s="396">
        <v>11000</v>
      </c>
      <c r="N5" s="396">
        <f>M5*0.05</f>
        <v>550</v>
      </c>
      <c r="O5" s="398">
        <f t="shared" si="0"/>
        <v>10450</v>
      </c>
      <c r="P5" s="398">
        <f t="shared" si="1"/>
        <v>0</v>
      </c>
      <c r="Q5" s="399"/>
      <c r="R5" s="400"/>
      <c r="S5" s="400">
        <v>42197</v>
      </c>
      <c r="T5" s="401"/>
    </row>
    <row r="6" spans="2:20" x14ac:dyDescent="0.25">
      <c r="B6" s="116" t="s">
        <v>116</v>
      </c>
      <c r="C6" s="117">
        <f>SUM(C7:C9)</f>
        <v>4935685</v>
      </c>
      <c r="D6" s="140">
        <f>C6/$C$34</f>
        <v>0.23704025225199579</v>
      </c>
      <c r="E6" s="116" t="s">
        <v>117</v>
      </c>
      <c r="F6" s="117">
        <f ca="1">F7+F8+F9</f>
        <v>10929511.37116595</v>
      </c>
      <c r="G6" s="118">
        <f ca="1">F6/$F$34</f>
        <v>0.52489859713742526</v>
      </c>
      <c r="I6" s="396" t="s">
        <v>491</v>
      </c>
      <c r="J6" s="397" t="s">
        <v>635</v>
      </c>
      <c r="K6" s="396">
        <v>0</v>
      </c>
      <c r="L6" s="396">
        <v>0</v>
      </c>
      <c r="M6" s="396">
        <v>1000</v>
      </c>
      <c r="N6" s="396">
        <f>M6*0.05</f>
        <v>50</v>
      </c>
      <c r="O6" s="398">
        <f t="shared" ref="O6" si="2">IF(M6=0,0,M6-K6)-N6</f>
        <v>950</v>
      </c>
      <c r="P6" s="398">
        <f t="shared" ref="P6" si="3">IF(M6=0,K6,0)</f>
        <v>0</v>
      </c>
      <c r="Q6" s="399"/>
      <c r="R6" s="400"/>
      <c r="S6" s="400">
        <v>42216</v>
      </c>
      <c r="T6" s="401"/>
    </row>
    <row r="7" spans="2:20" x14ac:dyDescent="0.25">
      <c r="B7" s="119" t="s">
        <v>84</v>
      </c>
      <c r="C7" s="120">
        <f>EconomiaT47!C16+'A-P_T46'!C7</f>
        <v>2866885</v>
      </c>
      <c r="D7" s="202">
        <f>C7/$C$34</f>
        <v>0.13768446397561088</v>
      </c>
      <c r="E7" s="203" t="s">
        <v>118</v>
      </c>
      <c r="F7" s="204">
        <v>300000</v>
      </c>
      <c r="G7" s="121">
        <f ca="1">F7/$F$34</f>
        <v>1.4407741919429368E-2</v>
      </c>
      <c r="I7" s="396" t="s">
        <v>491</v>
      </c>
      <c r="J7" s="397" t="s">
        <v>637</v>
      </c>
      <c r="K7" s="396">
        <v>0</v>
      </c>
      <c r="L7" s="396">
        <v>0</v>
      </c>
      <c r="M7" s="396">
        <v>100000</v>
      </c>
      <c r="N7" s="396">
        <f>M7*0.05</f>
        <v>5000</v>
      </c>
      <c r="O7" s="398">
        <f t="shared" ref="O7" si="4">IF(M7=0,0,M7-K7)-N7</f>
        <v>95000</v>
      </c>
      <c r="P7" s="398">
        <f t="shared" ref="P7" si="5">IF(M7=0,K7,0)</f>
        <v>0</v>
      </c>
      <c r="Q7" s="399"/>
      <c r="R7" s="400"/>
      <c r="S7" s="400">
        <v>42235</v>
      </c>
      <c r="T7" s="401"/>
    </row>
    <row r="8" spans="2:20" x14ac:dyDescent="0.25">
      <c r="B8" s="119" t="s">
        <v>67</v>
      </c>
      <c r="C8" s="120">
        <f>'A-P_T46'!C8+'A-P_T46'!C9</f>
        <v>2068800</v>
      </c>
      <c r="D8" s="202">
        <f>C8/$C$34</f>
        <v>9.9355788276384915E-2</v>
      </c>
      <c r="E8" s="203" t="s">
        <v>261</v>
      </c>
      <c r="F8" s="204">
        <f>'A-P_T46'!F9+'A-P_T46'!F8</f>
        <v>7570713</v>
      </c>
      <c r="G8" s="121">
        <f ca="1">F8/$F$34</f>
        <v>0.36358959683356284</v>
      </c>
      <c r="I8" s="396" t="s">
        <v>491</v>
      </c>
      <c r="J8" s="397" t="s">
        <v>640</v>
      </c>
      <c r="K8" s="396">
        <v>0</v>
      </c>
      <c r="L8" s="396">
        <v>0</v>
      </c>
      <c r="M8" s="396">
        <v>2000</v>
      </c>
      <c r="N8" s="396">
        <f>M8*0.05</f>
        <v>100</v>
      </c>
      <c r="O8" s="398">
        <f t="shared" ref="O8" si="6">IF(M8=0,0,M8-K8)-N8</f>
        <v>1900</v>
      </c>
      <c r="P8" s="398">
        <f t="shared" ref="P8" si="7">IF(M8=0,K8,0)</f>
        <v>0</v>
      </c>
      <c r="Q8" s="399"/>
      <c r="R8" s="400"/>
      <c r="S8" s="400">
        <v>42265</v>
      </c>
      <c r="T8" s="401"/>
    </row>
    <row r="9" spans="2:20" x14ac:dyDescent="0.25">
      <c r="B9" s="122" t="s">
        <v>119</v>
      </c>
      <c r="C9" s="123">
        <v>0</v>
      </c>
      <c r="D9" s="202">
        <f>C9/$C$34</f>
        <v>0</v>
      </c>
      <c r="E9" s="203" t="s">
        <v>545</v>
      </c>
      <c r="F9" s="204">
        <f ca="1">'A-P_T46'!F11-EconomiaT46!C24+EconomiaT45!C6+262795</f>
        <v>3058798.3711659508</v>
      </c>
      <c r="G9" s="121">
        <f ca="1">F9/$F$34</f>
        <v>0.14690125838443313</v>
      </c>
    </row>
    <row r="10" spans="2:20" x14ac:dyDescent="0.25">
      <c r="B10" s="124"/>
      <c r="C10" s="125"/>
      <c r="D10" s="140"/>
      <c r="E10" s="205"/>
      <c r="F10" s="125"/>
      <c r="G10" s="118"/>
    </row>
    <row r="11" spans="2:20" x14ac:dyDescent="0.25">
      <c r="B11" s="116" t="s">
        <v>100</v>
      </c>
      <c r="C11" s="117">
        <f>SUM(C12:C15)</f>
        <v>1052940</v>
      </c>
      <c r="D11" s="140">
        <f>C11/$C$34</f>
        <v>5.0568292588813193E-2</v>
      </c>
      <c r="E11" s="116" t="s">
        <v>107</v>
      </c>
      <c r="F11" s="117">
        <f ca="1">SUM(F12:F17)+C9</f>
        <v>5786520.287178494</v>
      </c>
      <c r="G11" s="118">
        <f t="shared" ref="G11:G17" ca="1" si="8">F11/$F$34</f>
        <v>0.27790230303070018</v>
      </c>
    </row>
    <row r="12" spans="2:20" x14ac:dyDescent="0.25">
      <c r="B12" s="129" t="s">
        <v>121</v>
      </c>
      <c r="C12" s="130">
        <f>SUMIF(I4:I41,"S",$P$4:$P$41)</f>
        <v>0</v>
      </c>
      <c r="D12" s="202">
        <f>C12/$C$34</f>
        <v>0</v>
      </c>
      <c r="E12" s="49" t="s">
        <v>122</v>
      </c>
      <c r="F12" s="131">
        <f ca="1">SUMIF(I4:I96,"J",$O$4:$O$36)</f>
        <v>0</v>
      </c>
      <c r="G12" s="121">
        <f t="shared" ca="1" si="8"/>
        <v>0</v>
      </c>
    </row>
    <row r="13" spans="2:20" x14ac:dyDescent="0.25">
      <c r="B13" s="129" t="s">
        <v>100</v>
      </c>
      <c r="C13" s="130">
        <f>SUMIF(I4:I36,"J",$P$4:$P$36)</f>
        <v>1052940</v>
      </c>
      <c r="D13" s="202">
        <f>C13/$C$34</f>
        <v>5.0568292588813193E-2</v>
      </c>
      <c r="E13" s="49" t="s">
        <v>123</v>
      </c>
      <c r="F13" s="131">
        <f ca="1">SUMIF(I4:I65,"S",$O$4:$O$36)</f>
        <v>0</v>
      </c>
      <c r="G13" s="121">
        <f t="shared" ca="1" si="8"/>
        <v>0</v>
      </c>
    </row>
    <row r="14" spans="2:20" x14ac:dyDescent="0.25">
      <c r="B14" s="129" t="s">
        <v>99</v>
      </c>
      <c r="C14" s="130">
        <f>SUMIF(I4:I36,"E",$P$4:$P$36)</f>
        <v>0</v>
      </c>
      <c r="D14" s="202">
        <f>C14/$C$34</f>
        <v>0</v>
      </c>
      <c r="E14" s="49" t="s">
        <v>124</v>
      </c>
      <c r="F14" s="131">
        <f>SUMIF(I4:I16,"C",$O$4:$O$36)</f>
        <v>108300</v>
      </c>
      <c r="G14" s="121">
        <f t="shared" ca="1" si="8"/>
        <v>5.2011948329140018E-3</v>
      </c>
    </row>
    <row r="15" spans="2:20" x14ac:dyDescent="0.25">
      <c r="B15" s="129" t="s">
        <v>125</v>
      </c>
      <c r="C15" s="130">
        <f>SUMIF(I4:I36,"M",$P$4:$P$36)</f>
        <v>0</v>
      </c>
      <c r="D15" s="202">
        <f>C15/$C$34</f>
        <v>0</v>
      </c>
      <c r="E15" s="49" t="s">
        <v>126</v>
      </c>
      <c r="F15" s="131">
        <f>SUMIF(I4:I16,"E",$O$4:$O$36)</f>
        <v>0</v>
      </c>
      <c r="G15" s="121">
        <f t="shared" ca="1" si="8"/>
        <v>0</v>
      </c>
    </row>
    <row r="16" spans="2:20" x14ac:dyDescent="0.25">
      <c r="B16" s="132"/>
      <c r="C16" s="133"/>
      <c r="D16" s="140"/>
      <c r="E16" s="49" t="s">
        <v>127</v>
      </c>
      <c r="F16" s="131">
        <f>SUMIF(I4:I16,"M",$O$4:$O$36)</f>
        <v>0</v>
      </c>
      <c r="G16" s="121">
        <f t="shared" ca="1" si="8"/>
        <v>0</v>
      </c>
    </row>
    <row r="17" spans="2:7" x14ac:dyDescent="0.25">
      <c r="B17" s="116" t="s">
        <v>74</v>
      </c>
      <c r="C17" s="134">
        <f>C18+C19</f>
        <v>108300</v>
      </c>
      <c r="D17" s="140">
        <f>C17/$C$34</f>
        <v>5.2011948329140018E-3</v>
      </c>
      <c r="E17" s="135" t="s">
        <v>128</v>
      </c>
      <c r="F17" s="136">
        <f>C22-F27+EconomiaT47!C24-EconomiaT47!C5</f>
        <v>5678220.287178494</v>
      </c>
      <c r="G17" s="121">
        <f t="shared" ca="1" si="8"/>
        <v>0.27270110819778615</v>
      </c>
    </row>
    <row r="18" spans="2:7" x14ac:dyDescent="0.25">
      <c r="B18" s="129" t="s">
        <v>74</v>
      </c>
      <c r="C18" s="130">
        <f>SUM(M4:M15)</f>
        <v>114000</v>
      </c>
      <c r="D18" s="202">
        <f>C18/$C$34</f>
        <v>5.4749419293831595E-3</v>
      </c>
      <c r="E18" s="124"/>
      <c r="F18" s="125"/>
      <c r="G18" s="137"/>
    </row>
    <row r="19" spans="2:7" x14ac:dyDescent="0.25">
      <c r="B19" s="122" t="s">
        <v>76</v>
      </c>
      <c r="C19" s="123">
        <f>SUM(N4:N47)*-1</f>
        <v>-5700</v>
      </c>
      <c r="D19" s="202">
        <f>C19/$C$34</f>
        <v>-2.7374709646915799E-4</v>
      </c>
      <c r="E19" s="116" t="s">
        <v>129</v>
      </c>
      <c r="F19" s="134">
        <f>F20+F21</f>
        <v>0</v>
      </c>
      <c r="G19" s="118">
        <f ca="1">F19/$F$34</f>
        <v>0</v>
      </c>
    </row>
    <row r="20" spans="2:7" x14ac:dyDescent="0.25">
      <c r="B20" s="132"/>
      <c r="C20" s="133"/>
      <c r="D20" s="202"/>
      <c r="E20" s="206" t="s">
        <v>88</v>
      </c>
      <c r="F20" s="207">
        <f>EconomiaT47!C19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6799009.6435892479</v>
      </c>
      <c r="D22" s="140">
        <f t="shared" ref="D22:D27" si="9">C22/$C$34</f>
        <v>0.32652792084181775</v>
      </c>
      <c r="E22" s="116"/>
      <c r="F22" s="117"/>
      <c r="G22" s="118"/>
    </row>
    <row r="23" spans="2:7" x14ac:dyDescent="0.25">
      <c r="B23" s="138" t="s">
        <v>69</v>
      </c>
      <c r="C23" s="139">
        <f>EconomiaT47!C11</f>
        <v>82440</v>
      </c>
      <c r="D23" s="202">
        <f t="shared" si="9"/>
        <v>3.9592474794591902E-3</v>
      </c>
      <c r="E23" s="116" t="s">
        <v>264</v>
      </c>
      <c r="F23" s="117">
        <f>SUM(F24:F25)</f>
        <v>184115</v>
      </c>
      <c r="G23" s="118">
        <f ca="1">F23/$F$34</f>
        <v>8.8422713449857922E-3</v>
      </c>
    </row>
    <row r="24" spans="2:7" x14ac:dyDescent="0.25">
      <c r="B24" s="138" t="s">
        <v>79</v>
      </c>
      <c r="C24" s="139">
        <f>EconomiaT47!C12</f>
        <v>25000</v>
      </c>
      <c r="D24" s="202">
        <f t="shared" si="9"/>
        <v>1.2006451599524473E-3</v>
      </c>
      <c r="E24" s="206" t="s">
        <v>84</v>
      </c>
      <c r="F24" s="209">
        <f>EconomiaT47!C16</f>
        <v>184115</v>
      </c>
      <c r="G24" s="121">
        <f ca="1">F24/$F$34</f>
        <v>8.8422713449857922E-3</v>
      </c>
    </row>
    <row r="25" spans="2:7" x14ac:dyDescent="0.25">
      <c r="B25" s="138" t="s">
        <v>71</v>
      </c>
      <c r="C25" s="139">
        <f>EconomiaT47!C6</f>
        <v>4582612</v>
      </c>
      <c r="D25" s="202">
        <f t="shared" si="9"/>
        <v>0.22008363670960016</v>
      </c>
      <c r="E25" s="206" t="s">
        <v>67</v>
      </c>
      <c r="F25" s="209">
        <f>EconomiaT47!C20</f>
        <v>0</v>
      </c>
      <c r="G25" s="121">
        <f ca="1">F25/$F$34</f>
        <v>0</v>
      </c>
    </row>
    <row r="26" spans="2:7" x14ac:dyDescent="0.25">
      <c r="B26" s="138" t="s">
        <v>72</v>
      </c>
      <c r="C26" s="139">
        <f>EconomiaT47!C7</f>
        <v>2087517.6435892477</v>
      </c>
      <c r="D26" s="202">
        <f t="shared" si="9"/>
        <v>0.10025471820363072</v>
      </c>
      <c r="E26" s="116"/>
      <c r="F26" s="117"/>
      <c r="G26" s="118"/>
    </row>
    <row r="27" spans="2:7" x14ac:dyDescent="0.25">
      <c r="B27" s="138" t="s">
        <v>76</v>
      </c>
      <c r="C27" s="139">
        <f>EconomiaT47!C10</f>
        <v>21440</v>
      </c>
      <c r="D27" s="202">
        <f t="shared" si="9"/>
        <v>1.0296732891752188E-3</v>
      </c>
      <c r="E27" s="116" t="s">
        <v>265</v>
      </c>
      <c r="F27" s="117">
        <f>SUM(F28:F33)</f>
        <v>3921992</v>
      </c>
      <c r="G27" s="118">
        <f t="shared" ref="G27:G33" ca="1" si="10">F27/$F$34</f>
        <v>0.18835682848688873</v>
      </c>
    </row>
    <row r="28" spans="2:7" x14ac:dyDescent="0.25">
      <c r="B28" s="116"/>
      <c r="C28" s="117"/>
      <c r="D28" s="140"/>
      <c r="E28" s="206" t="s">
        <v>132</v>
      </c>
      <c r="F28" s="209">
        <f>EconomiaT47!C14</f>
        <v>1070030</v>
      </c>
      <c r="G28" s="121">
        <f t="shared" ca="1" si="10"/>
        <v>5.1389053620156687E-2</v>
      </c>
    </row>
    <row r="29" spans="2:7" x14ac:dyDescent="0.25">
      <c r="B29" s="116" t="s">
        <v>133</v>
      </c>
      <c r="C29" s="117">
        <f>EconomiaT47!S24</f>
        <v>7926204.0147551969</v>
      </c>
      <c r="D29" s="140">
        <f>C29/$C$34</f>
        <v>0.38066233948445932</v>
      </c>
      <c r="E29" s="206" t="s">
        <v>82</v>
      </c>
      <c r="F29" s="209">
        <f>EconomiaT47!C15</f>
        <v>555962</v>
      </c>
      <c r="G29" s="121">
        <f t="shared" ca="1" si="10"/>
        <v>2.6700523376699301E-2</v>
      </c>
    </row>
    <row r="30" spans="2:7" x14ac:dyDescent="0.25">
      <c r="B30" s="116"/>
      <c r="C30" s="117"/>
      <c r="D30" s="140"/>
      <c r="E30" s="206" t="s">
        <v>85</v>
      </c>
      <c r="F30" s="209">
        <f>EconomiaT47!C17</f>
        <v>1920000</v>
      </c>
      <c r="G30" s="121">
        <f t="shared" ca="1" si="10"/>
        <v>9.220954828434795E-2</v>
      </c>
    </row>
    <row r="31" spans="2:7" x14ac:dyDescent="0.25">
      <c r="B31" s="116"/>
      <c r="C31" s="117"/>
      <c r="D31" s="140"/>
      <c r="E31" s="206" t="s">
        <v>86</v>
      </c>
      <c r="F31" s="209">
        <f>EconomiaT47!C18</f>
        <v>320000</v>
      </c>
      <c r="G31" s="121">
        <f t="shared" ca="1" si="10"/>
        <v>1.5368258047391324E-2</v>
      </c>
    </row>
    <row r="32" spans="2:7" x14ac:dyDescent="0.25">
      <c r="B32" s="116"/>
      <c r="C32" s="117"/>
      <c r="D32" s="140"/>
      <c r="E32" s="206" t="s">
        <v>89</v>
      </c>
      <c r="F32" s="209">
        <f>EconomiaT47!C21</f>
        <v>56000</v>
      </c>
      <c r="G32" s="121">
        <f t="shared" ca="1" si="10"/>
        <v>2.689445158293482E-3</v>
      </c>
    </row>
    <row r="33" spans="2:8" x14ac:dyDescent="0.25">
      <c r="B33" s="141"/>
      <c r="C33" s="142"/>
      <c r="D33" s="140"/>
      <c r="E33" s="206" t="s">
        <v>90</v>
      </c>
      <c r="F33" s="209">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0" priority="71" operator="lessThan">
      <formula>0</formula>
    </cfRule>
    <cfRule type="cellIs" dxfId="159" priority="72" operator="greaterThan">
      <formula>0</formula>
    </cfRule>
  </conditionalFormatting>
  <conditionalFormatting sqref="O4">
    <cfRule type="cellIs" dxfId="158" priority="69" operator="lessThan">
      <formula>0</formula>
    </cfRule>
    <cfRule type="cellIs" dxfId="157" priority="70" operator="greaterThan">
      <formula>0</formula>
    </cfRule>
  </conditionalFormatting>
  <conditionalFormatting sqref="T4">
    <cfRule type="cellIs" dxfId="156" priority="67" operator="lessThan">
      <formula>0</formula>
    </cfRule>
    <cfRule type="cellIs" dxfId="155" priority="68" operator="greaterThan">
      <formula>0</formula>
    </cfRule>
  </conditionalFormatting>
  <conditionalFormatting sqref="T4">
    <cfRule type="cellIs" dxfId="154" priority="65" operator="lessThan">
      <formula>0</formula>
    </cfRule>
    <cfRule type="cellIs" dxfId="153" priority="66" operator="greaterThan">
      <formula>0</formula>
    </cfRule>
  </conditionalFormatting>
  <conditionalFormatting sqref="O4 T4 Q4">
    <cfRule type="cellIs" dxfId="152" priority="63" operator="lessThan">
      <formula>0</formula>
    </cfRule>
    <cfRule type="cellIs" dxfId="151" priority="64" operator="greaterThan">
      <formula>0</formula>
    </cfRule>
  </conditionalFormatting>
  <conditionalFormatting sqref="T4">
    <cfRule type="cellIs" dxfId="150" priority="61" operator="lessThan">
      <formula>0</formula>
    </cfRule>
    <cfRule type="cellIs" dxfId="149" priority="62" operator="greaterThan">
      <formula>0</formula>
    </cfRule>
  </conditionalFormatting>
  <conditionalFormatting sqref="O5">
    <cfRule type="cellIs" dxfId="148" priority="39" operator="lessThan">
      <formula>0</formula>
    </cfRule>
    <cfRule type="cellIs" dxfId="147" priority="40" operator="greaterThan">
      <formula>0</formula>
    </cfRule>
  </conditionalFormatting>
  <conditionalFormatting sqref="T5">
    <cfRule type="cellIs" dxfId="146" priority="37" operator="lessThan">
      <formula>0</formula>
    </cfRule>
    <cfRule type="cellIs" dxfId="145" priority="38" operator="greaterThan">
      <formula>0</formula>
    </cfRule>
  </conditionalFormatting>
  <conditionalFormatting sqref="T5">
    <cfRule type="cellIs" dxfId="144" priority="35" operator="lessThan">
      <formula>0</formula>
    </cfRule>
    <cfRule type="cellIs" dxfId="143" priority="36" operator="greaterThan">
      <formula>0</formula>
    </cfRule>
  </conditionalFormatting>
  <conditionalFormatting sqref="O5 T5 Q5">
    <cfRule type="cellIs" dxfId="142" priority="33" operator="lessThan">
      <formula>0</formula>
    </cfRule>
    <cfRule type="cellIs" dxfId="141" priority="34" operator="greaterThan">
      <formula>0</formula>
    </cfRule>
  </conditionalFormatting>
  <conditionalFormatting sqref="T5">
    <cfRule type="cellIs" dxfId="140" priority="31" operator="lessThan">
      <formula>0</formula>
    </cfRule>
    <cfRule type="cellIs" dxfId="139" priority="32" operator="greaterThan">
      <formula>0</formula>
    </cfRule>
  </conditionalFormatting>
  <conditionalFormatting sqref="O6">
    <cfRule type="cellIs" dxfId="138" priority="29" operator="lessThan">
      <formula>0</formula>
    </cfRule>
    <cfRule type="cellIs" dxfId="137" priority="30" operator="greaterThan">
      <formula>0</formula>
    </cfRule>
  </conditionalFormatting>
  <conditionalFormatting sqref="T6">
    <cfRule type="cellIs" dxfId="136" priority="27" operator="lessThan">
      <formula>0</formula>
    </cfRule>
    <cfRule type="cellIs" dxfId="135" priority="28" operator="greaterThan">
      <formula>0</formula>
    </cfRule>
  </conditionalFormatting>
  <conditionalFormatting sqref="T6">
    <cfRule type="cellIs" dxfId="134" priority="25" operator="lessThan">
      <formula>0</formula>
    </cfRule>
    <cfRule type="cellIs" dxfId="133" priority="26" operator="greaterThan">
      <formula>0</formula>
    </cfRule>
  </conditionalFormatting>
  <conditionalFormatting sqref="O6 T6 Q6">
    <cfRule type="cellIs" dxfId="132" priority="23" operator="lessThan">
      <formula>0</formula>
    </cfRule>
    <cfRule type="cellIs" dxfId="131" priority="24" operator="greaterThan">
      <formula>0</formula>
    </cfRule>
  </conditionalFormatting>
  <conditionalFormatting sqref="T6">
    <cfRule type="cellIs" dxfId="130" priority="21" operator="lessThan">
      <formula>0</formula>
    </cfRule>
    <cfRule type="cellIs" dxfId="129" priority="22" operator="greaterThan">
      <formula>0</formula>
    </cfRule>
  </conditionalFormatting>
  <conditionalFormatting sqref="O7">
    <cfRule type="cellIs" dxfId="128" priority="19" operator="lessThan">
      <formula>0</formula>
    </cfRule>
    <cfRule type="cellIs" dxfId="127" priority="20" operator="greaterThan">
      <formula>0</formula>
    </cfRule>
  </conditionalFormatting>
  <conditionalFormatting sqref="T7">
    <cfRule type="cellIs" dxfId="126" priority="17" operator="lessThan">
      <formula>0</formula>
    </cfRule>
    <cfRule type="cellIs" dxfId="125" priority="18" operator="greaterThan">
      <formula>0</formula>
    </cfRule>
  </conditionalFormatting>
  <conditionalFormatting sqref="T7">
    <cfRule type="cellIs" dxfId="124" priority="15" operator="lessThan">
      <formula>0</formula>
    </cfRule>
    <cfRule type="cellIs" dxfId="123" priority="16" operator="greaterThan">
      <formula>0</formula>
    </cfRule>
  </conditionalFormatting>
  <conditionalFormatting sqref="O7 T7 Q7">
    <cfRule type="cellIs" dxfId="122" priority="13" operator="lessThan">
      <formula>0</formula>
    </cfRule>
    <cfRule type="cellIs" dxfId="121" priority="14" operator="greaterThan">
      <formula>0</formula>
    </cfRule>
  </conditionalFormatting>
  <conditionalFormatting sqref="T7">
    <cfRule type="cellIs" dxfId="120" priority="11" operator="lessThan">
      <formula>0</formula>
    </cfRule>
    <cfRule type="cellIs" dxfId="119" priority="12" operator="greaterThan">
      <formula>0</formula>
    </cfRule>
  </conditionalFormatting>
  <conditionalFormatting sqref="O8">
    <cfRule type="cellIs" dxfId="118" priority="9" operator="lessThan">
      <formula>0</formula>
    </cfRule>
    <cfRule type="cellIs" dxfId="117" priority="10" operator="greaterThan">
      <formula>0</formula>
    </cfRule>
  </conditionalFormatting>
  <conditionalFormatting sqref="T8">
    <cfRule type="cellIs" dxfId="116" priority="7" operator="lessThan">
      <formula>0</formula>
    </cfRule>
    <cfRule type="cellIs" dxfId="115" priority="8" operator="greaterThan">
      <formula>0</formula>
    </cfRule>
  </conditionalFormatting>
  <conditionalFormatting sqref="T8">
    <cfRule type="cellIs" dxfId="114" priority="5" operator="lessThan">
      <formula>0</formula>
    </cfRule>
    <cfRule type="cellIs" dxfId="113" priority="6" operator="greaterThan">
      <formula>0</formula>
    </cfRule>
  </conditionalFormatting>
  <conditionalFormatting sqref="O8 T8 Q8">
    <cfRule type="cellIs" dxfId="112" priority="3" operator="lessThan">
      <formula>0</formula>
    </cfRule>
    <cfRule type="cellIs" dxfId="111" priority="4" operator="greaterThan">
      <formula>0</formula>
    </cfRule>
  </conditionalFormatting>
  <conditionalFormatting sqref="T8">
    <cfRule type="cellIs" dxfId="110" priority="1" operator="lessThan">
      <formula>0</formula>
    </cfRule>
    <cfRule type="cellIs" dxfId="109"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64"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5" t="s">
        <v>40</v>
      </c>
      <c r="Q3" s="364" t="s">
        <v>41</v>
      </c>
      <c r="R3" s="364" t="s">
        <v>42</v>
      </c>
      <c r="S3" s="364" t="s">
        <v>43</v>
      </c>
    </row>
    <row r="4" spans="1:26" s="59" customFormat="1" x14ac:dyDescent="0.25">
      <c r="A4" s="57"/>
      <c r="B4" s="60"/>
      <c r="C4" s="60" t="s">
        <v>69</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12">
        <f t="shared" si="1"/>
        <v>2735</v>
      </c>
      <c r="Q4" s="61">
        <f t="shared" si="1"/>
        <v>2737</v>
      </c>
      <c r="R4" s="61">
        <f t="shared" si="1"/>
        <v>2737</v>
      </c>
      <c r="S4" s="61">
        <f t="shared" si="1"/>
        <v>2743</v>
      </c>
    </row>
    <row r="5" spans="1:26" s="66" customFormat="1" ht="18.75" x14ac:dyDescent="0.3">
      <c r="A5" s="62" t="s">
        <v>70</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71</v>
      </c>
      <c r="B6" s="67" t="s">
        <v>71</v>
      </c>
      <c r="C6" s="68">
        <f t="shared" ref="C6:C23" si="3">SUM(D6:S6)</f>
        <v>3813690</v>
      </c>
      <c r="D6" s="69">
        <v>34356</v>
      </c>
      <c r="E6" s="69">
        <v>109848</v>
      </c>
      <c r="F6" s="69">
        <v>464563</v>
      </c>
      <c r="G6" s="69">
        <v>24254</v>
      </c>
      <c r="H6" s="69">
        <v>367992</v>
      </c>
      <c r="I6" s="69">
        <v>61922</v>
      </c>
      <c r="J6" s="69">
        <v>366748</v>
      </c>
      <c r="K6" s="69">
        <v>539986</v>
      </c>
      <c r="L6" s="69">
        <v>11949</v>
      </c>
      <c r="M6" s="463">
        <v>8310</v>
      </c>
      <c r="N6" s="463">
        <v>461286</v>
      </c>
      <c r="O6" s="463">
        <v>19549</v>
      </c>
      <c r="P6" s="70">
        <f>480679+20603</f>
        <v>501282</v>
      </c>
      <c r="Q6" s="69">
        <v>20795</v>
      </c>
      <c r="R6" s="69">
        <f>19738+513169</f>
        <v>532907</v>
      </c>
      <c r="S6" s="69">
        <v>287943</v>
      </c>
      <c r="Y6" s="67" t="s">
        <v>71</v>
      </c>
      <c r="Z6" s="71">
        <f>C6/$C$13</f>
        <v>0.52848823311357396</v>
      </c>
    </row>
    <row r="7" spans="1:26" x14ac:dyDescent="0.25">
      <c r="A7" s="67" t="s">
        <v>72</v>
      </c>
      <c r="B7" s="67" t="s">
        <v>72</v>
      </c>
      <c r="C7" s="68">
        <f t="shared" si="3"/>
        <v>2830725</v>
      </c>
      <c r="D7" s="72">
        <v>108785</v>
      </c>
      <c r="E7" s="72">
        <v>141530</v>
      </c>
      <c r="F7" s="72">
        <v>162435</v>
      </c>
      <c r="G7" s="72">
        <v>174460</v>
      </c>
      <c r="H7" s="72">
        <v>180380</v>
      </c>
      <c r="I7" s="72">
        <v>183525</v>
      </c>
      <c r="J7" s="72">
        <v>185005</v>
      </c>
      <c r="K7" s="72">
        <v>185930</v>
      </c>
      <c r="L7" s="72">
        <v>186900</v>
      </c>
      <c r="M7" s="457">
        <v>187500</v>
      </c>
      <c r="N7" s="558">
        <v>187965</v>
      </c>
      <c r="O7" s="558">
        <v>188520</v>
      </c>
      <c r="P7" s="70">
        <v>189260</v>
      </c>
      <c r="Q7" s="72">
        <v>189400</v>
      </c>
      <c r="R7" s="72">
        <v>189500</v>
      </c>
      <c r="S7" s="72">
        <v>189630</v>
      </c>
      <c r="Y7" s="67" t="s">
        <v>72</v>
      </c>
      <c r="Z7" s="71">
        <f t="shared" ref="Z7:Z12" si="4">C7/$C$13</f>
        <v>0.39227227532400943</v>
      </c>
    </row>
    <row r="8" spans="1:26" x14ac:dyDescent="0.25">
      <c r="A8" s="67" t="s">
        <v>73</v>
      </c>
      <c r="B8" s="67" t="s">
        <v>74</v>
      </c>
      <c r="C8" s="68">
        <f t="shared" si="3"/>
        <v>0</v>
      </c>
      <c r="D8" s="69">
        <v>0</v>
      </c>
      <c r="E8" s="69">
        <v>0</v>
      </c>
      <c r="F8" s="69">
        <v>0</v>
      </c>
      <c r="G8" s="69"/>
      <c r="H8" s="69">
        <v>0</v>
      </c>
      <c r="I8" s="69">
        <v>0</v>
      </c>
      <c r="J8" s="69">
        <v>0</v>
      </c>
      <c r="K8" s="69">
        <v>0</v>
      </c>
      <c r="L8" s="69"/>
      <c r="M8" s="456">
        <v>0</v>
      </c>
      <c r="N8" s="463">
        <v>0</v>
      </c>
      <c r="O8" s="463">
        <v>0</v>
      </c>
      <c r="P8" s="70">
        <v>0</v>
      </c>
      <c r="Q8" s="69"/>
      <c r="R8" s="69">
        <v>0</v>
      </c>
      <c r="S8" s="69">
        <v>0</v>
      </c>
      <c r="Y8" s="67" t="s">
        <v>74</v>
      </c>
      <c r="Z8" s="71">
        <f t="shared" si="4"/>
        <v>0</v>
      </c>
    </row>
    <row r="9" spans="1:26" x14ac:dyDescent="0.25">
      <c r="A9" s="67"/>
      <c r="B9" s="67" t="s">
        <v>75</v>
      </c>
      <c r="C9" s="68">
        <f t="shared" si="3"/>
        <v>476900</v>
      </c>
      <c r="D9" s="69">
        <v>0</v>
      </c>
      <c r="E9" s="69">
        <v>0</v>
      </c>
      <c r="F9" s="69">
        <v>475000</v>
      </c>
      <c r="G9" s="69"/>
      <c r="H9" s="69">
        <v>950</v>
      </c>
      <c r="I9" s="69">
        <v>0</v>
      </c>
      <c r="J9" s="69">
        <v>0</v>
      </c>
      <c r="K9" s="69">
        <v>0</v>
      </c>
      <c r="L9" s="69"/>
      <c r="M9" s="456">
        <v>0</v>
      </c>
      <c r="N9" s="463">
        <v>0</v>
      </c>
      <c r="O9" s="463">
        <v>0</v>
      </c>
      <c r="P9" s="70">
        <v>0</v>
      </c>
      <c r="Q9" s="69"/>
      <c r="R9" s="69">
        <v>950</v>
      </c>
      <c r="S9" s="69">
        <v>0</v>
      </c>
      <c r="Y9" s="67" t="s">
        <v>75</v>
      </c>
      <c r="Z9" s="71">
        <f t="shared" si="4"/>
        <v>6.6087185474399707E-2</v>
      </c>
    </row>
    <row r="10" spans="1:26" x14ac:dyDescent="0.25">
      <c r="A10" s="67" t="s">
        <v>76</v>
      </c>
      <c r="B10" s="67" t="s">
        <v>76</v>
      </c>
      <c r="C10" s="68">
        <f t="shared" si="3"/>
        <v>10640</v>
      </c>
      <c r="D10" s="72">
        <v>0</v>
      </c>
      <c r="E10" s="72">
        <v>520</v>
      </c>
      <c r="F10" s="72">
        <v>0</v>
      </c>
      <c r="G10" s="72"/>
      <c r="H10" s="72">
        <v>0</v>
      </c>
      <c r="I10" s="72">
        <v>0</v>
      </c>
      <c r="J10" s="72">
        <v>0</v>
      </c>
      <c r="K10" s="72">
        <v>0</v>
      </c>
      <c r="L10" s="72"/>
      <c r="M10" s="457">
        <v>0</v>
      </c>
      <c r="N10" s="558">
        <v>0</v>
      </c>
      <c r="O10" s="558">
        <v>0</v>
      </c>
      <c r="P10" s="70">
        <v>0</v>
      </c>
      <c r="Q10" s="72">
        <v>10000</v>
      </c>
      <c r="R10" s="72">
        <v>120</v>
      </c>
      <c r="S10" s="72">
        <v>0</v>
      </c>
      <c r="Y10" s="67" t="s">
        <v>76</v>
      </c>
      <c r="Z10" s="71">
        <f t="shared" si="4"/>
        <v>1.4744551340901927E-3</v>
      </c>
    </row>
    <row r="11" spans="1:26" x14ac:dyDescent="0.25">
      <c r="A11" s="712" t="s">
        <v>77</v>
      </c>
      <c r="B11" s="67" t="s">
        <v>78</v>
      </c>
      <c r="C11" s="68">
        <f t="shared" si="3"/>
        <v>84270</v>
      </c>
      <c r="D11" s="72">
        <v>120</v>
      </c>
      <c r="E11" s="72">
        <v>60</v>
      </c>
      <c r="F11" s="72">
        <v>90</v>
      </c>
      <c r="G11" s="72">
        <v>0</v>
      </c>
      <c r="H11" s="72">
        <v>0</v>
      </c>
      <c r="I11" s="72">
        <v>0</v>
      </c>
      <c r="J11" s="72">
        <v>120</v>
      </c>
      <c r="K11" s="72">
        <v>300</v>
      </c>
      <c r="L11" s="72">
        <v>60</v>
      </c>
      <c r="M11" s="558">
        <v>240</v>
      </c>
      <c r="N11" s="558">
        <v>300</v>
      </c>
      <c r="O11" s="558">
        <v>300</v>
      </c>
      <c r="P11" s="70">
        <v>60</v>
      </c>
      <c r="Q11" s="72">
        <v>0</v>
      </c>
      <c r="R11" s="72">
        <v>180</v>
      </c>
      <c r="S11" s="72">
        <v>82440</v>
      </c>
      <c r="Y11" s="67" t="s">
        <v>78</v>
      </c>
      <c r="Z11" s="71">
        <f t="shared" si="4"/>
        <v>1.1677850953926741E-2</v>
      </c>
    </row>
    <row r="12" spans="1:26" x14ac:dyDescent="0.25">
      <c r="A12" s="713"/>
      <c r="B12" s="67" t="s">
        <v>79</v>
      </c>
      <c r="C12" s="68">
        <f t="shared" si="3"/>
        <v>0</v>
      </c>
      <c r="D12" s="72">
        <v>0</v>
      </c>
      <c r="E12" s="72">
        <v>0</v>
      </c>
      <c r="F12" s="72">
        <v>0</v>
      </c>
      <c r="G12" s="72"/>
      <c r="H12" s="72">
        <v>0</v>
      </c>
      <c r="I12" s="72">
        <v>0</v>
      </c>
      <c r="J12" s="72">
        <v>0</v>
      </c>
      <c r="K12" s="72">
        <v>0</v>
      </c>
      <c r="L12" s="72"/>
      <c r="M12" s="457">
        <v>0</v>
      </c>
      <c r="N12" s="558">
        <v>0</v>
      </c>
      <c r="O12" s="558">
        <v>0</v>
      </c>
      <c r="P12" s="70">
        <v>0</v>
      </c>
      <c r="Q12" s="72"/>
      <c r="R12" s="72">
        <v>0</v>
      </c>
      <c r="S12" s="72">
        <v>0</v>
      </c>
      <c r="Y12" s="67" t="s">
        <v>79</v>
      </c>
      <c r="Z12" s="71">
        <f t="shared" si="4"/>
        <v>0</v>
      </c>
    </row>
    <row r="13" spans="1:26" s="78" customFormat="1" ht="18.75" x14ac:dyDescent="0.3">
      <c r="A13" s="73" t="s">
        <v>80</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81</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59">
        <v>82690</v>
      </c>
      <c r="N14" s="462">
        <v>82690</v>
      </c>
      <c r="O14" s="462">
        <v>83870</v>
      </c>
      <c r="P14" s="70">
        <f t="shared" si="7"/>
        <v>83870</v>
      </c>
      <c r="Q14" s="83">
        <f t="shared" si="7"/>
        <v>83870</v>
      </c>
      <c r="R14" s="83">
        <f t="shared" si="7"/>
        <v>83870</v>
      </c>
      <c r="S14" s="83">
        <v>85220</v>
      </c>
      <c r="Y14" s="714">
        <f>C13</f>
        <v>7216225</v>
      </c>
      <c r="Z14" s="715"/>
    </row>
    <row r="15" spans="1:26" x14ac:dyDescent="0.25">
      <c r="A15" s="80" t="s">
        <v>82</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62">
        <f t="shared" si="8"/>
        <v>35776</v>
      </c>
      <c r="N15" s="462">
        <f t="shared" si="8"/>
        <v>35776</v>
      </c>
      <c r="O15" s="462">
        <f t="shared" si="8"/>
        <v>35776</v>
      </c>
      <c r="P15" s="70">
        <f t="shared" si="8"/>
        <v>35776</v>
      </c>
      <c r="Q15" s="83">
        <f t="shared" si="8"/>
        <v>35776</v>
      </c>
      <c r="R15" s="83">
        <f t="shared" si="8"/>
        <v>35776</v>
      </c>
      <c r="S15" s="83">
        <f t="shared" si="8"/>
        <v>35776</v>
      </c>
    </row>
    <row r="16" spans="1:26" ht="20.25" customHeight="1" x14ac:dyDescent="0.25">
      <c r="A16" s="80" t="s">
        <v>83</v>
      </c>
      <c r="B16" s="81" t="s">
        <v>84</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62">
        <f t="shared" si="9"/>
        <v>0</v>
      </c>
      <c r="N16" s="462">
        <f t="shared" si="9"/>
        <v>0</v>
      </c>
      <c r="O16" s="462">
        <f t="shared" si="9"/>
        <v>0</v>
      </c>
      <c r="P16" s="70">
        <f t="shared" si="9"/>
        <v>0</v>
      </c>
      <c r="Q16" s="83">
        <f t="shared" si="9"/>
        <v>0</v>
      </c>
      <c r="R16" s="83">
        <f t="shared" si="9"/>
        <v>0</v>
      </c>
      <c r="S16" s="83">
        <f t="shared" si="9"/>
        <v>0</v>
      </c>
    </row>
    <row r="17" spans="1:26" x14ac:dyDescent="0.25">
      <c r="A17" s="80" t="s">
        <v>85</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62">
        <f t="shared" si="9"/>
        <v>65280.000000000007</v>
      </c>
      <c r="N17" s="462">
        <f t="shared" si="9"/>
        <v>65280.000000000007</v>
      </c>
      <c r="O17" s="462">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86</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62">
        <f t="shared" si="9"/>
        <v>20000</v>
      </c>
      <c r="N18" s="462">
        <f t="shared" si="9"/>
        <v>20000</v>
      </c>
      <c r="O18" s="462">
        <f t="shared" si="9"/>
        <v>20000</v>
      </c>
      <c r="P18" s="70">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59">
        <f t="shared" si="9"/>
        <v>0</v>
      </c>
      <c r="N19" s="462">
        <f t="shared" si="9"/>
        <v>0</v>
      </c>
      <c r="O19" s="462">
        <f t="shared" si="9"/>
        <v>0</v>
      </c>
      <c r="P19" s="70">
        <f t="shared" si="9"/>
        <v>0</v>
      </c>
      <c r="Q19" s="83">
        <f t="shared" si="9"/>
        <v>0</v>
      </c>
      <c r="R19" s="83">
        <f t="shared" si="9"/>
        <v>0</v>
      </c>
      <c r="S19" s="83">
        <f t="shared" si="9"/>
        <v>0</v>
      </c>
    </row>
    <row r="20" spans="1:26" x14ac:dyDescent="0.25">
      <c r="A20" s="84" t="s">
        <v>77</v>
      </c>
      <c r="B20" s="81" t="s">
        <v>67</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59">
        <f t="shared" si="9"/>
        <v>0</v>
      </c>
      <c r="N20" s="462">
        <f t="shared" si="9"/>
        <v>0</v>
      </c>
      <c r="O20" s="462">
        <f t="shared" si="9"/>
        <v>0</v>
      </c>
      <c r="P20" s="70">
        <f t="shared" si="9"/>
        <v>0</v>
      </c>
      <c r="Q20" s="83">
        <f t="shared" si="9"/>
        <v>0</v>
      </c>
      <c r="R20" s="83">
        <f t="shared" si="9"/>
        <v>0</v>
      </c>
      <c r="S20" s="83">
        <f t="shared" si="9"/>
        <v>0</v>
      </c>
    </row>
    <row r="21" spans="1:26" x14ac:dyDescent="0.25">
      <c r="A21" s="84"/>
      <c r="B21" s="81" t="s">
        <v>89</v>
      </c>
      <c r="C21" s="82">
        <f t="shared" si="3"/>
        <v>55200</v>
      </c>
      <c r="D21" s="83">
        <v>0</v>
      </c>
      <c r="E21" s="83">
        <f t="shared" si="9"/>
        <v>0</v>
      </c>
      <c r="F21" s="83">
        <v>3000</v>
      </c>
      <c r="G21" s="83">
        <v>1000</v>
      </c>
      <c r="H21" s="83">
        <v>0</v>
      </c>
      <c r="I21" s="83">
        <f t="shared" si="9"/>
        <v>0</v>
      </c>
      <c r="J21" s="83">
        <f t="shared" si="9"/>
        <v>0</v>
      </c>
      <c r="K21" s="83">
        <f t="shared" si="9"/>
        <v>0</v>
      </c>
      <c r="L21" s="83">
        <v>2000</v>
      </c>
      <c r="M21" s="459">
        <f t="shared" si="9"/>
        <v>2000</v>
      </c>
      <c r="N21" s="462">
        <v>6000</v>
      </c>
      <c r="O21" s="462">
        <v>6000</v>
      </c>
      <c r="P21" s="70">
        <v>5000</v>
      </c>
      <c r="Q21" s="83">
        <f>6000+4200</f>
        <v>10200</v>
      </c>
      <c r="R21" s="83">
        <v>8000</v>
      </c>
      <c r="S21" s="83">
        <v>12000</v>
      </c>
    </row>
    <row r="22" spans="1:26" x14ac:dyDescent="0.25">
      <c r="A22" s="80" t="s">
        <v>90</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59">
        <f t="shared" si="9"/>
        <v>0</v>
      </c>
      <c r="N22" s="462">
        <f t="shared" si="9"/>
        <v>0</v>
      </c>
      <c r="O22" s="462">
        <f t="shared" si="9"/>
        <v>0</v>
      </c>
      <c r="P22" s="70">
        <f t="shared" si="9"/>
        <v>0</v>
      </c>
      <c r="Q22" s="83">
        <f t="shared" si="9"/>
        <v>0</v>
      </c>
      <c r="R22" s="83">
        <f t="shared" si="9"/>
        <v>0</v>
      </c>
      <c r="S22" s="83">
        <f t="shared" si="9"/>
        <v>0</v>
      </c>
    </row>
    <row r="23" spans="1:26" s="90" customFormat="1" ht="18.75" x14ac:dyDescent="0.3">
      <c r="A23" s="85" t="s">
        <v>91</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81</v>
      </c>
      <c r="Z23" s="91">
        <f>C14/$C$23</f>
        <v>0.22000051077376492</v>
      </c>
    </row>
    <row r="24" spans="1:26" s="66" customFormat="1" ht="18.75" x14ac:dyDescent="0.3">
      <c r="A24" s="92" t="s">
        <v>92</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82</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84</v>
      </c>
      <c r="Z25" s="91">
        <f t="shared" si="12"/>
        <v>0</v>
      </c>
    </row>
    <row r="26" spans="1:26" s="53" customFormat="1" x14ac:dyDescent="0.25">
      <c r="A26" s="716" t="s">
        <v>93</v>
      </c>
      <c r="B26" s="716"/>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85</v>
      </c>
      <c r="Z26" s="91">
        <f t="shared" si="12"/>
        <v>0.25751336915583167</v>
      </c>
    </row>
    <row r="27" spans="1:26" s="53" customFormat="1" x14ac:dyDescent="0.25">
      <c r="A27" s="717" t="s">
        <v>94</v>
      </c>
      <c r="B27" s="717"/>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86</v>
      </c>
      <c r="Z27" s="91">
        <f t="shared" si="12"/>
        <v>5.5594423392882487E-2</v>
      </c>
    </row>
    <row r="28" spans="1:26" x14ac:dyDescent="0.25">
      <c r="A28" s="718" t="s">
        <v>95</v>
      </c>
      <c r="B28" s="718"/>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88</v>
      </c>
      <c r="Z28" s="91">
        <f t="shared" si="12"/>
        <v>0</v>
      </c>
    </row>
    <row r="29" spans="1:26" x14ac:dyDescent="0.25">
      <c r="A29" s="716" t="s">
        <v>96</v>
      </c>
      <c r="B29" s="716"/>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67</v>
      </c>
      <c r="Z29" s="91">
        <f t="shared" si="12"/>
        <v>0.35785435407706045</v>
      </c>
    </row>
    <row r="30" spans="1:26" s="59" customFormat="1" x14ac:dyDescent="0.25">
      <c r="A30" s="717" t="s">
        <v>97</v>
      </c>
      <c r="B30" s="717"/>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89</v>
      </c>
      <c r="Z30" s="91">
        <f t="shared" si="12"/>
        <v>9.59003803527223E-3</v>
      </c>
    </row>
    <row r="31" spans="1:26" s="59" customFormat="1" x14ac:dyDescent="0.25">
      <c r="A31" s="718" t="s">
        <v>98</v>
      </c>
      <c r="B31" s="718"/>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90</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v>21</v>
      </c>
      <c r="H33" s="174">
        <v>21</v>
      </c>
      <c r="I33" s="174">
        <v>21</v>
      </c>
      <c r="J33" s="174">
        <v>21</v>
      </c>
      <c r="K33" s="174">
        <v>21</v>
      </c>
      <c r="L33" s="174">
        <v>21</v>
      </c>
      <c r="M33" s="174"/>
      <c r="N33" s="174"/>
      <c r="O33" s="174">
        <v>21</v>
      </c>
      <c r="P33" s="174">
        <v>21</v>
      </c>
      <c r="Q33" s="174"/>
      <c r="R33" s="174"/>
      <c r="S33" s="174"/>
      <c r="Z33" s="369"/>
    </row>
    <row r="34" spans="1:26" s="59" customFormat="1" ht="18.75" x14ac:dyDescent="0.3">
      <c r="A34" s="57"/>
      <c r="B34" s="719" t="s">
        <v>437</v>
      </c>
      <c r="C34" s="173" t="s">
        <v>181</v>
      </c>
      <c r="D34" s="174">
        <v>673620</v>
      </c>
      <c r="E34" s="174">
        <v>698670</v>
      </c>
      <c r="F34" s="174">
        <v>728380</v>
      </c>
      <c r="G34" s="174">
        <v>752930</v>
      </c>
      <c r="H34" s="174">
        <v>761180</v>
      </c>
      <c r="I34" s="174">
        <v>727290</v>
      </c>
      <c r="J34" s="174">
        <v>711460</v>
      </c>
      <c r="K34" s="174">
        <v>726460</v>
      </c>
      <c r="L34" s="174">
        <v>768240</v>
      </c>
      <c r="M34" s="174"/>
      <c r="N34" s="174"/>
      <c r="O34" s="174">
        <v>784050</v>
      </c>
      <c r="P34" s="174">
        <v>812370</v>
      </c>
      <c r="Q34" s="174"/>
      <c r="R34" s="174"/>
      <c r="S34" s="174"/>
      <c r="Y34" s="709">
        <f>C23</f>
        <v>5755973</v>
      </c>
      <c r="Z34" s="710"/>
    </row>
    <row r="35" spans="1:26" x14ac:dyDescent="0.25">
      <c r="A35" s="57"/>
      <c r="B35" s="719"/>
      <c r="C35" s="173" t="s">
        <v>104</v>
      </c>
      <c r="D35" s="174">
        <v>72010</v>
      </c>
      <c r="E35" s="174">
        <v>72010</v>
      </c>
      <c r="F35" s="174">
        <v>72010</v>
      </c>
      <c r="G35" s="174">
        <v>73470</v>
      </c>
      <c r="H35" s="174">
        <v>75730</v>
      </c>
      <c r="I35" s="174">
        <v>76830</v>
      </c>
      <c r="J35" s="174">
        <v>76830</v>
      </c>
      <c r="K35" s="174">
        <v>76950</v>
      </c>
      <c r="L35" s="174">
        <v>80510</v>
      </c>
      <c r="M35" s="174"/>
      <c r="N35" s="174"/>
      <c r="O35" s="174">
        <v>83570</v>
      </c>
      <c r="P35" s="174">
        <v>83730</v>
      </c>
      <c r="Q35" s="174"/>
      <c r="R35" s="174"/>
      <c r="S35" s="174"/>
    </row>
    <row r="36" spans="1:26" x14ac:dyDescent="0.25">
      <c r="A36" s="57"/>
      <c r="B36" s="719"/>
      <c r="C36" s="173" t="s">
        <v>663</v>
      </c>
      <c r="D36" s="174">
        <v>584220</v>
      </c>
      <c r="E36" s="174">
        <v>607650</v>
      </c>
      <c r="F36" s="174">
        <v>635930</v>
      </c>
      <c r="G36" s="174">
        <v>660070</v>
      </c>
      <c r="H36" s="174">
        <v>672550</v>
      </c>
      <c r="I36" s="174">
        <v>638100</v>
      </c>
      <c r="J36" s="174">
        <v>622650</v>
      </c>
      <c r="K36" s="174">
        <v>637630</v>
      </c>
      <c r="L36" s="174">
        <v>678930</v>
      </c>
      <c r="M36" s="174"/>
      <c r="N36" s="174"/>
      <c r="O36" s="174">
        <v>689960</v>
      </c>
      <c r="P36" s="174">
        <v>716490</v>
      </c>
      <c r="Q36" s="174"/>
      <c r="R36" s="174"/>
      <c r="S36" s="174"/>
    </row>
    <row r="37" spans="1:26" x14ac:dyDescent="0.25">
      <c r="A37" s="57"/>
      <c r="B37" s="719"/>
      <c r="C37" s="173" t="s">
        <v>664</v>
      </c>
      <c r="D37" s="174">
        <v>58710</v>
      </c>
      <c r="E37" s="174">
        <v>58710</v>
      </c>
      <c r="F37" s="174">
        <v>57610</v>
      </c>
      <c r="G37" s="174">
        <v>60170</v>
      </c>
      <c r="H37" s="174">
        <v>62570</v>
      </c>
      <c r="I37" s="174">
        <v>63670</v>
      </c>
      <c r="J37" s="174">
        <v>63670</v>
      </c>
      <c r="K37" s="174">
        <v>63670</v>
      </c>
      <c r="L37" s="174">
        <v>67170</v>
      </c>
      <c r="M37" s="174"/>
      <c r="N37" s="174"/>
      <c r="O37" s="174">
        <v>65690</v>
      </c>
      <c r="P37" s="174">
        <v>65690</v>
      </c>
      <c r="Q37" s="174"/>
      <c r="R37" s="174"/>
      <c r="S37" s="174"/>
    </row>
    <row r="38" spans="1:26" x14ac:dyDescent="0.25">
      <c r="A38" s="57"/>
      <c r="B38" s="719"/>
      <c r="C38" s="173" t="s">
        <v>665</v>
      </c>
      <c r="D38" s="175" t="s">
        <v>669</v>
      </c>
      <c r="E38" s="175" t="s">
        <v>678</v>
      </c>
      <c r="F38" s="175" t="s">
        <v>706</v>
      </c>
      <c r="G38" s="175" t="s">
        <v>707</v>
      </c>
      <c r="H38" s="175" t="s">
        <v>712</v>
      </c>
      <c r="I38" s="175" t="s">
        <v>714</v>
      </c>
      <c r="J38" s="175" t="s">
        <v>737</v>
      </c>
      <c r="K38" s="175" t="s">
        <v>738</v>
      </c>
      <c r="L38" s="175" t="s">
        <v>653</v>
      </c>
      <c r="M38" s="175"/>
      <c r="N38" s="175"/>
      <c r="O38" s="175" t="s">
        <v>767</v>
      </c>
      <c r="P38" s="175" t="s">
        <v>768</v>
      </c>
      <c r="Q38" s="175"/>
      <c r="R38" s="175"/>
      <c r="S38" s="175"/>
    </row>
    <row r="39" spans="1:26" x14ac:dyDescent="0.25">
      <c r="A39" s="57"/>
      <c r="B39" s="719"/>
      <c r="C39" s="173" t="s">
        <v>666</v>
      </c>
      <c r="D39" s="176">
        <v>6.5</v>
      </c>
      <c r="E39" s="176">
        <v>6.75</v>
      </c>
      <c r="F39" s="176">
        <v>6.75</v>
      </c>
      <c r="G39" s="176">
        <v>6.75</v>
      </c>
      <c r="H39" s="176">
        <v>7</v>
      </c>
      <c r="I39" s="176">
        <v>7</v>
      </c>
      <c r="J39" s="176">
        <v>7</v>
      </c>
      <c r="K39" s="176">
        <v>7</v>
      </c>
      <c r="L39" s="176">
        <v>7</v>
      </c>
      <c r="M39" s="176"/>
      <c r="N39" s="176"/>
      <c r="O39" s="176">
        <v>7</v>
      </c>
      <c r="P39" s="176">
        <v>7</v>
      </c>
      <c r="Q39" s="176"/>
      <c r="R39" s="176"/>
      <c r="S39" s="176"/>
    </row>
    <row r="40" spans="1:26" x14ac:dyDescent="0.25">
      <c r="B40" s="719"/>
      <c r="C40" s="173" t="s">
        <v>667</v>
      </c>
      <c r="D40" s="176">
        <v>6.25</v>
      </c>
      <c r="E40" s="176">
        <v>6.25</v>
      </c>
      <c r="F40" s="176">
        <v>6.5</v>
      </c>
      <c r="G40" s="176">
        <v>6.25</v>
      </c>
      <c r="H40" s="176">
        <v>6.25</v>
      </c>
      <c r="I40" s="176">
        <v>6.25</v>
      </c>
      <c r="J40" s="176">
        <v>6</v>
      </c>
      <c r="K40" s="176">
        <v>6.25</v>
      </c>
      <c r="L40" s="176">
        <v>6.25</v>
      </c>
      <c r="M40" s="176"/>
      <c r="N40" s="176"/>
      <c r="O40" s="176">
        <v>6</v>
      </c>
      <c r="P40" s="176">
        <v>6</v>
      </c>
      <c r="Q40" s="176"/>
      <c r="R40" s="176"/>
      <c r="S40" s="176"/>
    </row>
    <row r="41" spans="1:26" x14ac:dyDescent="0.25">
      <c r="B41" s="719"/>
      <c r="C41" s="173" t="s">
        <v>668</v>
      </c>
      <c r="D41" s="176">
        <v>4.5</v>
      </c>
      <c r="E41" s="176">
        <v>4.5</v>
      </c>
      <c r="F41" s="176">
        <v>4.75</v>
      </c>
      <c r="G41" s="176">
        <v>4.75</v>
      </c>
      <c r="H41" s="176">
        <v>4.75</v>
      </c>
      <c r="I41" s="176">
        <v>5</v>
      </c>
      <c r="J41" s="176">
        <v>5</v>
      </c>
      <c r="K41" s="176">
        <v>5</v>
      </c>
      <c r="L41" s="176">
        <v>4.75</v>
      </c>
      <c r="M41" s="176"/>
      <c r="N41" s="176"/>
      <c r="O41" s="176">
        <v>4.75</v>
      </c>
      <c r="P41" s="176">
        <v>4.75</v>
      </c>
      <c r="Q41" s="176"/>
      <c r="R41" s="176"/>
      <c r="S41" s="176"/>
    </row>
    <row r="42" spans="1:26" ht="15" customHeight="1" x14ac:dyDescent="0.25">
      <c r="C42" s="164" t="s">
        <v>438</v>
      </c>
      <c r="D42" s="288">
        <f>D34/D35</f>
        <v>9.354534092487155</v>
      </c>
      <c r="E42" s="288">
        <f>E34/E35</f>
        <v>9.702402444104985</v>
      </c>
      <c r="F42" s="288">
        <f t="shared" ref="F42:S42" si="20">F34/F35</f>
        <v>10.114984029995833</v>
      </c>
      <c r="G42" s="288">
        <f t="shared" si="20"/>
        <v>10.248128487818157</v>
      </c>
      <c r="H42" s="288">
        <f t="shared" si="20"/>
        <v>10.051234649412386</v>
      </c>
      <c r="I42" s="288">
        <f t="shared" si="20"/>
        <v>9.4662241311987501</v>
      </c>
      <c r="J42" s="288">
        <f t="shared" si="20"/>
        <v>9.2601848236365996</v>
      </c>
      <c r="K42" s="288">
        <f t="shared" si="20"/>
        <v>9.4406757634827816</v>
      </c>
      <c r="L42" s="288">
        <f t="shared" si="20"/>
        <v>9.5421686746987948</v>
      </c>
      <c r="M42" s="288" t="e">
        <f t="shared" si="20"/>
        <v>#DIV/0!</v>
      </c>
      <c r="N42" s="288" t="e">
        <f t="shared" si="20"/>
        <v>#DIV/0!</v>
      </c>
      <c r="O42" s="288">
        <f t="shared" si="20"/>
        <v>9.3819552470982401</v>
      </c>
      <c r="P42" s="288">
        <f t="shared" si="20"/>
        <v>9.7022572554639908</v>
      </c>
      <c r="Q42" s="288" t="e">
        <f t="shared" si="20"/>
        <v>#DIV/0!</v>
      </c>
      <c r="R42" s="288" t="e">
        <f t="shared" si="20"/>
        <v>#DIV/0!</v>
      </c>
      <c r="S42" s="288" t="e">
        <f t="shared" si="20"/>
        <v>#DIV/0!</v>
      </c>
    </row>
    <row r="43" spans="1:26" ht="15" customHeight="1" x14ac:dyDescent="0.25">
      <c r="D43" s="9"/>
      <c r="E43" s="464"/>
      <c r="G43" s="711"/>
      <c r="H43" s="711"/>
      <c r="I43" s="711"/>
      <c r="J43" s="711"/>
    </row>
    <row r="44" spans="1:26" x14ac:dyDescent="0.25">
      <c r="C44" s="4" t="s">
        <v>485</v>
      </c>
      <c r="D44" s="9">
        <v>85845</v>
      </c>
      <c r="E44" s="341">
        <v>92875</v>
      </c>
      <c r="F44" s="246">
        <v>97870</v>
      </c>
      <c r="G44" s="465">
        <v>101200</v>
      </c>
      <c r="H44" s="465">
        <v>103420</v>
      </c>
      <c r="I44" s="465">
        <v>104900</v>
      </c>
      <c r="J44" s="465">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90"/>
      <c r="F46" s="390"/>
      <c r="G46" s="390"/>
      <c r="H46" s="390"/>
      <c r="I46" s="390"/>
      <c r="J46" s="390"/>
      <c r="K46" s="390"/>
      <c r="L46" s="390"/>
      <c r="M46" s="390"/>
      <c r="N46" s="390"/>
      <c r="O46" s="390"/>
      <c r="P46" s="390"/>
    </row>
    <row r="47" spans="1:26" x14ac:dyDescent="0.25">
      <c r="D47" s="370"/>
      <c r="G47" s="52"/>
      <c r="H47" s="52"/>
      <c r="I47" s="52"/>
      <c r="J47" s="52"/>
      <c r="K47" s="52"/>
      <c r="L47" s="52"/>
      <c r="M47" s="52"/>
      <c r="N47" s="52"/>
      <c r="O47" s="52"/>
      <c r="P47" s="52"/>
      <c r="Q47" s="52"/>
      <c r="R47" s="52"/>
      <c r="S47" s="52"/>
    </row>
    <row r="48" spans="1:26" x14ac:dyDescent="0.25">
      <c r="G48" s="720"/>
      <c r="H48" s="720"/>
      <c r="I48" s="720"/>
      <c r="J48" s="720"/>
      <c r="M48" s="383"/>
    </row>
    <row r="49" spans="5:16" x14ac:dyDescent="0.25">
      <c r="E49" s="106"/>
      <c r="G49" s="465"/>
      <c r="H49" s="465"/>
      <c r="I49" s="465"/>
      <c r="J49" s="465"/>
    </row>
    <row r="50" spans="5:16" x14ac:dyDescent="0.25">
      <c r="G50" s="720"/>
      <c r="H50" s="720"/>
      <c r="I50" s="720"/>
      <c r="J50" s="720"/>
      <c r="P50" s="383"/>
    </row>
    <row r="51" spans="5:16" ht="15" customHeight="1" x14ac:dyDescent="0.25">
      <c r="G51" s="720"/>
      <c r="H51" s="720"/>
      <c r="I51" s="720"/>
      <c r="J51" s="105"/>
    </row>
  </sheetData>
  <mergeCells count="15">
    <mergeCell ref="Y34:Z34"/>
    <mergeCell ref="G43:H43"/>
    <mergeCell ref="I43:J43"/>
    <mergeCell ref="A11:A12"/>
    <mergeCell ref="Y14:Z14"/>
    <mergeCell ref="A26:B26"/>
    <mergeCell ref="A27:B27"/>
    <mergeCell ref="A28:B28"/>
    <mergeCell ref="A29:B29"/>
    <mergeCell ref="G48:J48"/>
    <mergeCell ref="G50:J50"/>
    <mergeCell ref="G51:I51"/>
    <mergeCell ref="A30:B30"/>
    <mergeCell ref="A31:B31"/>
    <mergeCell ref="B34:B41"/>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21" t="s">
        <v>654</v>
      </c>
      <c r="C2" s="722"/>
      <c r="D2" s="722"/>
      <c r="E2" s="722"/>
      <c r="F2" s="722"/>
      <c r="G2" s="723"/>
      <c r="I2" s="732" t="s">
        <v>655</v>
      </c>
      <c r="J2" s="733"/>
      <c r="K2" s="733"/>
      <c r="L2" s="733"/>
      <c r="M2" s="733"/>
      <c r="N2" s="733"/>
      <c r="O2" s="733"/>
      <c r="P2" s="733"/>
      <c r="Q2" s="733"/>
      <c r="R2" s="733"/>
      <c r="S2" s="734"/>
    </row>
    <row r="3" spans="2:19" x14ac:dyDescent="0.25">
      <c r="B3" s="725" t="s">
        <v>102</v>
      </c>
      <c r="C3" s="726"/>
      <c r="D3" s="726"/>
      <c r="E3" s="726"/>
      <c r="F3" s="726"/>
      <c r="G3" s="727"/>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5" t="s">
        <v>113</v>
      </c>
      <c r="C4" s="736"/>
      <c r="D4" s="109"/>
      <c r="E4" s="737" t="s">
        <v>114</v>
      </c>
      <c r="F4" s="738"/>
      <c r="G4" s="109"/>
      <c r="I4" s="396" t="s">
        <v>115</v>
      </c>
      <c r="J4" s="397" t="s">
        <v>539</v>
      </c>
      <c r="K4" s="396">
        <f>1052640+300</f>
        <v>1052940</v>
      </c>
      <c r="L4" s="396">
        <v>0</v>
      </c>
      <c r="M4" s="396">
        <v>0</v>
      </c>
      <c r="N4" s="396">
        <v>0</v>
      </c>
      <c r="O4" s="398">
        <v>-1052940</v>
      </c>
      <c r="P4" s="398">
        <v>0</v>
      </c>
      <c r="Q4" s="399"/>
      <c r="R4" s="400"/>
      <c r="S4" s="400">
        <v>42305</v>
      </c>
    </row>
    <row r="5" spans="2:19" x14ac:dyDescent="0.25">
      <c r="B5" s="113"/>
      <c r="C5" s="114"/>
      <c r="D5" s="201"/>
      <c r="E5" s="113"/>
      <c r="F5" s="114"/>
      <c r="G5" s="115"/>
      <c r="I5" s="396" t="s">
        <v>491</v>
      </c>
      <c r="J5" s="397" t="s">
        <v>708</v>
      </c>
      <c r="K5" s="396">
        <v>0</v>
      </c>
      <c r="L5" s="396">
        <v>0</v>
      </c>
      <c r="M5" s="396">
        <v>500000</v>
      </c>
      <c r="N5" s="396">
        <f>M5*0.05</f>
        <v>25000</v>
      </c>
      <c r="O5" s="398">
        <f t="shared" ref="O5" si="0">IF(M5=0,0,M5-K5)-N5</f>
        <v>475000</v>
      </c>
      <c r="P5" s="398">
        <f t="shared" ref="P5" si="1">IF(M5=0,K5,0)</f>
        <v>0</v>
      </c>
      <c r="Q5" s="399"/>
      <c r="R5" s="400"/>
      <c r="S5" s="400">
        <v>42322</v>
      </c>
    </row>
    <row r="6" spans="2:19" x14ac:dyDescent="0.25">
      <c r="B6" s="116" t="s">
        <v>116</v>
      </c>
      <c r="C6" s="117">
        <f>SUM(C7:C9)</f>
        <v>4926685</v>
      </c>
      <c r="D6" s="140">
        <f>C6/C30</f>
        <v>0.24548592411094017</v>
      </c>
      <c r="E6" s="116" t="s">
        <v>117</v>
      </c>
      <c r="F6" s="117">
        <f ca="1">F7+F8+F9</f>
        <v>13914829.014755197</v>
      </c>
      <c r="G6" s="118">
        <f ca="1">F6/$F$30</f>
        <v>0.69334545633278821</v>
      </c>
      <c r="I6" s="396" t="s">
        <v>491</v>
      </c>
      <c r="J6" s="397" t="s">
        <v>548</v>
      </c>
      <c r="K6" s="396">
        <v>0</v>
      </c>
      <c r="L6" s="396">
        <v>0</v>
      </c>
      <c r="M6" s="396">
        <v>1000</v>
      </c>
      <c r="N6" s="396">
        <f>M6*0.05</f>
        <v>50</v>
      </c>
      <c r="O6" s="398">
        <f t="shared" ref="O6" si="2">IF(M6=0,0,M6-K6)-N6</f>
        <v>950</v>
      </c>
      <c r="P6" s="398">
        <f t="shared" ref="P6" si="3">IF(M6=0,K6,0)</f>
        <v>0</v>
      </c>
      <c r="Q6" s="399"/>
      <c r="R6" s="400"/>
      <c r="S6" s="400">
        <v>42330</v>
      </c>
    </row>
    <row r="7" spans="2:19" x14ac:dyDescent="0.25">
      <c r="B7" s="119" t="s">
        <v>84</v>
      </c>
      <c r="C7" s="120">
        <f>'A-P_T47'!C7+EconomiaT48!C16</f>
        <v>2866885</v>
      </c>
      <c r="D7" s="202">
        <f>C7/C30</f>
        <v>0.14285060107248437</v>
      </c>
      <c r="E7" s="203" t="s">
        <v>118</v>
      </c>
      <c r="F7" s="204">
        <v>300000</v>
      </c>
      <c r="G7" s="121">
        <f ca="1">F7/$F$30</f>
        <v>1.4948343000066384E-2</v>
      </c>
      <c r="I7" s="396" t="s">
        <v>491</v>
      </c>
      <c r="J7" s="397" t="s">
        <v>769</v>
      </c>
      <c r="K7" s="396">
        <v>0</v>
      </c>
      <c r="L7" s="396">
        <v>0</v>
      </c>
      <c r="M7" s="396">
        <v>1000</v>
      </c>
      <c r="N7" s="396">
        <f>M7*0.05</f>
        <v>50</v>
      </c>
      <c r="O7" s="398">
        <f t="shared" ref="O7" si="4">IF(M7=0,0,M7-K7)-N7</f>
        <v>950</v>
      </c>
      <c r="P7" s="398">
        <f t="shared" ref="P7" si="5">IF(M7=0,K7,0)</f>
        <v>0</v>
      </c>
      <c r="Q7" s="399"/>
      <c r="R7" s="400"/>
      <c r="S7" s="400">
        <v>42404</v>
      </c>
    </row>
    <row r="8" spans="2:19" x14ac:dyDescent="0.25">
      <c r="B8" s="119" t="s">
        <v>67</v>
      </c>
      <c r="C8" s="120">
        <f>'A-P_T47'!C8+EconomiaT48!C20</f>
        <v>4128600</v>
      </c>
      <c r="D8" s="202">
        <f>C8/C30</f>
        <v>0.20571909636691357</v>
      </c>
      <c r="E8" s="203" t="s">
        <v>261</v>
      </c>
      <c r="F8" s="204">
        <f ca="1">'A-P_T47'!F9+'A-P_T47'!F8</f>
        <v>10629511.37116595</v>
      </c>
      <c r="G8" s="121">
        <f ca="1">F8/$F$30</f>
        <v>0.52964527299764852</v>
      </c>
      <c r="I8" s="470"/>
      <c r="J8" s="470"/>
      <c r="K8" s="470"/>
      <c r="L8" s="470"/>
      <c r="M8" s="470"/>
      <c r="N8" s="470"/>
      <c r="O8" s="470"/>
      <c r="P8" s="470"/>
      <c r="Q8" s="470"/>
      <c r="R8" s="470"/>
      <c r="S8" s="470"/>
    </row>
    <row r="9" spans="2:19" x14ac:dyDescent="0.25">
      <c r="B9" s="122" t="s">
        <v>119</v>
      </c>
      <c r="C9" s="123">
        <v>-2068800</v>
      </c>
      <c r="D9" s="202">
        <f>C9/C30</f>
        <v>-0.10308377332845778</v>
      </c>
      <c r="E9" s="203" t="s">
        <v>656</v>
      </c>
      <c r="F9" s="204">
        <f ca="1">'A-P_T47'!F11-EconomiaT47!C24+EconomiaT47!C5</f>
        <v>2985317.643589247</v>
      </c>
      <c r="G9" s="121">
        <f ca="1">F9/$F$30</f>
        <v>0.1487518403350733</v>
      </c>
      <c r="I9" s="470"/>
      <c r="J9" s="470"/>
      <c r="K9" s="470"/>
      <c r="L9" s="470"/>
      <c r="M9" s="470"/>
      <c r="N9" s="470"/>
      <c r="O9" s="470"/>
      <c r="P9" s="470"/>
      <c r="Q9" s="470"/>
      <c r="R9" s="470"/>
      <c r="S9" s="470"/>
    </row>
    <row r="10" spans="2:19" x14ac:dyDescent="0.25">
      <c r="B10" s="124"/>
      <c r="C10" s="125"/>
      <c r="D10" s="140"/>
      <c r="E10" s="205"/>
      <c r="F10" s="125"/>
      <c r="G10" s="118"/>
      <c r="I10" s="470"/>
      <c r="J10" s="470"/>
      <c r="K10" s="470"/>
      <c r="L10" s="470"/>
      <c r="M10" s="470"/>
      <c r="N10" s="470"/>
      <c r="O10" s="470"/>
      <c r="P10" s="470"/>
      <c r="Q10" s="470"/>
      <c r="R10" s="470"/>
      <c r="S10" s="470"/>
    </row>
    <row r="11" spans="2:19" x14ac:dyDescent="0.25">
      <c r="B11" s="116" t="s">
        <v>100</v>
      </c>
      <c r="C11" s="117">
        <f>SUM(C12:C15)</f>
        <v>0</v>
      </c>
      <c r="D11" s="140">
        <f>C11/C30</f>
        <v>0</v>
      </c>
      <c r="E11" s="116" t="s">
        <v>657</v>
      </c>
      <c r="F11" s="117">
        <f>SUM(F12:F17)+C9</f>
        <v>2458112</v>
      </c>
      <c r="G11" s="118">
        <f t="shared" ref="G11:G17" ca="1" si="6">F11/$F$30</f>
        <v>0.12248233769526393</v>
      </c>
      <c r="I11" s="470"/>
      <c r="J11" s="470"/>
      <c r="K11" s="470"/>
      <c r="L11" s="470"/>
      <c r="M11" s="470"/>
      <c r="N11" s="470"/>
      <c r="O11" s="470"/>
      <c r="P11" s="470"/>
      <c r="Q11" s="470"/>
      <c r="R11" s="470"/>
      <c r="S11" s="470"/>
    </row>
    <row r="12" spans="2:19" x14ac:dyDescent="0.25">
      <c r="B12" s="129" t="s">
        <v>121</v>
      </c>
      <c r="C12" s="130">
        <f>SUMIF(I4:I516,"S",$P$4:$P$516)</f>
        <v>0</v>
      </c>
      <c r="D12" s="202">
        <f>C12/C30</f>
        <v>0</v>
      </c>
      <c r="E12" s="49" t="s">
        <v>122</v>
      </c>
      <c r="F12" s="131">
        <f>SUMIF(I4:I516,"J",$O$4:$O$516)</f>
        <v>-1052940</v>
      </c>
      <c r="G12" s="121">
        <f t="shared" ca="1" si="6"/>
        <v>-5.2465694261632993E-2</v>
      </c>
      <c r="I12" s="470"/>
      <c r="J12" s="470"/>
      <c r="K12" s="470"/>
      <c r="L12" s="470"/>
      <c r="M12" s="470"/>
      <c r="N12" s="470"/>
      <c r="O12" s="470"/>
      <c r="P12" s="470"/>
      <c r="Q12" s="470"/>
      <c r="R12" s="470"/>
      <c r="S12" s="470"/>
    </row>
    <row r="13" spans="2:19" x14ac:dyDescent="0.25">
      <c r="B13" s="129" t="s">
        <v>100</v>
      </c>
      <c r="C13" s="130">
        <f>SUMIF(I4:I516,"J",$P$4:$P$516)</f>
        <v>0</v>
      </c>
      <c r="D13" s="202">
        <f>C13/C30</f>
        <v>0</v>
      </c>
      <c r="E13" s="49" t="s">
        <v>123</v>
      </c>
      <c r="F13" s="131">
        <f>SUMIF(I4:I516,"S",$O$4:$O$516)</f>
        <v>0</v>
      </c>
      <c r="G13" s="121">
        <f t="shared" ca="1" si="6"/>
        <v>0</v>
      </c>
      <c r="I13" s="470"/>
      <c r="J13" s="470"/>
      <c r="K13" s="470"/>
      <c r="L13" s="470"/>
      <c r="M13" s="470"/>
      <c r="N13" s="470"/>
      <c r="O13" s="470"/>
      <c r="P13" s="470"/>
      <c r="Q13" s="470"/>
      <c r="R13" s="470"/>
      <c r="S13" s="470"/>
    </row>
    <row r="14" spans="2:19" x14ac:dyDescent="0.25">
      <c r="B14" s="129" t="s">
        <v>99</v>
      </c>
      <c r="C14" s="130">
        <f>SUMIF(I4:I516,"E",$P$4:$P$516)</f>
        <v>0</v>
      </c>
      <c r="D14" s="202">
        <f>C14/C30</f>
        <v>0</v>
      </c>
      <c r="E14" s="49" t="s">
        <v>124</v>
      </c>
      <c r="F14" s="131">
        <f>SUMIF(I4:I516,"C",$O$4:$O$516)</f>
        <v>476900</v>
      </c>
      <c r="G14" s="121">
        <f t="shared" ca="1" si="6"/>
        <v>2.3762882589105527E-2</v>
      </c>
      <c r="I14" s="470"/>
      <c r="J14" s="470"/>
      <c r="K14" s="470"/>
      <c r="L14" s="470"/>
      <c r="M14" s="470"/>
      <c r="N14" s="470"/>
      <c r="O14" s="470"/>
      <c r="P14" s="470"/>
      <c r="Q14" s="470"/>
      <c r="R14" s="470"/>
      <c r="S14" s="470"/>
    </row>
    <row r="15" spans="2:19" x14ac:dyDescent="0.25">
      <c r="B15" s="129" t="s">
        <v>125</v>
      </c>
      <c r="C15" s="130">
        <f>SUMIF(I4:I516,"M",$P$4:$P$516)</f>
        <v>0</v>
      </c>
      <c r="D15" s="202">
        <f>C15/C30</f>
        <v>0</v>
      </c>
      <c r="E15" s="49" t="s">
        <v>126</v>
      </c>
      <c r="F15" s="131">
        <f>SUMIF(I4:I516,"E",$O$4:$O$516)</f>
        <v>0</v>
      </c>
      <c r="G15" s="121">
        <f t="shared" ca="1" si="6"/>
        <v>0</v>
      </c>
      <c r="I15" s="470"/>
      <c r="J15" s="470"/>
      <c r="K15" s="470"/>
      <c r="L15" s="470"/>
      <c r="M15" s="470"/>
      <c r="N15" s="470"/>
      <c r="O15" s="470"/>
      <c r="P15" s="470"/>
      <c r="Q15" s="470"/>
      <c r="R15" s="470"/>
      <c r="S15" s="470"/>
    </row>
    <row r="16" spans="2:19" x14ac:dyDescent="0.25">
      <c r="B16" s="132"/>
      <c r="C16" s="133"/>
      <c r="D16" s="140"/>
      <c r="E16" s="49" t="s">
        <v>127</v>
      </c>
      <c r="F16" s="131">
        <f>SUMIF(I4:I516,"M",$O$4:$O$516)</f>
        <v>0</v>
      </c>
      <c r="G16" s="121">
        <f t="shared" ca="1" si="6"/>
        <v>0</v>
      </c>
      <c r="I16" s="470"/>
      <c r="J16" s="470"/>
      <c r="K16" s="470"/>
      <c r="L16" s="470"/>
      <c r="M16" s="470"/>
      <c r="N16" s="470"/>
      <c r="O16" s="470"/>
      <c r="P16" s="470"/>
      <c r="Q16" s="470"/>
      <c r="R16" s="470"/>
      <c r="S16" s="470"/>
    </row>
    <row r="17" spans="2:11" x14ac:dyDescent="0.25">
      <c r="B17" s="116" t="s">
        <v>74</v>
      </c>
      <c r="C17" s="134">
        <f>C18+C19</f>
        <v>476900</v>
      </c>
      <c r="D17" s="140">
        <f>C17/C30</f>
        <v>2.3762882589105527E-2</v>
      </c>
      <c r="E17" s="135" t="s">
        <v>658</v>
      </c>
      <c r="F17" s="136">
        <f>C23-F23+EconomiaT48!C20</f>
        <v>5102952</v>
      </c>
      <c r="G17" s="121">
        <f t="shared" ca="1" si="6"/>
        <v>0.25426892269624918</v>
      </c>
      <c r="K17" s="106"/>
    </row>
    <row r="18" spans="2:11" x14ac:dyDescent="0.25">
      <c r="B18" s="129" t="s">
        <v>74</v>
      </c>
      <c r="C18" s="130">
        <f>SUM(M4:M516)</f>
        <v>502000</v>
      </c>
      <c r="D18" s="202">
        <f>C18/C30</f>
        <v>2.5013560620111081E-2</v>
      </c>
      <c r="E18" s="124"/>
      <c r="F18" s="125"/>
      <c r="G18" s="137"/>
    </row>
    <row r="19" spans="2:11" x14ac:dyDescent="0.25">
      <c r="B19" s="122" t="s">
        <v>76</v>
      </c>
      <c r="C19" s="123">
        <f>SUM(N4:N516)*-1</f>
        <v>-25100</v>
      </c>
      <c r="D19" s="202">
        <f>C19/C30</f>
        <v>-1.2506780310055541E-3</v>
      </c>
      <c r="E19" s="116" t="s">
        <v>129</v>
      </c>
      <c r="F19" s="134">
        <f>F20+F21</f>
        <v>0</v>
      </c>
      <c r="G19" s="118">
        <f ca="1">F19/$F$30</f>
        <v>0</v>
      </c>
    </row>
    <row r="20" spans="2:11" x14ac:dyDescent="0.25">
      <c r="B20" s="132"/>
      <c r="C20" s="133"/>
      <c r="D20" s="202"/>
      <c r="E20" s="206" t="s">
        <v>88</v>
      </c>
      <c r="F20" s="207">
        <f>EconomiaT48!C19</f>
        <v>0</v>
      </c>
      <c r="G20" s="121">
        <f ca="1">F20/$F$30</f>
        <v>0</v>
      </c>
    </row>
    <row r="21" spans="2:11" x14ac:dyDescent="0.25">
      <c r="B21" s="116" t="s">
        <v>659</v>
      </c>
      <c r="C21" s="117">
        <f>EconomiaT48!C5</f>
        <v>7926204.0147551969</v>
      </c>
      <c r="D21" s="140">
        <f>C21/C30</f>
        <v>0.39494538767021303</v>
      </c>
      <c r="E21" s="122" t="s">
        <v>130</v>
      </c>
      <c r="F21" s="208">
        <f>SUM(L4:L516)*-1</f>
        <v>0</v>
      </c>
      <c r="G21" s="121">
        <f ca="1">F21/$F$30</f>
        <v>0</v>
      </c>
    </row>
    <row r="22" spans="2:11" x14ac:dyDescent="0.25">
      <c r="B22" s="116"/>
      <c r="C22" s="117"/>
      <c r="D22" s="140"/>
      <c r="E22" s="132"/>
      <c r="F22" s="468"/>
      <c r="G22" s="469"/>
    </row>
    <row r="23" spans="2:11" x14ac:dyDescent="0.25">
      <c r="B23" s="116" t="s">
        <v>131</v>
      </c>
      <c r="C23" s="117">
        <f>SUM(C24:C28)</f>
        <v>6739325</v>
      </c>
      <c r="D23" s="140">
        <f>C23/C30</f>
        <v>0.33580580562974127</v>
      </c>
      <c r="E23" s="116" t="s">
        <v>265</v>
      </c>
      <c r="F23" s="117">
        <f>SUM(F24:F29)</f>
        <v>3696173</v>
      </c>
      <c r="G23" s="118">
        <f t="shared" ref="G23:G29" ca="1" si="7">F23/$F$30</f>
        <v>0.18417220597194789</v>
      </c>
    </row>
    <row r="24" spans="2:11" x14ac:dyDescent="0.25">
      <c r="B24" s="138" t="s">
        <v>69</v>
      </c>
      <c r="C24" s="139">
        <f>EconomiaT48!C11</f>
        <v>84270</v>
      </c>
      <c r="D24" s="202">
        <f>C24/C30</f>
        <v>4.1989895487186471E-3</v>
      </c>
      <c r="E24" s="206" t="s">
        <v>132</v>
      </c>
      <c r="F24" s="209">
        <f>EconomiaT48!C14</f>
        <v>1266317</v>
      </c>
      <c r="G24" s="121">
        <f t="shared" ca="1" si="7"/>
        <v>6.3097802876050213E-2</v>
      </c>
    </row>
    <row r="25" spans="2:11" x14ac:dyDescent="0.25">
      <c r="B25" s="138" t="s">
        <v>79</v>
      </c>
      <c r="C25" s="139">
        <f>EconomiaT48!C12</f>
        <v>0</v>
      </c>
      <c r="D25" s="202">
        <f>C25/C30</f>
        <v>0</v>
      </c>
      <c r="E25" s="206" t="s">
        <v>82</v>
      </c>
      <c r="F25" s="209">
        <f>EconomiaT48!C15</f>
        <v>572416</v>
      </c>
      <c r="G25" s="121">
        <f t="shared" ca="1" si="7"/>
        <v>2.8522235689086663E-2</v>
      </c>
    </row>
    <row r="26" spans="2:11" x14ac:dyDescent="0.25">
      <c r="B26" s="138" t="s">
        <v>71</v>
      </c>
      <c r="C26" s="139">
        <f>EconomiaT48!C6</f>
        <v>3813690</v>
      </c>
      <c r="D26" s="202">
        <f>C26/C30</f>
        <v>0.19002782071974389</v>
      </c>
      <c r="E26" s="206" t="s">
        <v>85</v>
      </c>
      <c r="F26" s="209">
        <f>EconomiaT48!C17</f>
        <v>1482240</v>
      </c>
      <c r="G26" s="121">
        <f t="shared" ca="1" si="7"/>
        <v>7.385677309472799E-2</v>
      </c>
    </row>
    <row r="27" spans="2:11" x14ac:dyDescent="0.25">
      <c r="B27" s="138" t="s">
        <v>72</v>
      </c>
      <c r="C27" s="139">
        <f>EconomiaT48!C7</f>
        <v>2830725</v>
      </c>
      <c r="D27" s="202">
        <f>C27/C30</f>
        <v>0.14104882746287636</v>
      </c>
      <c r="E27" s="206" t="s">
        <v>86</v>
      </c>
      <c r="F27" s="209">
        <f>EconomiaT48!C18</f>
        <v>320000</v>
      </c>
      <c r="G27" s="121">
        <f t="shared" ca="1" si="7"/>
        <v>1.5944899200070809E-2</v>
      </c>
    </row>
    <row r="28" spans="2:11" x14ac:dyDescent="0.25">
      <c r="B28" s="138" t="s">
        <v>76</v>
      </c>
      <c r="C28" s="139">
        <f>EconomiaT48!C10</f>
        <v>10640</v>
      </c>
      <c r="D28" s="202">
        <f>C28/C30</f>
        <v>5.3016789840235436E-4</v>
      </c>
      <c r="E28" s="206" t="s">
        <v>89</v>
      </c>
      <c r="F28" s="209">
        <f>EconomiaT48!C21</f>
        <v>55200</v>
      </c>
      <c r="G28" s="121">
        <f t="shared" ca="1" si="7"/>
        <v>2.7504951120122145E-3</v>
      </c>
    </row>
    <row r="29" spans="2:11" x14ac:dyDescent="0.25">
      <c r="B29" s="116"/>
      <c r="C29" s="117"/>
      <c r="D29" s="140"/>
      <c r="E29" s="471" t="s">
        <v>90</v>
      </c>
      <c r="F29" s="472">
        <f>EconomiaT48!C22</f>
        <v>0</v>
      </c>
      <c r="G29" s="473">
        <f t="shared" ca="1" si="7"/>
        <v>0</v>
      </c>
    </row>
    <row r="30" spans="2:11" ht="18.75" x14ac:dyDescent="0.3">
      <c r="B30" s="146" t="s">
        <v>27</v>
      </c>
      <c r="C30" s="147">
        <f>C23+C21+C17+C11+C6</f>
        <v>20069114.014755197</v>
      </c>
      <c r="D30" s="474">
        <f>C30/C30</f>
        <v>1</v>
      </c>
      <c r="E30" s="146" t="s">
        <v>27</v>
      </c>
      <c r="F30" s="147">
        <f ca="1">F23+F19+F11+F6</f>
        <v>20069114.014755197</v>
      </c>
      <c r="G30" s="145">
        <f ca="1">F30/$F$30</f>
        <v>1</v>
      </c>
      <c r="J30" s="106"/>
    </row>
    <row r="31" spans="2:11" x14ac:dyDescent="0.25">
      <c r="C31" s="106"/>
      <c r="D31" s="475"/>
      <c r="E31" s="476" t="s">
        <v>604</v>
      </c>
      <c r="F31" s="477">
        <f ca="1">F30-C30</f>
        <v>0</v>
      </c>
      <c r="G31" s="106"/>
    </row>
    <row r="32" spans="2:11" x14ac:dyDescent="0.25">
      <c r="C32" s="106"/>
      <c r="D32" s="106"/>
      <c r="F32" s="106"/>
      <c r="G32" s="106"/>
      <c r="H32" s="106"/>
    </row>
    <row r="33" spans="2:7" ht="15.75" x14ac:dyDescent="0.25">
      <c r="B33" s="478" t="s">
        <v>660</v>
      </c>
      <c r="C33" s="479">
        <f>EconomiaT48!C24</f>
        <v>9386456.0147551969</v>
      </c>
      <c r="D33" s="106"/>
      <c r="E33" s="4" t="s">
        <v>661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108" priority="164" operator="lessThan">
      <formula>0</formula>
    </cfRule>
    <cfRule type="cellIs" dxfId="107" priority="165" operator="greaterThan">
      <formula>0</formula>
    </cfRule>
  </conditionalFormatting>
  <conditionalFormatting sqref="F33">
    <cfRule type="cellIs" dxfId="106" priority="51" operator="lessThan">
      <formula>0</formula>
    </cfRule>
  </conditionalFormatting>
  <conditionalFormatting sqref="C34">
    <cfRule type="cellIs" dxfId="105" priority="29" operator="greaterThan">
      <formula>0</formula>
    </cfRule>
    <cfRule type="cellIs" dxfId="104" priority="50" operator="lessThan">
      <formula>0</formula>
    </cfRule>
  </conditionalFormatting>
  <conditionalFormatting sqref="O4">
    <cfRule type="cellIs" dxfId="103" priority="27" operator="lessThan">
      <formula>0</formula>
    </cfRule>
    <cfRule type="cellIs" dxfId="102" priority="28" operator="greaterThan">
      <formula>0</formula>
    </cfRule>
  </conditionalFormatting>
  <conditionalFormatting sqref="O4 Q4">
    <cfRule type="cellIs" dxfId="101" priority="21" operator="lessThan">
      <formula>0</formula>
    </cfRule>
    <cfRule type="cellIs" dxfId="100" priority="22" operator="greaterThan">
      <formula>0</formula>
    </cfRule>
  </conditionalFormatting>
  <conditionalFormatting sqref="O5">
    <cfRule type="cellIs" dxfId="99" priority="17" operator="lessThan">
      <formula>0</formula>
    </cfRule>
    <cfRule type="cellIs" dxfId="98" priority="18" operator="greaterThan">
      <formula>0</formula>
    </cfRule>
  </conditionalFormatting>
  <conditionalFormatting sqref="O5 Q5">
    <cfRule type="cellIs" dxfId="97" priority="11" operator="lessThan">
      <formula>0</formula>
    </cfRule>
    <cfRule type="cellIs" dxfId="96" priority="12" operator="greaterThan">
      <formula>0</formula>
    </cfRule>
  </conditionalFormatting>
  <conditionalFormatting sqref="O6">
    <cfRule type="cellIs" dxfId="95" priority="7" operator="lessThan">
      <formula>0</formula>
    </cfRule>
    <cfRule type="cellIs" dxfId="94" priority="8" operator="greaterThan">
      <formula>0</formula>
    </cfRule>
  </conditionalFormatting>
  <conditionalFormatting sqref="O6 Q6">
    <cfRule type="cellIs" dxfId="93" priority="5" operator="lessThan">
      <formula>0</formula>
    </cfRule>
    <cfRule type="cellIs" dxfId="92" priority="6" operator="greaterThan">
      <formula>0</formula>
    </cfRule>
  </conditionalFormatting>
  <conditionalFormatting sqref="O7">
    <cfRule type="cellIs" dxfId="91" priority="3" operator="lessThan">
      <formula>0</formula>
    </cfRule>
    <cfRule type="cellIs" dxfId="90" priority="4" operator="greaterThan">
      <formula>0</formula>
    </cfRule>
  </conditionalFormatting>
  <conditionalFormatting sqref="O7 Q7">
    <cfRule type="cellIs" dxfId="89" priority="1" operator="lessThan">
      <formula>0</formula>
    </cfRule>
    <cfRule type="cellIs" dxfId="88" priority="2" operator="greaterThan">
      <formula>0</formula>
    </cfRule>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5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12">
        <f t="shared" si="1"/>
        <v>2735</v>
      </c>
    </row>
    <row r="5" spans="1:26" s="66" customFormat="1" ht="18.75" x14ac:dyDescent="0.3">
      <c r="A5" s="62" t="s">
        <v>70</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71</v>
      </c>
      <c r="B6" s="67" t="s">
        <v>71</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63">
        <v>21921</v>
      </c>
      <c r="N6" s="463">
        <v>633023</v>
      </c>
      <c r="O6" s="463">
        <v>19414</v>
      </c>
      <c r="P6" s="463">
        <f>609647+15477</f>
        <v>625124</v>
      </c>
      <c r="Q6" s="463">
        <v>18667</v>
      </c>
      <c r="R6" s="463">
        <v>566916</v>
      </c>
      <c r="S6" s="70">
        <v>42047</v>
      </c>
      <c r="Y6" s="67" t="s">
        <v>71</v>
      </c>
      <c r="Z6" s="71">
        <f>C6/$C$13</f>
        <v>0.52962031535536958</v>
      </c>
    </row>
    <row r="7" spans="1:26" x14ac:dyDescent="0.25">
      <c r="A7" s="67" t="s">
        <v>72</v>
      </c>
      <c r="B7" s="67" t="s">
        <v>72</v>
      </c>
      <c r="C7" s="68">
        <f t="shared" si="3"/>
        <v>2970900</v>
      </c>
      <c r="D7" s="72">
        <v>134315</v>
      </c>
      <c r="E7" s="72">
        <v>159845</v>
      </c>
      <c r="F7" s="72">
        <v>175015</v>
      </c>
      <c r="G7" s="72">
        <v>183525</v>
      </c>
      <c r="H7" s="72">
        <f>188150</f>
        <v>188150</v>
      </c>
      <c r="I7" s="72">
        <v>190740</v>
      </c>
      <c r="J7" s="72">
        <v>192035</v>
      </c>
      <c r="K7" s="72">
        <v>192405</v>
      </c>
      <c r="L7" s="72">
        <v>192775</v>
      </c>
      <c r="M7" s="558">
        <v>193050</v>
      </c>
      <c r="N7" s="72">
        <v>193700</v>
      </c>
      <c r="O7" s="72">
        <v>194255</v>
      </c>
      <c r="P7" s="72">
        <v>194810</v>
      </c>
      <c r="Q7" s="72">
        <v>195180</v>
      </c>
      <c r="R7" s="72">
        <v>195365</v>
      </c>
      <c r="S7" s="70">
        <v>195735</v>
      </c>
      <c r="Y7" s="67" t="s">
        <v>72</v>
      </c>
      <c r="Z7" s="71">
        <f t="shared" ref="Z7:Z12" si="4">C7/$C$13</f>
        <v>0.30664395229982966</v>
      </c>
    </row>
    <row r="8" spans="1:26" x14ac:dyDescent="0.25">
      <c r="A8" s="67" t="s">
        <v>73</v>
      </c>
      <c r="B8" s="67" t="s">
        <v>74</v>
      </c>
      <c r="C8" s="68">
        <f t="shared" si="3"/>
        <v>0</v>
      </c>
      <c r="D8" s="69">
        <v>0</v>
      </c>
      <c r="E8" s="69">
        <v>0</v>
      </c>
      <c r="F8" s="69">
        <v>0</v>
      </c>
      <c r="G8" s="69">
        <v>0</v>
      </c>
      <c r="H8" s="69">
        <v>0</v>
      </c>
      <c r="I8" s="69">
        <v>0</v>
      </c>
      <c r="J8" s="69">
        <v>0</v>
      </c>
      <c r="K8" s="69">
        <v>0</v>
      </c>
      <c r="L8" s="69">
        <v>0</v>
      </c>
      <c r="M8" s="456">
        <v>0</v>
      </c>
      <c r="N8" s="69">
        <v>0</v>
      </c>
      <c r="O8" s="69">
        <v>0</v>
      </c>
      <c r="P8" s="69">
        <v>0</v>
      </c>
      <c r="Q8" s="69">
        <v>0</v>
      </c>
      <c r="R8" s="69">
        <v>0</v>
      </c>
      <c r="S8" s="70">
        <v>0</v>
      </c>
      <c r="Y8" s="67" t="s">
        <v>74</v>
      </c>
      <c r="Z8" s="71">
        <f t="shared" si="4"/>
        <v>0</v>
      </c>
    </row>
    <row r="9" spans="1:26" x14ac:dyDescent="0.25">
      <c r="A9" s="67"/>
      <c r="B9" s="67" t="s">
        <v>75</v>
      </c>
      <c r="C9" s="68">
        <f t="shared" si="3"/>
        <v>272556</v>
      </c>
      <c r="D9" s="69">
        <v>0</v>
      </c>
      <c r="E9" s="69">
        <v>0</v>
      </c>
      <c r="F9" s="69">
        <v>0</v>
      </c>
      <c r="G9" s="69">
        <v>0</v>
      </c>
      <c r="H9" s="69">
        <v>0</v>
      </c>
      <c r="I9" s="69">
        <v>0</v>
      </c>
      <c r="J9" s="69">
        <v>0</v>
      </c>
      <c r="K9" s="69">
        <v>67830</v>
      </c>
      <c r="L9" s="69">
        <v>12351</v>
      </c>
      <c r="M9" s="456">
        <v>0</v>
      </c>
      <c r="N9" s="69">
        <v>0</v>
      </c>
      <c r="O9" s="69">
        <v>0</v>
      </c>
      <c r="P9" s="69">
        <v>0</v>
      </c>
      <c r="Q9" s="69">
        <v>192375</v>
      </c>
      <c r="R9" s="69">
        <v>0</v>
      </c>
      <c r="S9" s="70">
        <v>0</v>
      </c>
      <c r="Y9" s="67" t="s">
        <v>75</v>
      </c>
      <c r="Z9" s="71">
        <f t="shared" si="4"/>
        <v>2.8132097702054049E-2</v>
      </c>
    </row>
    <row r="10" spans="1:26" x14ac:dyDescent="0.25">
      <c r="A10" s="67" t="s">
        <v>76</v>
      </c>
      <c r="B10" s="67" t="s">
        <v>76</v>
      </c>
      <c r="C10" s="68">
        <f t="shared" si="3"/>
        <v>120557</v>
      </c>
      <c r="D10" s="72">
        <v>26320</v>
      </c>
      <c r="E10" s="72">
        <v>0</v>
      </c>
      <c r="F10" s="72">
        <v>20</v>
      </c>
      <c r="G10" s="72">
        <v>52163</v>
      </c>
      <c r="H10" s="72">
        <v>3034</v>
      </c>
      <c r="I10" s="72">
        <v>0</v>
      </c>
      <c r="J10" s="72">
        <v>0</v>
      </c>
      <c r="K10" s="72">
        <v>0</v>
      </c>
      <c r="L10" s="72">
        <v>0</v>
      </c>
      <c r="M10" s="457">
        <v>0</v>
      </c>
      <c r="N10" s="72">
        <v>0</v>
      </c>
      <c r="O10" s="72">
        <v>0</v>
      </c>
      <c r="P10" s="72">
        <v>0</v>
      </c>
      <c r="Q10" s="72">
        <v>39020</v>
      </c>
      <c r="R10" s="72">
        <v>0</v>
      </c>
      <c r="S10" s="70">
        <v>0</v>
      </c>
      <c r="Y10" s="67" t="s">
        <v>76</v>
      </c>
      <c r="Z10" s="71">
        <f t="shared" si="4"/>
        <v>1.2443392560305147E-2</v>
      </c>
    </row>
    <row r="11" spans="1:26" x14ac:dyDescent="0.25">
      <c r="A11" s="712" t="s">
        <v>77</v>
      </c>
      <c r="B11" s="67" t="s">
        <v>78</v>
      </c>
      <c r="C11" s="68">
        <f t="shared" si="3"/>
        <v>88230</v>
      </c>
      <c r="D11" s="72">
        <v>210</v>
      </c>
      <c r="E11" s="72">
        <v>300</v>
      </c>
      <c r="F11" s="72">
        <v>300</v>
      </c>
      <c r="G11" s="72">
        <v>270</v>
      </c>
      <c r="H11" s="72">
        <v>240</v>
      </c>
      <c r="I11" s="72">
        <v>120</v>
      </c>
      <c r="J11" s="72">
        <v>0</v>
      </c>
      <c r="K11" s="72">
        <v>60</v>
      </c>
      <c r="L11" s="72">
        <v>120</v>
      </c>
      <c r="M11" s="558">
        <v>120</v>
      </c>
      <c r="N11" s="72">
        <v>240</v>
      </c>
      <c r="O11" s="72">
        <v>240</v>
      </c>
      <c r="P11" s="72">
        <v>240</v>
      </c>
      <c r="Q11" s="72">
        <v>60</v>
      </c>
      <c r="R11" s="72">
        <v>240</v>
      </c>
      <c r="S11" s="70">
        <f>85230+240</f>
        <v>85470</v>
      </c>
      <c r="Y11" s="67" t="s">
        <v>78</v>
      </c>
      <c r="Z11" s="71">
        <f t="shared" si="4"/>
        <v>9.1067339565161966E-3</v>
      </c>
    </row>
    <row r="12" spans="1:26" x14ac:dyDescent="0.25">
      <c r="A12" s="713"/>
      <c r="B12" s="67" t="s">
        <v>79</v>
      </c>
      <c r="C12" s="68">
        <f t="shared" si="3"/>
        <v>1105000</v>
      </c>
      <c r="D12" s="72">
        <v>0</v>
      </c>
      <c r="E12" s="72">
        <v>0</v>
      </c>
      <c r="F12" s="72">
        <v>0</v>
      </c>
      <c r="G12" s="72">
        <v>0</v>
      </c>
      <c r="H12" s="72">
        <v>0</v>
      </c>
      <c r="I12" s="72">
        <v>0</v>
      </c>
      <c r="J12" s="72">
        <v>180000</v>
      </c>
      <c r="K12" s="72">
        <v>0</v>
      </c>
      <c r="L12" s="72">
        <v>0</v>
      </c>
      <c r="M12" s="457">
        <v>0</v>
      </c>
      <c r="N12" s="72">
        <v>0</v>
      </c>
      <c r="O12" s="72">
        <v>0</v>
      </c>
      <c r="P12" s="72">
        <v>0</v>
      </c>
      <c r="Q12" s="72">
        <v>0</v>
      </c>
      <c r="R12" s="72">
        <v>0</v>
      </c>
      <c r="S12" s="70">
        <v>925000</v>
      </c>
      <c r="Y12" s="67" t="s">
        <v>79</v>
      </c>
      <c r="Z12" s="71">
        <f t="shared" si="4"/>
        <v>0.11405350812592539</v>
      </c>
    </row>
    <row r="13" spans="1:26" s="78" customFormat="1" ht="18.75" x14ac:dyDescent="0.3">
      <c r="A13" s="73" t="s">
        <v>80</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81</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62">
        <v>147606</v>
      </c>
      <c r="N14" s="83">
        <v>147606</v>
      </c>
      <c r="O14" s="83">
        <v>147886</v>
      </c>
      <c r="P14" s="83">
        <f t="shared" ref="M14:S15" si="7">O14</f>
        <v>147886</v>
      </c>
      <c r="Q14" s="83">
        <v>148566</v>
      </c>
      <c r="R14" s="83">
        <v>150696</v>
      </c>
      <c r="S14" s="70">
        <v>153622</v>
      </c>
      <c r="Y14" s="714">
        <f>C13</f>
        <v>9688435</v>
      </c>
      <c r="Z14" s="715"/>
    </row>
    <row r="15" spans="1:26" x14ac:dyDescent="0.25">
      <c r="A15" s="80" t="s">
        <v>82</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62">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83</v>
      </c>
      <c r="B16" s="81" t="s">
        <v>84</v>
      </c>
      <c r="C16" s="82">
        <f t="shared" si="3"/>
        <v>374485</v>
      </c>
      <c r="D16" s="83">
        <v>0</v>
      </c>
      <c r="E16" s="83">
        <v>0</v>
      </c>
      <c r="F16" s="83">
        <v>0</v>
      </c>
      <c r="G16" s="83">
        <v>0</v>
      </c>
      <c r="H16" s="83">
        <v>374485</v>
      </c>
      <c r="I16" s="83">
        <v>0</v>
      </c>
      <c r="J16" s="83">
        <v>0</v>
      </c>
      <c r="K16" s="83">
        <v>0</v>
      </c>
      <c r="L16" s="83">
        <v>0</v>
      </c>
      <c r="M16" s="462">
        <v>0</v>
      </c>
      <c r="N16" s="83">
        <v>0</v>
      </c>
      <c r="O16" s="83">
        <v>0</v>
      </c>
      <c r="P16" s="83">
        <v>0</v>
      </c>
      <c r="Q16" s="83">
        <v>0</v>
      </c>
      <c r="R16" s="83">
        <v>0</v>
      </c>
      <c r="S16" s="70">
        <v>0</v>
      </c>
    </row>
    <row r="17" spans="1:26" x14ac:dyDescent="0.25">
      <c r="A17" s="80" t="s">
        <v>85</v>
      </c>
      <c r="B17" s="81" t="str">
        <f>A17</f>
        <v>Empleados</v>
      </c>
      <c r="C17" s="82">
        <f t="shared" si="3"/>
        <v>1044480</v>
      </c>
      <c r="D17" s="83">
        <v>65280</v>
      </c>
      <c r="E17" s="83">
        <v>65280</v>
      </c>
      <c r="F17" s="83">
        <v>65280</v>
      </c>
      <c r="G17" s="83">
        <v>65280</v>
      </c>
      <c r="H17" s="83">
        <v>65280</v>
      </c>
      <c r="I17" s="83">
        <v>65280</v>
      </c>
      <c r="J17" s="83">
        <v>65280</v>
      </c>
      <c r="K17" s="83">
        <v>65280</v>
      </c>
      <c r="L17" s="83">
        <v>65280</v>
      </c>
      <c r="M17" s="462">
        <v>65280</v>
      </c>
      <c r="N17" s="83">
        <v>65280</v>
      </c>
      <c r="O17" s="83">
        <v>65280</v>
      </c>
      <c r="P17" s="83">
        <v>65280</v>
      </c>
      <c r="Q17" s="83">
        <v>65280</v>
      </c>
      <c r="R17" s="83">
        <v>65280</v>
      </c>
      <c r="S17" s="70">
        <v>65280</v>
      </c>
    </row>
    <row r="18" spans="1:26" x14ac:dyDescent="0.25">
      <c r="A18" s="80" t="s">
        <v>86</v>
      </c>
      <c r="B18" s="81" t="str">
        <f>A18</f>
        <v>Juveniles</v>
      </c>
      <c r="C18" s="82">
        <f t="shared" si="3"/>
        <v>320000</v>
      </c>
      <c r="D18" s="83">
        <v>20000</v>
      </c>
      <c r="E18" s="83">
        <v>20000</v>
      </c>
      <c r="F18" s="83">
        <v>20000</v>
      </c>
      <c r="G18" s="83">
        <v>20000</v>
      </c>
      <c r="H18" s="83">
        <v>20000</v>
      </c>
      <c r="I18" s="83">
        <v>20000</v>
      </c>
      <c r="J18" s="83">
        <v>20000</v>
      </c>
      <c r="K18" s="83">
        <v>20000</v>
      </c>
      <c r="L18" s="83">
        <v>20000</v>
      </c>
      <c r="M18" s="462">
        <v>20000</v>
      </c>
      <c r="N18" s="83">
        <v>20000</v>
      </c>
      <c r="O18" s="83">
        <v>20000</v>
      </c>
      <c r="P18" s="83">
        <v>20000</v>
      </c>
      <c r="Q18" s="83">
        <v>20000</v>
      </c>
      <c r="R18" s="83">
        <v>20000</v>
      </c>
      <c r="S18" s="70">
        <v>20000</v>
      </c>
    </row>
    <row r="19" spans="1:26" x14ac:dyDescent="0.25">
      <c r="A19" s="80" t="s">
        <v>87</v>
      </c>
      <c r="B19" s="81" t="s">
        <v>88</v>
      </c>
      <c r="C19" s="82">
        <f t="shared" si="3"/>
        <v>11716116</v>
      </c>
      <c r="D19" s="83">
        <v>0</v>
      </c>
      <c r="E19" s="83">
        <v>0</v>
      </c>
      <c r="F19" s="83">
        <v>0</v>
      </c>
      <c r="G19" s="83">
        <v>0</v>
      </c>
      <c r="H19" s="83">
        <v>0</v>
      </c>
      <c r="I19" s="83">
        <v>0</v>
      </c>
      <c r="J19" s="83">
        <v>0</v>
      </c>
      <c r="K19" s="83">
        <v>11716116</v>
      </c>
      <c r="L19" s="83">
        <v>0</v>
      </c>
      <c r="M19" s="462">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462">
        <v>0</v>
      </c>
      <c r="N20" s="83">
        <v>0</v>
      </c>
      <c r="O20" s="83">
        <v>0</v>
      </c>
      <c r="P20" s="83">
        <v>0</v>
      </c>
      <c r="Q20" s="83">
        <v>0</v>
      </c>
      <c r="R20" s="83">
        <v>0</v>
      </c>
      <c r="S20" s="70">
        <v>0</v>
      </c>
    </row>
    <row r="21" spans="1:26" x14ac:dyDescent="0.25">
      <c r="A21" s="84"/>
      <c r="B21" s="81" t="s">
        <v>89</v>
      </c>
      <c r="C21" s="82">
        <f t="shared" si="3"/>
        <v>78000</v>
      </c>
      <c r="D21" s="83">
        <v>3000</v>
      </c>
      <c r="E21" s="83">
        <v>0</v>
      </c>
      <c r="F21" s="83">
        <v>0</v>
      </c>
      <c r="G21" s="83">
        <v>0</v>
      </c>
      <c r="H21" s="83">
        <v>3000</v>
      </c>
      <c r="I21" s="83">
        <v>2000</v>
      </c>
      <c r="J21" s="83">
        <v>1000</v>
      </c>
      <c r="K21" s="83">
        <v>3000</v>
      </c>
      <c r="L21" s="83">
        <v>6000</v>
      </c>
      <c r="M21" s="462">
        <v>9000</v>
      </c>
      <c r="N21" s="83">
        <v>9000</v>
      </c>
      <c r="O21" s="83">
        <v>6000</v>
      </c>
      <c r="P21" s="83">
        <v>3000</v>
      </c>
      <c r="Q21" s="83">
        <v>9000</v>
      </c>
      <c r="R21" s="83">
        <v>12000</v>
      </c>
      <c r="S21" s="70">
        <v>12000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462">
        <v>0</v>
      </c>
      <c r="N22" s="83">
        <v>0</v>
      </c>
      <c r="O22" s="83">
        <v>0</v>
      </c>
      <c r="P22" s="83">
        <v>0</v>
      </c>
      <c r="Q22" s="83">
        <v>0</v>
      </c>
      <c r="R22" s="83">
        <v>0</v>
      </c>
      <c r="S22" s="70">
        <v>0</v>
      </c>
    </row>
    <row r="23" spans="1:26" s="90" customFormat="1" ht="18.75" x14ac:dyDescent="0.3">
      <c r="A23" s="85" t="s">
        <v>91</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81</v>
      </c>
      <c r="Z23" s="91">
        <f>C14/$C$23</f>
        <v>0.11808172030670221</v>
      </c>
    </row>
    <row r="24" spans="1:26" s="66" customFormat="1" ht="18.75" x14ac:dyDescent="0.3">
      <c r="A24" s="92" t="s">
        <v>92</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82</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84</v>
      </c>
      <c r="Z25" s="91">
        <f t="shared" si="10"/>
        <v>2.3357881402077906E-2</v>
      </c>
    </row>
    <row r="26" spans="1:26" s="53" customFormat="1" x14ac:dyDescent="0.25">
      <c r="A26" s="716" t="s">
        <v>93</v>
      </c>
      <c r="B26" s="716"/>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85</v>
      </c>
      <c r="Z26" s="91">
        <f t="shared" si="10"/>
        <v>6.5147709432533563E-2</v>
      </c>
    </row>
    <row r="27" spans="1:26" s="53" customFormat="1" x14ac:dyDescent="0.25">
      <c r="A27" s="717" t="s">
        <v>94</v>
      </c>
      <c r="B27" s="717"/>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86</v>
      </c>
      <c r="Z27" s="91">
        <f t="shared" si="10"/>
        <v>1.9959469801634058E-2</v>
      </c>
    </row>
    <row r="28" spans="1:26" x14ac:dyDescent="0.25">
      <c r="A28" s="718" t="s">
        <v>95</v>
      </c>
      <c r="B28" s="718"/>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88</v>
      </c>
      <c r="Z28" s="91">
        <f t="shared" si="10"/>
        <v>0.73077332342013002</v>
      </c>
    </row>
    <row r="29" spans="1:26" x14ac:dyDescent="0.25">
      <c r="A29" s="716" t="s">
        <v>96</v>
      </c>
      <c r="B29" s="716"/>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67</v>
      </c>
      <c r="Z29" s="91">
        <f t="shared" si="10"/>
        <v>0</v>
      </c>
    </row>
    <row r="30" spans="1:26" s="59" customFormat="1" x14ac:dyDescent="0.25">
      <c r="A30" s="717" t="s">
        <v>97</v>
      </c>
      <c r="B30" s="717"/>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89</v>
      </c>
      <c r="Z30" s="91">
        <f t="shared" si="10"/>
        <v>4.8651207641483016E-3</v>
      </c>
    </row>
    <row r="31" spans="1:26" s="59" customFormat="1" x14ac:dyDescent="0.25">
      <c r="A31" s="718" t="s">
        <v>98</v>
      </c>
      <c r="B31" s="718"/>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90</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c r="H33" s="174">
        <v>21</v>
      </c>
      <c r="I33" s="174"/>
      <c r="J33" s="174">
        <v>22</v>
      </c>
      <c r="K33" s="174">
        <v>22</v>
      </c>
      <c r="L33" s="174">
        <v>22</v>
      </c>
      <c r="M33" s="174"/>
      <c r="N33" s="174"/>
      <c r="O33" s="174">
        <v>21</v>
      </c>
      <c r="P33" s="174">
        <v>21</v>
      </c>
      <c r="Q33" s="174"/>
      <c r="R33" s="174">
        <v>21</v>
      </c>
      <c r="S33" s="174">
        <v>21</v>
      </c>
      <c r="Z33" s="369"/>
    </row>
    <row r="34" spans="1:26" s="59" customFormat="1" ht="18.75" x14ac:dyDescent="0.3">
      <c r="A34" s="57"/>
      <c r="B34" s="719" t="s">
        <v>437</v>
      </c>
      <c r="C34" s="173" t="s">
        <v>181</v>
      </c>
      <c r="D34" s="174">
        <v>822630</v>
      </c>
      <c r="E34" s="174">
        <v>857970</v>
      </c>
      <c r="F34" s="174">
        <v>858890</v>
      </c>
      <c r="G34" s="174"/>
      <c r="H34" s="174">
        <v>924780</v>
      </c>
      <c r="I34" s="174"/>
      <c r="J34" s="174">
        <v>945480</v>
      </c>
      <c r="K34" s="174">
        <v>942560</v>
      </c>
      <c r="L34" s="174">
        <v>1056530</v>
      </c>
      <c r="M34" s="174"/>
      <c r="N34" s="174"/>
      <c r="O34" s="174">
        <v>1100960</v>
      </c>
      <c r="P34" s="174">
        <v>1132050</v>
      </c>
      <c r="Q34" s="174"/>
      <c r="R34" s="174">
        <v>1149100</v>
      </c>
      <c r="S34" s="174">
        <v>1165160</v>
      </c>
      <c r="Y34" s="709">
        <f>C23</f>
        <v>16032490</v>
      </c>
      <c r="Z34" s="710"/>
    </row>
    <row r="35" spans="1:26" x14ac:dyDescent="0.25">
      <c r="A35" s="57"/>
      <c r="B35" s="719"/>
      <c r="C35" s="173" t="s">
        <v>104</v>
      </c>
      <c r="D35" s="174">
        <v>85970</v>
      </c>
      <c r="E35" s="174">
        <v>85700</v>
      </c>
      <c r="F35" s="174">
        <v>85700</v>
      </c>
      <c r="G35" s="174"/>
      <c r="H35" s="174">
        <v>88740</v>
      </c>
      <c r="I35" s="174"/>
      <c r="J35" s="174">
        <v>89890</v>
      </c>
      <c r="K35" s="174">
        <v>90810</v>
      </c>
      <c r="L35" s="174">
        <v>145806</v>
      </c>
      <c r="M35" s="174"/>
      <c r="N35" s="174"/>
      <c r="O35" s="174">
        <v>147586</v>
      </c>
      <c r="P35" s="174">
        <v>148266</v>
      </c>
      <c r="Q35" s="174"/>
      <c r="R35" s="174">
        <v>150396</v>
      </c>
      <c r="S35" s="174">
        <v>153322</v>
      </c>
    </row>
    <row r="36" spans="1:26" x14ac:dyDescent="0.25">
      <c r="A36" s="57"/>
      <c r="B36" s="719"/>
      <c r="C36" s="173" t="s">
        <v>663</v>
      </c>
      <c r="D36" s="174">
        <v>722970</v>
      </c>
      <c r="E36" s="174">
        <v>754480</v>
      </c>
      <c r="F36" s="174">
        <v>754760</v>
      </c>
      <c r="G36" s="174"/>
      <c r="H36" s="174">
        <v>818520</v>
      </c>
      <c r="I36" s="174"/>
      <c r="J36" s="174">
        <v>836020</v>
      </c>
      <c r="K36" s="174">
        <v>836190</v>
      </c>
      <c r="L36" s="174">
        <v>935210</v>
      </c>
      <c r="M36" s="174"/>
      <c r="N36" s="174"/>
      <c r="O36" s="174">
        <v>970750</v>
      </c>
      <c r="P36" s="174">
        <v>1001650</v>
      </c>
      <c r="Q36" s="174"/>
      <c r="R36" s="174">
        <v>1014120</v>
      </c>
      <c r="S36" s="174">
        <v>1026070</v>
      </c>
    </row>
    <row r="37" spans="1:26" x14ac:dyDescent="0.25">
      <c r="A37" s="57"/>
      <c r="B37" s="719"/>
      <c r="C37" s="173" t="s">
        <v>664</v>
      </c>
      <c r="D37" s="174">
        <v>72350</v>
      </c>
      <c r="E37" s="174">
        <v>67710</v>
      </c>
      <c r="F37" s="174">
        <v>67710</v>
      </c>
      <c r="G37" s="174"/>
      <c r="H37" s="174">
        <v>70730</v>
      </c>
      <c r="I37" s="174"/>
      <c r="J37" s="174">
        <v>71370</v>
      </c>
      <c r="K37" s="174">
        <v>71370</v>
      </c>
      <c r="L37" s="174">
        <v>125136</v>
      </c>
      <c r="M37" s="174"/>
      <c r="N37" s="174"/>
      <c r="O37" s="174">
        <v>126776</v>
      </c>
      <c r="P37" s="174">
        <v>126776</v>
      </c>
      <c r="Q37" s="174"/>
      <c r="R37" s="174">
        <v>129076</v>
      </c>
      <c r="S37" s="174">
        <v>132232</v>
      </c>
    </row>
    <row r="38" spans="1:26" x14ac:dyDescent="0.25">
      <c r="A38" s="57"/>
      <c r="B38" s="719"/>
      <c r="C38" s="173" t="s">
        <v>665</v>
      </c>
      <c r="D38" s="175" t="s">
        <v>773</v>
      </c>
      <c r="E38" s="175" t="s">
        <v>774</v>
      </c>
      <c r="F38" s="175" t="s">
        <v>775</v>
      </c>
      <c r="G38" s="175"/>
      <c r="H38" s="175" t="s">
        <v>776</v>
      </c>
      <c r="I38" s="175"/>
      <c r="J38" s="175" t="s">
        <v>779</v>
      </c>
      <c r="K38" s="175" t="s">
        <v>781</v>
      </c>
      <c r="L38" s="175" t="s">
        <v>784</v>
      </c>
      <c r="M38" s="175"/>
      <c r="N38" s="175"/>
      <c r="O38" s="175" t="s">
        <v>788</v>
      </c>
      <c r="P38" s="175" t="s">
        <v>789</v>
      </c>
      <c r="Q38" s="175"/>
      <c r="R38" s="175" t="s">
        <v>790</v>
      </c>
      <c r="S38" s="175" t="s">
        <v>792</v>
      </c>
    </row>
    <row r="39" spans="1:26" x14ac:dyDescent="0.25">
      <c r="A39" s="57"/>
      <c r="B39" s="719"/>
      <c r="C39" s="173" t="s">
        <v>666</v>
      </c>
      <c r="D39" s="176">
        <v>7</v>
      </c>
      <c r="E39" s="176">
        <v>7</v>
      </c>
      <c r="F39" s="176">
        <v>7</v>
      </c>
      <c r="G39" s="176"/>
      <c r="H39" s="176">
        <v>7</v>
      </c>
      <c r="I39" s="176"/>
      <c r="J39" s="176">
        <v>7</v>
      </c>
      <c r="K39" s="176">
        <v>7</v>
      </c>
      <c r="L39" s="176">
        <v>7</v>
      </c>
      <c r="M39" s="176"/>
      <c r="N39" s="176"/>
      <c r="O39" s="176">
        <v>7</v>
      </c>
      <c r="P39" s="176">
        <v>7</v>
      </c>
      <c r="Q39" s="176"/>
      <c r="R39" s="176">
        <v>7</v>
      </c>
      <c r="S39" s="176">
        <v>7</v>
      </c>
    </row>
    <row r="40" spans="1:26" x14ac:dyDescent="0.25">
      <c r="B40" s="719"/>
      <c r="C40" s="173" t="s">
        <v>667</v>
      </c>
      <c r="D40" s="176">
        <v>6</v>
      </c>
      <c r="E40" s="176">
        <v>6</v>
      </c>
      <c r="F40" s="176">
        <v>6</v>
      </c>
      <c r="G40" s="176"/>
      <c r="H40" s="176">
        <v>6.5</v>
      </c>
      <c r="I40" s="176"/>
      <c r="J40" s="176">
        <v>6.75</v>
      </c>
      <c r="K40" s="176">
        <v>6.5</v>
      </c>
      <c r="L40" s="176">
        <v>6.5</v>
      </c>
      <c r="M40" s="176"/>
      <c r="N40" s="176"/>
      <c r="O40" s="176">
        <v>6.5</v>
      </c>
      <c r="P40" s="176">
        <v>6.75</v>
      </c>
      <c r="Q40" s="176"/>
      <c r="R40" s="176">
        <v>6.25</v>
      </c>
      <c r="S40" s="176">
        <v>6.25</v>
      </c>
    </row>
    <row r="41" spans="1:26" x14ac:dyDescent="0.25">
      <c r="B41" s="719"/>
      <c r="C41" s="173" t="s">
        <v>668</v>
      </c>
      <c r="D41" s="176">
        <v>5.25</v>
      </c>
      <c r="E41" s="176">
        <v>5</v>
      </c>
      <c r="F41" s="176">
        <v>5</v>
      </c>
      <c r="G41" s="176"/>
      <c r="H41" s="176">
        <v>5.25</v>
      </c>
      <c r="I41" s="176"/>
      <c r="J41" s="176">
        <v>5.5</v>
      </c>
      <c r="K41" s="176">
        <v>5.5</v>
      </c>
      <c r="L41" s="176">
        <v>6.5</v>
      </c>
      <c r="M41" s="176"/>
      <c r="N41" s="176"/>
      <c r="O41" s="176">
        <v>6.5</v>
      </c>
      <c r="P41" s="176">
        <v>6.5</v>
      </c>
      <c r="Q41" s="176"/>
      <c r="R41" s="176">
        <v>6.75</v>
      </c>
      <c r="S41" s="176">
        <v>6.75</v>
      </c>
    </row>
    <row r="42" spans="1:26" ht="15" customHeight="1" x14ac:dyDescent="0.25">
      <c r="C42" s="164" t="s">
        <v>438</v>
      </c>
      <c r="D42" s="288">
        <f>D34/D35</f>
        <v>9.5688030708386638</v>
      </c>
      <c r="E42" s="288">
        <f>E34/E35</f>
        <v>10.011318553092183</v>
      </c>
      <c r="F42" s="288">
        <f t="shared" ref="F42:S42" si="18">F34/F35</f>
        <v>10.022053675612602</v>
      </c>
      <c r="G42" s="288" t="e">
        <f t="shared" si="18"/>
        <v>#DIV/0!</v>
      </c>
      <c r="H42" s="288">
        <f t="shared" si="18"/>
        <v>10.421230561189994</v>
      </c>
      <c r="I42" s="288" t="e">
        <f t="shared" si="18"/>
        <v>#DIV/0!</v>
      </c>
      <c r="J42" s="288">
        <f t="shared" si="18"/>
        <v>10.518188897541439</v>
      </c>
      <c r="K42" s="288">
        <f t="shared" si="18"/>
        <v>10.379473626252615</v>
      </c>
      <c r="L42" s="288">
        <f t="shared" si="18"/>
        <v>7.246135275640234</v>
      </c>
      <c r="M42" s="288" t="e">
        <f t="shared" si="18"/>
        <v>#DIV/0!</v>
      </c>
      <c r="N42" s="288" t="e">
        <f t="shared" si="18"/>
        <v>#DIV/0!</v>
      </c>
      <c r="O42" s="288">
        <f t="shared" si="18"/>
        <v>7.4597861585787273</v>
      </c>
      <c r="P42" s="288">
        <f t="shared" si="18"/>
        <v>7.6352636477682001</v>
      </c>
      <c r="Q42" s="288" t="e">
        <f t="shared" si="18"/>
        <v>#DIV/0!</v>
      </c>
      <c r="R42" s="288">
        <f t="shared" si="18"/>
        <v>7.6404957578659003</v>
      </c>
      <c r="S42" s="288">
        <f t="shared" si="18"/>
        <v>7.5994312623106923</v>
      </c>
    </row>
    <row r="43" spans="1:26" ht="15" customHeight="1" x14ac:dyDescent="0.25">
      <c r="D43" s="9"/>
      <c r="E43" s="559"/>
      <c r="G43" s="711"/>
      <c r="H43" s="711"/>
      <c r="I43" s="711"/>
      <c r="J43" s="711"/>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20"/>
      <c r="H46" s="720"/>
      <c r="I46" s="720"/>
      <c r="J46" s="720"/>
      <c r="M46" s="383"/>
    </row>
    <row r="47" spans="1:26" x14ac:dyDescent="0.25">
      <c r="E47" s="106"/>
      <c r="G47" s="560"/>
      <c r="H47" s="560"/>
      <c r="I47" s="560"/>
      <c r="J47" s="560"/>
    </row>
    <row r="48" spans="1:26" x14ac:dyDescent="0.25">
      <c r="G48" s="720"/>
      <c r="H48" s="720"/>
      <c r="I48" s="720"/>
      <c r="J48" s="720"/>
      <c r="P48" s="383"/>
    </row>
    <row r="49" spans="7:10" ht="15" customHeight="1" x14ac:dyDescent="0.25">
      <c r="G49" s="720"/>
      <c r="H49" s="720"/>
      <c r="I49" s="720"/>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21" t="s">
        <v>770</v>
      </c>
      <c r="C2" s="722"/>
      <c r="D2" s="722"/>
      <c r="E2" s="722"/>
      <c r="F2" s="722"/>
      <c r="G2" s="723"/>
      <c r="I2" s="732" t="s">
        <v>771</v>
      </c>
      <c r="J2" s="733"/>
      <c r="K2" s="733"/>
      <c r="L2" s="733"/>
      <c r="M2" s="733"/>
      <c r="N2" s="733"/>
      <c r="O2" s="733"/>
      <c r="P2" s="733"/>
      <c r="Q2" s="733"/>
      <c r="R2" s="733"/>
      <c r="S2" s="734"/>
    </row>
    <row r="3" spans="2:19" x14ac:dyDescent="0.25">
      <c r="B3" s="725" t="s">
        <v>102</v>
      </c>
      <c r="C3" s="726"/>
      <c r="D3" s="726"/>
      <c r="E3" s="726"/>
      <c r="F3" s="726"/>
      <c r="G3" s="727"/>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5" t="s">
        <v>113</v>
      </c>
      <c r="C4" s="736"/>
      <c r="D4" s="109"/>
      <c r="E4" s="737" t="s">
        <v>114</v>
      </c>
      <c r="F4" s="738"/>
      <c r="G4" s="109"/>
      <c r="I4" s="396" t="s">
        <v>491</v>
      </c>
      <c r="J4" s="397" t="s">
        <v>786</v>
      </c>
      <c r="K4" s="396">
        <v>0</v>
      </c>
      <c r="L4" s="396">
        <v>0</v>
      </c>
      <c r="M4" s="396">
        <v>71400</v>
      </c>
      <c r="N4" s="396">
        <f>M4*0.05</f>
        <v>3570</v>
      </c>
      <c r="O4" s="398">
        <f t="shared" ref="O4" si="0">IF(M4=0,0,M4-K4)-N4</f>
        <v>67830</v>
      </c>
      <c r="P4" s="398">
        <f t="shared" ref="P4" si="1">IF(M4=0,K4,0)</f>
        <v>0</v>
      </c>
      <c r="Q4" s="399"/>
      <c r="R4" s="400"/>
      <c r="S4" s="400">
        <v>42467</v>
      </c>
    </row>
    <row r="5" spans="2:19" x14ac:dyDescent="0.25">
      <c r="B5" s="113"/>
      <c r="C5" s="114"/>
      <c r="D5" s="201"/>
      <c r="E5" s="113"/>
      <c r="F5" s="114"/>
      <c r="G5" s="115"/>
      <c r="I5" s="396" t="s">
        <v>491</v>
      </c>
      <c r="J5" s="397" t="s">
        <v>787</v>
      </c>
      <c r="K5" s="396">
        <v>0</v>
      </c>
      <c r="L5" s="396">
        <v>0</v>
      </c>
      <c r="M5" s="396">
        <v>13001</v>
      </c>
      <c r="N5" s="396">
        <v>650</v>
      </c>
      <c r="O5" s="398">
        <f t="shared" ref="O5" si="2">IF(M5=0,0,M5-K5)-N5</f>
        <v>12351</v>
      </c>
      <c r="P5" s="398">
        <f t="shared" ref="P5" si="3">IF(M5=0,K5,0)</f>
        <v>0</v>
      </c>
      <c r="Q5" s="399"/>
      <c r="R5" s="400"/>
      <c r="S5" s="400">
        <v>42471</v>
      </c>
    </row>
    <row r="6" spans="2:19" x14ac:dyDescent="0.25">
      <c r="B6" s="116" t="s">
        <v>116</v>
      </c>
      <c r="C6" s="117">
        <f>SUM(C7:C9)</f>
        <v>5301170</v>
      </c>
      <c r="D6" s="140">
        <f>C6/C34</f>
        <v>0.14788584142163574</v>
      </c>
      <c r="E6" s="116" t="s">
        <v>117</v>
      </c>
      <c r="F6" s="117">
        <f ca="1">F7+F8+F9</f>
        <v>14313141.014755197</v>
      </c>
      <c r="G6" s="118">
        <f ca="1">F6/$F$34</f>
        <v>0.39929127010708909</v>
      </c>
      <c r="I6" s="568" t="s">
        <v>115</v>
      </c>
      <c r="J6" s="110" t="s">
        <v>783</v>
      </c>
      <c r="K6" s="568">
        <v>11662680</v>
      </c>
      <c r="L6" s="568">
        <v>53436</v>
      </c>
      <c r="M6" s="568">
        <v>0</v>
      </c>
      <c r="N6" s="568">
        <v>0</v>
      </c>
      <c r="O6" s="111">
        <f t="shared" ref="O6" si="4">IF(M6=0,0,M6-K6)-N6</f>
        <v>0</v>
      </c>
      <c r="P6" s="111">
        <f t="shared" ref="P6" si="5">IF(M6=0,K6,0)</f>
        <v>11662680</v>
      </c>
      <c r="Q6" s="569"/>
      <c r="R6" s="112">
        <v>42468</v>
      </c>
      <c r="S6" s="112"/>
    </row>
    <row r="7" spans="2:19" x14ac:dyDescent="0.25">
      <c r="B7" s="119" t="s">
        <v>84</v>
      </c>
      <c r="C7" s="120">
        <f>'A-P_T48'!C7+EconomiaT49!C16</f>
        <v>3241370</v>
      </c>
      <c r="D7" s="202">
        <f>C7/C34</f>
        <v>9.0423949771248138E-2</v>
      </c>
      <c r="E7" s="203" t="s">
        <v>118</v>
      </c>
      <c r="F7" s="204">
        <v>300000</v>
      </c>
      <c r="G7" s="121">
        <f ca="1">F7/$F$34</f>
        <v>8.3690491771610271E-3</v>
      </c>
      <c r="I7" s="470"/>
      <c r="J7" s="470"/>
      <c r="K7" s="470"/>
      <c r="L7" s="470"/>
      <c r="M7" s="470"/>
      <c r="N7" s="470"/>
      <c r="O7" s="470"/>
      <c r="P7" s="470"/>
      <c r="Q7" s="470"/>
      <c r="R7" s="470"/>
      <c r="S7" s="470"/>
    </row>
    <row r="8" spans="2:19" x14ac:dyDescent="0.25">
      <c r="B8" s="119" t="s">
        <v>67</v>
      </c>
      <c r="C8" s="120">
        <f>'A-P_T48'!C8+EconomiaT49!C20+'A-P_T48'!C9</f>
        <v>2059800</v>
      </c>
      <c r="D8" s="202">
        <f>C8/C34</f>
        <v>5.7461891650387613E-2</v>
      </c>
      <c r="E8" s="203" t="s">
        <v>261</v>
      </c>
      <c r="F8" s="204">
        <f ca="1">'A-P_T48'!F9+'A-P_T48'!F8</f>
        <v>13614829.014755197</v>
      </c>
      <c r="G8" s="121">
        <f ca="1">F8/$F$34</f>
        <v>0.37981057854375022</v>
      </c>
      <c r="I8" s="470"/>
      <c r="J8" s="470"/>
      <c r="K8" s="470"/>
      <c r="L8" s="470"/>
      <c r="M8" s="470"/>
      <c r="N8" s="470"/>
      <c r="O8" s="470"/>
      <c r="P8" s="470"/>
      <c r="Q8" s="470"/>
      <c r="R8" s="470"/>
      <c r="S8" s="470"/>
    </row>
    <row r="9" spans="2:19" x14ac:dyDescent="0.25">
      <c r="B9" s="122" t="s">
        <v>119</v>
      </c>
      <c r="C9" s="123">
        <v>0</v>
      </c>
      <c r="D9" s="202">
        <f>C9/C34</f>
        <v>0</v>
      </c>
      <c r="E9" s="203" t="s">
        <v>772</v>
      </c>
      <c r="F9" s="204">
        <f>'A-P_T48'!F11-2059800</f>
        <v>398312</v>
      </c>
      <c r="G9" s="121">
        <f ca="1">F9/$F$34</f>
        <v>1.1111642386177878E-2</v>
      </c>
      <c r="I9" s="470"/>
      <c r="J9" s="470"/>
      <c r="K9" s="470"/>
      <c r="L9" s="470"/>
      <c r="M9" s="470"/>
      <c r="N9" s="470"/>
      <c r="O9" s="470"/>
      <c r="P9" s="470"/>
      <c r="Q9" s="470"/>
      <c r="R9" s="470"/>
      <c r="S9" s="470"/>
    </row>
    <row r="10" spans="2:19" x14ac:dyDescent="0.25">
      <c r="B10" s="124"/>
      <c r="C10" s="125"/>
      <c r="D10" s="140"/>
      <c r="E10" s="205"/>
      <c r="F10" s="125"/>
      <c r="G10" s="118"/>
      <c r="I10" s="470"/>
      <c r="J10" s="470"/>
      <c r="K10" s="470"/>
      <c r="L10" s="470"/>
      <c r="M10" s="470"/>
      <c r="N10" s="470"/>
      <c r="O10" s="470"/>
      <c r="P10" s="470"/>
      <c r="Q10" s="470"/>
      <c r="R10" s="470"/>
      <c r="S10" s="470"/>
    </row>
    <row r="11" spans="2:19" x14ac:dyDescent="0.25">
      <c r="B11" s="116" t="s">
        <v>100</v>
      </c>
      <c r="C11" s="117">
        <f>SUM(C12:C15)</f>
        <v>11662680</v>
      </c>
      <c r="D11" s="140">
        <f>C11/C34</f>
        <v>0.32535180819164122</v>
      </c>
      <c r="E11" s="116" t="s">
        <v>657</v>
      </c>
      <c r="F11" s="117">
        <f>SUM(F12:F17)</f>
        <v>5554171</v>
      </c>
      <c r="G11" s="118">
        <f t="shared" ref="G11:G17" ca="1" si="6">F11/$F$34</f>
        <v>0.15494376745787214</v>
      </c>
      <c r="I11" s="470"/>
      <c r="J11" s="470"/>
      <c r="K11" s="470"/>
      <c r="L11" s="470"/>
      <c r="M11" s="470"/>
      <c r="N11" s="470"/>
      <c r="O11" s="470"/>
      <c r="P11" s="470"/>
      <c r="Q11" s="470"/>
      <c r="R11" s="470"/>
      <c r="S11" s="470"/>
    </row>
    <row r="12" spans="2:19" x14ac:dyDescent="0.25">
      <c r="B12" s="129" t="s">
        <v>121</v>
      </c>
      <c r="C12" s="130">
        <f>SUMIF(I4:I520,"S",$P$4:$P$520)</f>
        <v>0</v>
      </c>
      <c r="D12" s="202">
        <f>C12/C34</f>
        <v>0</v>
      </c>
      <c r="E12" s="49" t="s">
        <v>122</v>
      </c>
      <c r="F12" s="131">
        <f>SUMIF(I4:I520,"J",$O$4:$O$520)</f>
        <v>0</v>
      </c>
      <c r="G12" s="121">
        <f t="shared" ca="1" si="6"/>
        <v>0</v>
      </c>
      <c r="I12" s="470"/>
      <c r="J12" s="470"/>
      <c r="K12" s="470"/>
      <c r="L12" s="470"/>
      <c r="M12" s="470"/>
      <c r="N12" s="470"/>
      <c r="O12" s="470"/>
      <c r="P12" s="470"/>
      <c r="Q12" s="470"/>
      <c r="R12" s="470"/>
      <c r="S12" s="470"/>
    </row>
    <row r="13" spans="2:19" x14ac:dyDescent="0.25">
      <c r="B13" s="129" t="s">
        <v>100</v>
      </c>
      <c r="C13" s="130">
        <f>SUMIF(I4:I520,"J",$P$4:$P$520)</f>
        <v>11662680</v>
      </c>
      <c r="D13" s="202">
        <f>C13/C34</f>
        <v>0.32535180819164122</v>
      </c>
      <c r="E13" s="49" t="s">
        <v>123</v>
      </c>
      <c r="F13" s="131">
        <f>SUMIF(I4:I520,"S",$O$4:$O$520)</f>
        <v>0</v>
      </c>
      <c r="G13" s="121">
        <f t="shared" ca="1" si="6"/>
        <v>0</v>
      </c>
      <c r="I13" s="470"/>
      <c r="J13" s="470"/>
      <c r="K13" s="470"/>
      <c r="L13" s="470"/>
      <c r="M13" s="470"/>
      <c r="N13" s="470"/>
      <c r="O13" s="470"/>
      <c r="P13" s="470"/>
      <c r="Q13" s="470"/>
      <c r="R13" s="470"/>
      <c r="S13" s="470"/>
    </row>
    <row r="14" spans="2:19" x14ac:dyDescent="0.25">
      <c r="B14" s="129" t="s">
        <v>99</v>
      </c>
      <c r="C14" s="130">
        <f>SUMIF(I4:I520,"E",$P$4:$P$520)</f>
        <v>0</v>
      </c>
      <c r="D14" s="202">
        <f>C14/C34</f>
        <v>0</v>
      </c>
      <c r="E14" s="49" t="s">
        <v>124</v>
      </c>
      <c r="F14" s="131">
        <f>SUMIF(I4:I520,"C",$O$4:$O$520)</f>
        <v>80181</v>
      </c>
      <c r="G14" s="121">
        <f t="shared" ca="1" si="6"/>
        <v>2.236795773579828E-3</v>
      </c>
      <c r="I14" s="470"/>
      <c r="J14" s="470"/>
      <c r="K14" s="470"/>
      <c r="L14" s="470"/>
      <c r="M14" s="470"/>
      <c r="N14" s="470"/>
      <c r="O14" s="470"/>
      <c r="P14" s="470"/>
      <c r="Q14" s="470"/>
      <c r="R14" s="470"/>
      <c r="S14" s="470"/>
    </row>
    <row r="15" spans="2:19" x14ac:dyDescent="0.25">
      <c r="B15" s="129" t="s">
        <v>125</v>
      </c>
      <c r="C15" s="130">
        <f>SUMIF(I4:I520,"M",$P$4:$P$520)</f>
        <v>0</v>
      </c>
      <c r="D15" s="202">
        <f>C15/C34</f>
        <v>0</v>
      </c>
      <c r="E15" s="49" t="s">
        <v>126</v>
      </c>
      <c r="F15" s="131">
        <f>SUMIF(I4:I520,"E",$O$4:$O$520)</f>
        <v>0</v>
      </c>
      <c r="G15" s="121">
        <f t="shared" ca="1" si="6"/>
        <v>0</v>
      </c>
      <c r="I15" s="470"/>
      <c r="J15" s="470"/>
      <c r="K15" s="470"/>
      <c r="L15" s="470"/>
      <c r="M15" s="470"/>
      <c r="N15" s="470"/>
      <c r="O15" s="470"/>
      <c r="P15" s="470"/>
      <c r="Q15" s="470"/>
      <c r="R15" s="470"/>
      <c r="S15" s="470"/>
    </row>
    <row r="16" spans="2:19" x14ac:dyDescent="0.25">
      <c r="B16" s="132"/>
      <c r="C16" s="133"/>
      <c r="D16" s="140"/>
      <c r="E16" s="49" t="s">
        <v>127</v>
      </c>
      <c r="F16" s="131">
        <f>SUMIF(I4:I520,"M",$O$4:$O$520)</f>
        <v>0</v>
      </c>
      <c r="G16" s="121">
        <f t="shared" ca="1" si="6"/>
        <v>0</v>
      </c>
      <c r="I16" s="470"/>
      <c r="J16" s="470"/>
      <c r="K16" s="470"/>
      <c r="L16" s="470"/>
      <c r="M16" s="470"/>
      <c r="N16" s="470"/>
      <c r="O16" s="470"/>
      <c r="P16" s="470"/>
      <c r="Q16" s="470"/>
      <c r="R16" s="470"/>
      <c r="S16" s="470"/>
    </row>
    <row r="17" spans="2:11" x14ac:dyDescent="0.25">
      <c r="B17" s="116" t="s">
        <v>74</v>
      </c>
      <c r="C17" s="134">
        <f>C18+C19</f>
        <v>80181</v>
      </c>
      <c r="D17" s="140">
        <f>C17/C34</f>
        <v>2.236795773579828E-3</v>
      </c>
      <c r="E17" s="135" t="s">
        <v>658</v>
      </c>
      <c r="F17" s="136">
        <f>C27-F27+C9</f>
        <v>5473990</v>
      </c>
      <c r="G17" s="121">
        <f t="shared" ca="1" si="6"/>
        <v>0.15270697168429231</v>
      </c>
      <c r="K17" s="106"/>
    </row>
    <row r="18" spans="2:11" x14ac:dyDescent="0.25">
      <c r="B18" s="129" t="s">
        <v>74</v>
      </c>
      <c r="C18" s="130">
        <f>SUM(M4:M520)</f>
        <v>84401</v>
      </c>
      <c r="D18" s="202">
        <f>C18/C34</f>
        <v>2.3545203986718929E-3</v>
      </c>
      <c r="E18" s="124"/>
      <c r="F18" s="125"/>
      <c r="G18" s="137"/>
    </row>
    <row r="19" spans="2:11" x14ac:dyDescent="0.25">
      <c r="B19" s="122" t="s">
        <v>76</v>
      </c>
      <c r="C19" s="123">
        <f>SUM(N4:N520)*-1</f>
        <v>-4220</v>
      </c>
      <c r="D19" s="202">
        <f>C19/C34</f>
        <v>-1.1772462509206512E-4</v>
      </c>
      <c r="E19" s="116" t="s">
        <v>129</v>
      </c>
      <c r="F19" s="134">
        <f>F20+F21</f>
        <v>11662680</v>
      </c>
      <c r="G19" s="118">
        <f ca="1">F19/$F$34</f>
        <v>0.32535180819164122</v>
      </c>
    </row>
    <row r="20" spans="2:11" x14ac:dyDescent="0.25">
      <c r="B20" s="132"/>
      <c r="C20" s="133"/>
      <c r="D20" s="202"/>
      <c r="E20" s="206" t="s">
        <v>88</v>
      </c>
      <c r="F20" s="207">
        <f>EconomiaT49!C19</f>
        <v>11716116</v>
      </c>
      <c r="G20" s="121">
        <f ca="1">F20/$F$34</f>
        <v>0.32684250323107716</v>
      </c>
    </row>
    <row r="21" spans="2:11" x14ac:dyDescent="0.25">
      <c r="B21" s="116" t="s">
        <v>659</v>
      </c>
      <c r="C21" s="117">
        <f>EconomiaT49!C5</f>
        <v>9386456.0147551969</v>
      </c>
      <c r="D21" s="140">
        <f>C21/C34</f>
        <v>0.26185237328915051</v>
      </c>
      <c r="E21" s="122" t="s">
        <v>130</v>
      </c>
      <c r="F21" s="208">
        <f>SUM(L4:L520)*-1</f>
        <v>-53436</v>
      </c>
      <c r="G21" s="121">
        <f ca="1">F21/$F$34</f>
        <v>-1.4906950394359222E-3</v>
      </c>
    </row>
    <row r="22" spans="2:11" x14ac:dyDescent="0.25">
      <c r="B22" s="116"/>
      <c r="C22" s="117"/>
      <c r="D22" s="140"/>
      <c r="E22" s="132"/>
      <c r="F22" s="468"/>
      <c r="G22" s="469"/>
    </row>
    <row r="23" spans="2:11" x14ac:dyDescent="0.25">
      <c r="B23" s="116"/>
      <c r="C23" s="117"/>
      <c r="D23" s="140"/>
      <c r="E23" s="116" t="s">
        <v>264</v>
      </c>
      <c r="F23" s="117">
        <f>SUM(F24:F25)</f>
        <v>374485</v>
      </c>
      <c r="G23" s="118">
        <f ca="1">F23/$F$34</f>
        <v>1.0446944603697158E-2</v>
      </c>
    </row>
    <row r="24" spans="2:11" x14ac:dyDescent="0.25">
      <c r="B24" s="116"/>
      <c r="C24" s="117"/>
      <c r="D24" s="140"/>
      <c r="E24" s="206" t="s">
        <v>84</v>
      </c>
      <c r="F24" s="209">
        <f>EconomiaT49!C16</f>
        <v>374485</v>
      </c>
      <c r="G24" s="121">
        <f ca="1">F24/$F$34</f>
        <v>1.0446944603697158E-2</v>
      </c>
    </row>
    <row r="25" spans="2:11" x14ac:dyDescent="0.25">
      <c r="B25" s="116"/>
      <c r="C25" s="117"/>
      <c r="D25" s="140"/>
      <c r="E25" s="206" t="s">
        <v>67</v>
      </c>
      <c r="F25" s="209">
        <f>EconomiaT49!C20</f>
        <v>0</v>
      </c>
      <c r="G25" s="121">
        <f ca="1">F25/$F$34</f>
        <v>0</v>
      </c>
    </row>
    <row r="26" spans="2:11" x14ac:dyDescent="0.25">
      <c r="B26" s="570"/>
      <c r="C26" s="571"/>
      <c r="D26" s="572"/>
      <c r="E26" s="573"/>
      <c r="F26" s="574"/>
      <c r="G26" s="575"/>
    </row>
    <row r="27" spans="2:11" x14ac:dyDescent="0.25">
      <c r="B27" s="116" t="s">
        <v>131</v>
      </c>
      <c r="C27" s="117">
        <f>SUM(C28:C32)</f>
        <v>9415879</v>
      </c>
      <c r="D27" s="140">
        <f>C27/C34</f>
        <v>0.26267318132399264</v>
      </c>
      <c r="E27" s="116" t="s">
        <v>265</v>
      </c>
      <c r="F27" s="117">
        <f>SUM(F28:F33)</f>
        <v>3941889</v>
      </c>
      <c r="G27" s="118">
        <f t="shared" ref="G27:G33" ca="1" si="7">F27/$F$34</f>
        <v>0.10996620963970036</v>
      </c>
    </row>
    <row r="28" spans="2:11" x14ac:dyDescent="0.25">
      <c r="B28" s="138" t="s">
        <v>69</v>
      </c>
      <c r="C28" s="139">
        <f>EconomiaT49!C11</f>
        <v>88230</v>
      </c>
      <c r="D28" s="202">
        <f>C28/C34</f>
        <v>2.4613373630030582E-3</v>
      </c>
      <c r="E28" s="206" t="s">
        <v>132</v>
      </c>
      <c r="F28" s="209">
        <f>EconomiaT49!C14</f>
        <v>1893144</v>
      </c>
      <c r="G28" s="121">
        <f t="shared" ca="1" si="7"/>
        <v>5.2812717451491117E-2</v>
      </c>
    </row>
    <row r="29" spans="2:11" x14ac:dyDescent="0.25">
      <c r="B29" s="138" t="s">
        <v>79</v>
      </c>
      <c r="C29" s="139">
        <f>EconomiaT49!C12</f>
        <v>1105000</v>
      </c>
      <c r="D29" s="202">
        <f>C29/C34</f>
        <v>3.082599780254312E-2</v>
      </c>
      <c r="E29" s="206" t="s">
        <v>82</v>
      </c>
      <c r="F29" s="209">
        <f>EconomiaT49!C15</f>
        <v>606265</v>
      </c>
      <c r="G29" s="121">
        <f t="shared" ca="1" si="7"/>
        <v>1.6912871997971767E-2</v>
      </c>
    </row>
    <row r="30" spans="2:11" x14ac:dyDescent="0.25">
      <c r="B30" s="138" t="s">
        <v>71</v>
      </c>
      <c r="C30" s="139">
        <f>EconomiaT49!C6</f>
        <v>5131192</v>
      </c>
      <c r="D30" s="202">
        <f>C30/C34</f>
        <v>0.1431439939515175</v>
      </c>
      <c r="E30" s="206" t="s">
        <v>85</v>
      </c>
      <c r="F30" s="209">
        <f>EconomiaT49!C17</f>
        <v>1044480</v>
      </c>
      <c r="G30" s="121">
        <f t="shared" ca="1" si="7"/>
        <v>2.9137681615203834E-2</v>
      </c>
    </row>
    <row r="31" spans="2:11" x14ac:dyDescent="0.25">
      <c r="B31" s="138" t="s">
        <v>72</v>
      </c>
      <c r="C31" s="139">
        <f>EconomiaT49!C7</f>
        <v>2970900</v>
      </c>
      <c r="D31" s="202">
        <f>C31/C34</f>
        <v>8.2878694001425654E-2</v>
      </c>
      <c r="E31" s="206" t="s">
        <v>86</v>
      </c>
      <c r="F31" s="209">
        <f>EconomiaT49!C18</f>
        <v>320000</v>
      </c>
      <c r="G31" s="121">
        <f t="shared" ca="1" si="7"/>
        <v>8.9269857889717631E-3</v>
      </c>
    </row>
    <row r="32" spans="2:11" x14ac:dyDescent="0.25">
      <c r="B32" s="138" t="s">
        <v>76</v>
      </c>
      <c r="C32" s="139">
        <f>EconomiaT49!C10</f>
        <v>120557</v>
      </c>
      <c r="D32" s="202">
        <f>C32/C34</f>
        <v>3.3631582055033398E-3</v>
      </c>
      <c r="E32" s="206" t="s">
        <v>89</v>
      </c>
      <c r="F32" s="209">
        <f>EconomiaT49!C21</f>
        <v>78000</v>
      </c>
      <c r="G32" s="121">
        <f t="shared" ca="1" si="7"/>
        <v>2.1759527860618672E-3</v>
      </c>
    </row>
    <row r="33" spans="2:10" x14ac:dyDescent="0.25">
      <c r="B33" s="116"/>
      <c r="C33" s="117"/>
      <c r="D33" s="140"/>
      <c r="E33" s="471" t="s">
        <v>90</v>
      </c>
      <c r="F33" s="472">
        <f>EconomiaT49!C22</f>
        <v>0</v>
      </c>
      <c r="G33" s="473">
        <f t="shared" ca="1" si="7"/>
        <v>0</v>
      </c>
    </row>
    <row r="34" spans="2:10" ht="18.75" x14ac:dyDescent="0.3">
      <c r="B34" s="146" t="s">
        <v>27</v>
      </c>
      <c r="C34" s="147">
        <f>C27+C21+C17+C11+C6</f>
        <v>35846366.014755197</v>
      </c>
      <c r="D34" s="474">
        <f>C34/C34</f>
        <v>1</v>
      </c>
      <c r="E34" s="146" t="s">
        <v>27</v>
      </c>
      <c r="F34" s="147">
        <f ca="1">F27+F19+F11+F6+F23</f>
        <v>35846366.014755197</v>
      </c>
      <c r="G34" s="145">
        <f ca="1">F34/$F$34</f>
        <v>1</v>
      </c>
      <c r="J34" s="106"/>
    </row>
    <row r="35" spans="2:10" x14ac:dyDescent="0.25">
      <c r="C35" s="106"/>
      <c r="D35" s="475"/>
      <c r="E35" s="476" t="s">
        <v>604</v>
      </c>
      <c r="F35" s="477">
        <f ca="1">F34-C34</f>
        <v>0</v>
      </c>
      <c r="G35" s="106"/>
    </row>
    <row r="36" spans="2:10" x14ac:dyDescent="0.25">
      <c r="C36" s="106"/>
      <c r="D36" s="106"/>
      <c r="F36" s="106"/>
      <c r="G36" s="106"/>
      <c r="H36" s="106"/>
    </row>
    <row r="37" spans="2:10" ht="15.75" x14ac:dyDescent="0.25">
      <c r="B37" s="478" t="s">
        <v>660</v>
      </c>
      <c r="C37" s="479">
        <f>EconomiaT48!C24</f>
        <v>9386456.0147551969</v>
      </c>
      <c r="D37" s="106"/>
      <c r="E37" s="4" t="s">
        <v>661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87" priority="32" operator="lessThan">
      <formula>0</formula>
    </cfRule>
    <cfRule type="cellIs" dxfId="86" priority="33" operator="greaterThan">
      <formula>0</formula>
    </cfRule>
  </conditionalFormatting>
  <conditionalFormatting sqref="F37">
    <cfRule type="cellIs" dxfId="85" priority="31" operator="lessThan">
      <formula>0</formula>
    </cfRule>
  </conditionalFormatting>
  <conditionalFormatting sqref="C38">
    <cfRule type="cellIs" dxfId="84" priority="29" operator="greaterThan">
      <formula>0</formula>
    </cfRule>
    <cfRule type="cellIs" dxfId="83" priority="30" operator="lessThan">
      <formula>0</formula>
    </cfRule>
  </conditionalFormatting>
  <conditionalFormatting sqref="O4">
    <cfRule type="cellIs" dxfId="82" priority="11" operator="lessThan">
      <formula>0</formula>
    </cfRule>
    <cfRule type="cellIs" dxfId="81" priority="12" operator="greaterThan">
      <formula>0</formula>
    </cfRule>
  </conditionalFormatting>
  <conditionalFormatting sqref="O4 Q4">
    <cfRule type="cellIs" dxfId="80" priority="9" operator="lessThan">
      <formula>0</formula>
    </cfRule>
    <cfRule type="cellIs" dxfId="79" priority="10" operator="greaterThan">
      <formula>0</formula>
    </cfRule>
  </conditionalFormatting>
  <conditionalFormatting sqref="O5">
    <cfRule type="cellIs" dxfId="78" priority="7" operator="lessThan">
      <formula>0</formula>
    </cfRule>
    <cfRule type="cellIs" dxfId="77" priority="8" operator="greaterThan">
      <formula>0</formula>
    </cfRule>
  </conditionalFormatting>
  <conditionalFormatting sqref="O5 Q5">
    <cfRule type="cellIs" dxfId="76" priority="5" operator="lessThan">
      <formula>0</formula>
    </cfRule>
    <cfRule type="cellIs" dxfId="75" priority="6" operator="greaterThan">
      <formula>0</formula>
    </cfRule>
  </conditionalFormatting>
  <conditionalFormatting sqref="O6">
    <cfRule type="cellIs" dxfId="74" priority="3" operator="lessThan">
      <formula>0</formula>
    </cfRule>
    <cfRule type="cellIs" dxfId="73" priority="4" operator="greaterThan">
      <formula>0</formula>
    </cfRule>
  </conditionalFormatting>
  <conditionalFormatting sqref="O6 Q6">
    <cfRule type="cellIs" dxfId="72" priority="1" operator="lessThan">
      <formula>0</formula>
    </cfRule>
    <cfRule type="cellIs" dxfId="71"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0"/>
  <sheetViews>
    <sheetView workbookViewId="0">
      <selection activeCell="I12" sqref="I12"/>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85" t="str">
        <f>PLANTILLA!D4</f>
        <v>Jugador</v>
      </c>
      <c r="B1" s="585" t="s">
        <v>705</v>
      </c>
      <c r="C1" s="585" t="str">
        <f>PLANTILLA!AC4</f>
        <v>An</v>
      </c>
      <c r="D1" s="585" t="str">
        <f>PLANTILLA!AD4</f>
        <v>PA</v>
      </c>
      <c r="E1" s="585" t="str">
        <f>PLANTILLA!AI4</f>
        <v>TL</v>
      </c>
      <c r="F1" s="585" t="str">
        <f>PLANTILLA!AJ4</f>
        <v>PEN</v>
      </c>
      <c r="G1" s="585" t="str">
        <f>PLANTILLA!AK4</f>
        <v>BPiA</v>
      </c>
      <c r="H1" s="585" t="str">
        <f>PLANTILLA!AL4</f>
        <v>BPiD</v>
      </c>
    </row>
    <row r="2" spans="1:15" x14ac:dyDescent="0.25">
      <c r="A2" t="str">
        <f>PLANTILLA!D21</f>
        <v>J. Limon</v>
      </c>
      <c r="B2" s="159">
        <f>PLANTILLA!J21</f>
        <v>1.5281707142376506</v>
      </c>
      <c r="C2" s="265">
        <f>PLANTILLA!AC21</f>
        <v>7.95</v>
      </c>
      <c r="D2" s="265">
        <f>PLANTILLA!AD21</f>
        <v>18.999999999999993</v>
      </c>
      <c r="E2" s="159">
        <f>PLANTILLA!AI21</f>
        <v>21.05246144230237</v>
      </c>
      <c r="F2" s="159">
        <f>PLANTILLA!AJ21</f>
        <v>17.325029577716279</v>
      </c>
      <c r="G2" s="159">
        <f>PLANTILLA!AK21</f>
        <v>1.2097536571390117</v>
      </c>
      <c r="H2" s="159">
        <f>PLANTILLA!AL21</f>
        <v>1.0554767119013975</v>
      </c>
      <c r="K2" t="str">
        <f>A4</f>
        <v>L. Calosso</v>
      </c>
      <c r="L2" s="405">
        <f>B2</f>
        <v>1.5281707142376506</v>
      </c>
      <c r="M2" s="405">
        <f t="shared" ref="M2:N2" si="0">C2</f>
        <v>7.95</v>
      </c>
      <c r="N2" s="405">
        <f t="shared" si="0"/>
        <v>18.999999999999993</v>
      </c>
      <c r="O2" s="405"/>
    </row>
    <row r="3" spans="1:15" x14ac:dyDescent="0.25">
      <c r="A3" t="str">
        <f>PLANTILLA!D12</f>
        <v>E. Romweber</v>
      </c>
      <c r="B3" s="159">
        <f>PLANTILLA!J12</f>
        <v>1.6054933102078996</v>
      </c>
      <c r="C3" s="265">
        <f>PLANTILLA!AC12</f>
        <v>6.99</v>
      </c>
      <c r="D3" s="265">
        <f>PLANTILLA!AD12</f>
        <v>17.529999999999998</v>
      </c>
      <c r="E3" s="159">
        <f>PLANTILLA!AI12</f>
        <v>18.986755838508749</v>
      </c>
      <c r="F3" s="159">
        <f>PLANTILLA!AJ12</f>
        <v>16.177311319831688</v>
      </c>
      <c r="G3" s="159">
        <f>PLANTILLA!AK12</f>
        <v>1.1238394648166321</v>
      </c>
      <c r="H3" s="159">
        <f>PLANTILLA!AL12</f>
        <v>1.2212845317145529</v>
      </c>
      <c r="K3" t="str">
        <f>A5</f>
        <v>L. Bauman</v>
      </c>
      <c r="L3" s="405">
        <f t="shared" ref="L3:L11" si="1">B3</f>
        <v>1.6054933102078996</v>
      </c>
      <c r="M3" s="405">
        <f t="shared" ref="M3:M11" si="2">C3</f>
        <v>6.99</v>
      </c>
      <c r="N3" s="405">
        <f t="shared" ref="N3:N11" si="3">D3</f>
        <v>17.529999999999998</v>
      </c>
      <c r="O3" s="405"/>
    </row>
    <row r="4" spans="1:15" x14ac:dyDescent="0.25">
      <c r="A4" t="str">
        <f>PLANTILLA!D22</f>
        <v>L. Calosso</v>
      </c>
      <c r="B4" s="159">
        <f>PLANTILLA!J22</f>
        <v>1.5404480499534159</v>
      </c>
      <c r="C4" s="265">
        <f>PLANTILLA!AC22</f>
        <v>9.9499999999999993</v>
      </c>
      <c r="D4" s="265">
        <f>PLANTILLA!AD22</f>
        <v>11.25</v>
      </c>
      <c r="E4" s="159">
        <f ca="1">PLANTILLA!AI22</f>
        <v>13.563697516138925</v>
      </c>
      <c r="F4" s="159">
        <f ca="1">PLANTILLA!AJ22</f>
        <v>8.7726525050335571</v>
      </c>
      <c r="G4" s="159">
        <f ca="1">PLANTILLA!AK22</f>
        <v>1.0382358439962733</v>
      </c>
      <c r="H4" s="159">
        <f ca="1">PLANTILLA!AL22</f>
        <v>0.63333136349673913</v>
      </c>
      <c r="K4" t="str">
        <f>A6</f>
        <v>P .Trivadi</v>
      </c>
      <c r="L4" s="405">
        <f t="shared" si="1"/>
        <v>1.5404480499534159</v>
      </c>
      <c r="M4" s="405">
        <f t="shared" si="2"/>
        <v>9.9499999999999993</v>
      </c>
      <c r="N4" s="405">
        <f t="shared" si="3"/>
        <v>11.25</v>
      </c>
      <c r="O4" s="405"/>
    </row>
    <row r="5" spans="1:15" x14ac:dyDescent="0.25">
      <c r="A5" t="str">
        <f>PLANTILLA!D18</f>
        <v>L. Bauman</v>
      </c>
      <c r="B5" s="159">
        <f>PLANTILLA!J18</f>
        <v>1.4041045913112262</v>
      </c>
      <c r="C5" s="265">
        <f>PLANTILLA!AC18</f>
        <v>6.95</v>
      </c>
      <c r="D5" s="265">
        <f>PLANTILLA!AD18</f>
        <v>17</v>
      </c>
      <c r="E5" s="159">
        <f>PLANTILLA!AI18</f>
        <v>18.243350935153575</v>
      </c>
      <c r="F5" s="159">
        <f>PLANTILLA!AJ18</f>
        <v>15.636272497796817</v>
      </c>
      <c r="G5" s="159">
        <f>PLANTILLA!AK18</f>
        <v>1.0898283673048981</v>
      </c>
      <c r="H5" s="159">
        <f>PLANTILLA!AL18</f>
        <v>0.95328732139178596</v>
      </c>
      <c r="K5" t="str">
        <f>A14</f>
        <v>D. Toh</v>
      </c>
      <c r="L5" s="405">
        <f t="shared" si="1"/>
        <v>1.4041045913112262</v>
      </c>
      <c r="M5" s="405">
        <f t="shared" si="2"/>
        <v>6.95</v>
      </c>
      <c r="N5" s="405">
        <f t="shared" si="3"/>
        <v>17</v>
      </c>
      <c r="O5" s="405"/>
    </row>
    <row r="6" spans="1:15" x14ac:dyDescent="0.25">
      <c r="A6" t="str">
        <f>PLANTILLA!D23</f>
        <v>P .Trivadi</v>
      </c>
      <c r="B6" s="159">
        <f>PLANTILLA!J23</f>
        <v>1.1350111316254337</v>
      </c>
      <c r="C6" s="265">
        <f>PLANTILLA!AC23</f>
        <v>8.384500000000001</v>
      </c>
      <c r="D6" s="265">
        <f>PLANTILLA!AD23</f>
        <v>13.566666666666668</v>
      </c>
      <c r="E6" s="159">
        <f>PLANTILLA!AI23</f>
        <v>16.567821924544855</v>
      </c>
      <c r="F6" s="159">
        <f>PLANTILLA!AJ23</f>
        <v>12.378997862853424</v>
      </c>
      <c r="G6" s="159">
        <f>PLANTILLA!AK23</f>
        <v>1.0370258905300349</v>
      </c>
      <c r="H6" s="159">
        <f>PLANTILLA!AL23</f>
        <v>0.75225077921378036</v>
      </c>
      <c r="K6" t="str">
        <f>A18</f>
        <v>D. Gehmacher</v>
      </c>
      <c r="L6" s="405">
        <f t="shared" si="1"/>
        <v>1.1350111316254337</v>
      </c>
      <c r="M6" s="405">
        <f t="shared" si="2"/>
        <v>8.384500000000001</v>
      </c>
      <c r="N6" s="405">
        <f t="shared" si="3"/>
        <v>13.566666666666668</v>
      </c>
      <c r="O6" s="405"/>
    </row>
    <row r="7" spans="1:15" x14ac:dyDescent="0.25">
      <c r="A7" t="str">
        <f>PLANTILLA!D14</f>
        <v>S. Zobbe</v>
      </c>
      <c r="B7" s="159">
        <f>PLANTILLA!J14</f>
        <v>1.4578955802163136</v>
      </c>
      <c r="C7" s="265">
        <f>PLANTILLA!AC14</f>
        <v>7.4766666666666666</v>
      </c>
      <c r="D7" s="265">
        <f>PLANTILLA!AD14</f>
        <v>16</v>
      </c>
      <c r="E7" s="159">
        <f>PLANTILLA!AI14</f>
        <v>17.028350392181874</v>
      </c>
      <c r="F7" s="159">
        <f>PLANTILLA!AJ14</f>
        <v>13.86128668097794</v>
      </c>
      <c r="G7" s="159">
        <f>PLANTILLA!AK14</f>
        <v>1.0904649797506383</v>
      </c>
      <c r="H7" s="159">
        <f>PLANTILLA!AL14</f>
        <v>1.0214526906151418</v>
      </c>
      <c r="K7" t="str">
        <f>A13</f>
        <v>E. Toney</v>
      </c>
      <c r="L7" s="405">
        <f t="shared" si="1"/>
        <v>1.4578955802163136</v>
      </c>
      <c r="M7" s="405">
        <f t="shared" si="2"/>
        <v>7.4766666666666666</v>
      </c>
      <c r="N7" s="405">
        <f t="shared" si="3"/>
        <v>16</v>
      </c>
      <c r="O7" s="405"/>
    </row>
    <row r="8" spans="1:15" x14ac:dyDescent="0.25">
      <c r="A8" t="str">
        <f>PLANTILLA!D13</f>
        <v>K. Helms</v>
      </c>
      <c r="B8" s="159">
        <f>PLANTILLA!J13</f>
        <v>1.4896950608743522</v>
      </c>
      <c r="C8" s="265">
        <f>PLANTILLA!AC13</f>
        <v>4.99</v>
      </c>
      <c r="D8" s="265">
        <f>PLANTILLA!AD13</f>
        <v>18</v>
      </c>
      <c r="E8" s="159">
        <f>PLANTILLA!AI13</f>
        <v>15.915427156734337</v>
      </c>
      <c r="F8" s="159">
        <f>PLANTILLA!AJ13</f>
        <v>15.819205726041854</v>
      </c>
      <c r="G8" s="159">
        <f>PLANTILLA!AK13</f>
        <v>1.0286756048699481</v>
      </c>
      <c r="H8" s="159">
        <f>PLANTILLA!AL13</f>
        <v>1.0392907754733258</v>
      </c>
      <c r="K8" t="str">
        <f>A14</f>
        <v>D. Toh</v>
      </c>
      <c r="L8" s="405">
        <f t="shared" si="1"/>
        <v>1.4896950608743522</v>
      </c>
      <c r="M8" s="405">
        <f t="shared" si="2"/>
        <v>4.99</v>
      </c>
      <c r="N8" s="405">
        <f t="shared" si="3"/>
        <v>18</v>
      </c>
      <c r="O8" s="405"/>
    </row>
    <row r="9" spans="1:15" x14ac:dyDescent="0.25">
      <c r="A9" t="str">
        <f>PLANTILLA!D15</f>
        <v>S. Buschelman</v>
      </c>
      <c r="B9" s="159">
        <f>PLANTILLA!J15</f>
        <v>1.5281707142376506</v>
      </c>
      <c r="C9" s="265">
        <f>PLANTILLA!AC15</f>
        <v>4.99</v>
      </c>
      <c r="D9" s="265">
        <f>PLANTILLA!AD15</f>
        <v>16</v>
      </c>
      <c r="E9" s="159">
        <f>PLANTILLA!AI15</f>
        <v>14.975748635435258</v>
      </c>
      <c r="F9" s="159">
        <f>PLANTILLA!AJ15</f>
        <v>14.558679119595904</v>
      </c>
      <c r="G9" s="159">
        <f>PLANTILLA!AK15</f>
        <v>0.97175365713901196</v>
      </c>
      <c r="H9" s="159">
        <f>PLANTILLA!AL15</f>
        <v>1.0641186166633021</v>
      </c>
      <c r="K9" t="str">
        <f>A9</f>
        <v>S. Buschelman</v>
      </c>
      <c r="L9" s="405">
        <f t="shared" si="1"/>
        <v>1.5281707142376506</v>
      </c>
      <c r="M9" s="405">
        <f t="shared" si="2"/>
        <v>4.99</v>
      </c>
      <c r="N9" s="405">
        <f t="shared" si="3"/>
        <v>16</v>
      </c>
      <c r="O9" s="405"/>
    </row>
    <row r="10" spans="1:15" x14ac:dyDescent="0.25">
      <c r="A10" t="str">
        <f>PLANTILLA!D16</f>
        <v>C. Rojas</v>
      </c>
      <c r="B10" s="159">
        <f>PLANTILLA!J16</f>
        <v>1.5363844591774087</v>
      </c>
      <c r="C10" s="265">
        <f>PLANTILLA!AC16</f>
        <v>2.95</v>
      </c>
      <c r="D10" s="265">
        <f>PLANTILLA!AD16</f>
        <v>17.144444444444439</v>
      </c>
      <c r="E10" s="159">
        <f>PLANTILLA!AI16</f>
        <v>12.440109602775111</v>
      </c>
      <c r="F10" s="159">
        <f>PLANTILLA!AJ16</f>
        <v>14.741366437512522</v>
      </c>
      <c r="G10" s="159">
        <f>PLANTILLA!AK16</f>
        <v>0.90474409006752587</v>
      </c>
      <c r="H10" s="159">
        <f>PLANTILLA!AL16</f>
        <v>1.0719824676979741</v>
      </c>
      <c r="K10" t="str">
        <f>A11</f>
        <v>B. Bartolache</v>
      </c>
      <c r="L10" s="405">
        <f t="shared" si="1"/>
        <v>1.5363844591774087</v>
      </c>
      <c r="M10" s="405">
        <f t="shared" si="2"/>
        <v>2.95</v>
      </c>
      <c r="N10" s="405">
        <f t="shared" si="3"/>
        <v>17.144444444444439</v>
      </c>
      <c r="O10" s="405"/>
    </row>
    <row r="11" spans="1:15" x14ac:dyDescent="0.25">
      <c r="A11" t="str">
        <f>PLANTILLA!D10</f>
        <v>B. Bartolache</v>
      </c>
      <c r="B11" s="159">
        <f>PLANTILLA!J10</f>
        <v>1.4389083280634998</v>
      </c>
      <c r="C11" s="265">
        <f>PLANTILLA!AC10</f>
        <v>3.9</v>
      </c>
      <c r="D11" s="265">
        <f>PLANTILLA!AD10</f>
        <v>16</v>
      </c>
      <c r="E11" s="159">
        <f>PLANTILLA!AI10</f>
        <v>11.9749799905477</v>
      </c>
      <c r="F11" s="159">
        <f>PLANTILLA!AJ10</f>
        <v>12.938389008711688</v>
      </c>
      <c r="G11" s="159">
        <f>PLANTILLA!AK10</f>
        <v>0.91011266624507992</v>
      </c>
      <c r="H11" s="159">
        <f>PLANTILLA!AL10</f>
        <v>1.163723582964445</v>
      </c>
      <c r="K11" t="str">
        <f>A12</f>
        <v>T. Hammond</v>
      </c>
      <c r="L11" s="405">
        <f t="shared" si="1"/>
        <v>1.4389083280634998</v>
      </c>
      <c r="M11" s="405">
        <f t="shared" si="2"/>
        <v>3.9</v>
      </c>
      <c r="N11" s="405">
        <f t="shared" si="3"/>
        <v>16</v>
      </c>
      <c r="O11" s="405"/>
    </row>
    <row r="12" spans="1:15" x14ac:dyDescent="0.25">
      <c r="A12" t="str">
        <f>PLANTILLA!D6</f>
        <v>T. Hammond</v>
      </c>
      <c r="B12" s="159">
        <f>PLANTILLA!J6</f>
        <v>1.2913105980719135</v>
      </c>
      <c r="C12" s="265">
        <f>PLANTILLA!AC6</f>
        <v>0.95</v>
      </c>
      <c r="D12" s="265">
        <f>PLANTILLA!AD6</f>
        <v>15.778888888888888</v>
      </c>
      <c r="E12" s="159">
        <f>PLANTILLA!AI6</f>
        <v>7.4577977597899761</v>
      </c>
      <c r="F12" s="159">
        <f>PLANTILLA!AJ6</f>
        <v>11.934873546359977</v>
      </c>
      <c r="G12" s="159">
        <f>PLANTILLA!AK6</f>
        <v>0.7441715145124197</v>
      </c>
      <c r="H12" s="159">
        <f>PLANTILLA!AL6</f>
        <v>1.0267584085317005</v>
      </c>
      <c r="M12" s="586">
        <f>AVERAGE(M2:M11)</f>
        <v>6.4531166666666682</v>
      </c>
      <c r="N12" s="586">
        <f>AVERAGE(N2:N11)</f>
        <v>16.149111111111107</v>
      </c>
      <c r="O12" s="587">
        <f>1.66*(M12+1.5)+0.55*(N12+1.5)-7.6</f>
        <v>15.309184777777778</v>
      </c>
    </row>
    <row r="13" spans="1:15" x14ac:dyDescent="0.25">
      <c r="A13" t="str">
        <f>PLANTILLA!D9</f>
        <v>E. Toney</v>
      </c>
      <c r="B13" s="159">
        <f>PLANTILLA!J9</f>
        <v>1.6405985618376986</v>
      </c>
      <c r="C13" s="265">
        <f>PLANTILLA!AC9</f>
        <v>2.99</v>
      </c>
      <c r="D13" s="265">
        <f>PLANTILLA!AD9</f>
        <v>17.177777777777774</v>
      </c>
      <c r="E13" s="159">
        <f>PLANTILLA!AI9</f>
        <v>11.622477302219586</v>
      </c>
      <c r="F13" s="159">
        <f>PLANTILLA!AJ9</f>
        <v>13.574903986391762</v>
      </c>
      <c r="G13" s="159">
        <f>PLANTILLA!AK9</f>
        <v>0.91608121828034916</v>
      </c>
      <c r="H13" s="159">
        <f>PLANTILLA!AL9</f>
        <v>1.2231752326619723</v>
      </c>
    </row>
    <row r="14" spans="1:15" x14ac:dyDescent="0.25">
      <c r="A14" t="str">
        <f>PLANTILLA!D8</f>
        <v>D. Toh</v>
      </c>
      <c r="B14" s="159">
        <f>PLANTILLA!J8</f>
        <v>1.3333333333333333</v>
      </c>
      <c r="C14" s="265">
        <f>PLANTILLA!AC8</f>
        <v>2.99</v>
      </c>
      <c r="D14" s="265">
        <f>PLANTILLA!AD8</f>
        <v>16</v>
      </c>
      <c r="E14" s="159">
        <f>PLANTILLA!AI8</f>
        <v>6.6414774963560017</v>
      </c>
      <c r="F14" s="159">
        <f>PLANTILLA!AJ8</f>
        <v>7.9805988576662665</v>
      </c>
      <c r="G14" s="159">
        <f>PLANTILLA!AK8</f>
        <v>0.85616666666666652</v>
      </c>
      <c r="H14" s="159">
        <f>PLANTILLA!AL8</f>
        <v>1.1163333333333334</v>
      </c>
    </row>
    <row r="15" spans="1:15" x14ac:dyDescent="0.25">
      <c r="A15" t="str">
        <f>PLANTILLA!D17</f>
        <v>E. Gross</v>
      </c>
      <c r="B15" s="159">
        <f>PLANTILLA!J17</f>
        <v>1.4852578030757824</v>
      </c>
      <c r="C15" s="265">
        <f>PLANTILLA!AC17</f>
        <v>1.95</v>
      </c>
      <c r="D15" s="265">
        <f>PLANTILLA!AD17</f>
        <v>17.459999999999997</v>
      </c>
      <c r="E15" s="159">
        <f>PLANTILLA!AI17</f>
        <v>10.004445662322938</v>
      </c>
      <c r="F15" s="159">
        <f>PLANTILLA!AJ17</f>
        <v>13.346893874039111</v>
      </c>
      <c r="G15" s="159">
        <f>PLANTILLA!AK17</f>
        <v>0.8601206242460625</v>
      </c>
      <c r="H15" s="159">
        <f>PLANTILLA!AL17</f>
        <v>1.1547680462153047</v>
      </c>
    </row>
    <row r="16" spans="1:15" x14ac:dyDescent="0.25">
      <c r="A16" t="str">
        <f>PLANTILLA!D11</f>
        <v>F. Lasprilla</v>
      </c>
      <c r="B16" s="159">
        <f>PLANTILLA!J11</f>
        <v>1.0838844755238075</v>
      </c>
      <c r="C16" s="265">
        <f>PLANTILLA!AC11</f>
        <v>3.2566666666666673</v>
      </c>
      <c r="D16" s="265">
        <f>PLANTILLA!AD11</f>
        <v>13.33611111111111</v>
      </c>
      <c r="E16" s="159">
        <f>PLANTILLA!AI11</f>
        <v>9.1710329022980641</v>
      </c>
      <c r="F16" s="159">
        <f>PLANTILLA!AJ11</f>
        <v>10.899246398047129</v>
      </c>
      <c r="G16" s="159">
        <f>PLANTILLA!AK11</f>
        <v>0.76962742470857126</v>
      </c>
      <c r="H16" s="159">
        <f>PLANTILLA!AL11</f>
        <v>0.96514191328666654</v>
      </c>
    </row>
    <row r="17" spans="1:8" x14ac:dyDescent="0.25">
      <c r="A17" t="str">
        <f>PLANTILLA!D19</f>
        <v>W. Gelifini</v>
      </c>
      <c r="B17" s="159">
        <f>PLANTILLA!J19</f>
        <v>0.98715025265899181</v>
      </c>
      <c r="C17" s="265">
        <f>PLANTILLA!AC19</f>
        <v>3.5417777777777766</v>
      </c>
      <c r="D17" s="265">
        <f>PLANTILLA!AD19</f>
        <v>12.847222222222223</v>
      </c>
      <c r="E17" s="159">
        <f>PLANTILLA!AI19</f>
        <v>9.1630993742525941</v>
      </c>
      <c r="F17" s="159">
        <f>PLANTILLA!AJ19</f>
        <v>10.600549351429093</v>
      </c>
      <c r="G17" s="159">
        <f>PLANTILLA!AK19</f>
        <v>0.76147757576827479</v>
      </c>
      <c r="H17" s="159">
        <f>PLANTILLA!AL19</f>
        <v>0.78557940657501812</v>
      </c>
    </row>
    <row r="18" spans="1:8" x14ac:dyDescent="0.25">
      <c r="A18" t="str">
        <f>PLANTILLA!D5</f>
        <v>D. Gehmacher</v>
      </c>
      <c r="B18" s="159">
        <f>PLANTILLA!J5</f>
        <v>1.8054779188632013</v>
      </c>
      <c r="C18" s="265">
        <f>PLANTILLA!AC5</f>
        <v>0.14055555555555557</v>
      </c>
      <c r="D18" s="265">
        <f>PLANTILLA!AD5</f>
        <v>18.2</v>
      </c>
      <c r="E18" s="159">
        <f ca="1">PLANTILLA!AI5</f>
        <v>8.187423784829857</v>
      </c>
      <c r="F18" s="159">
        <f ca="1">PLANTILLA!AJ5</f>
        <v>14.431354665394331</v>
      </c>
      <c r="G18" s="159">
        <f ca="1">PLANTILLA!AK5</f>
        <v>0.77746601128683379</v>
      </c>
      <c r="H18" s="159">
        <f ca="1">PLANTILLA!AL5</f>
        <v>1.2256058319428018</v>
      </c>
    </row>
    <row r="19" spans="1:8" x14ac:dyDescent="0.25">
      <c r="A19" t="str">
        <f>PLANTILLA!D20</f>
        <v>G. Kerschl</v>
      </c>
      <c r="B19" s="159">
        <f>PLANTILLA!J20</f>
        <v>1.4625466840107419</v>
      </c>
      <c r="C19" s="265">
        <f>PLANTILLA!AC20</f>
        <v>7.95</v>
      </c>
      <c r="D19" s="265">
        <f>PLANTILLA!AD20</f>
        <v>7</v>
      </c>
      <c r="E19" s="159">
        <f ca="1">PLANTILLA!AI20</f>
        <v>12.583694538905302</v>
      </c>
      <c r="F19" s="159">
        <f ca="1">PLANTILLA!AJ20</f>
        <v>8.2381805531565231</v>
      </c>
      <c r="G19" s="159">
        <f ca="1">PLANTILLA!AK20</f>
        <v>0.80450373472085934</v>
      </c>
      <c r="H19" s="159">
        <f ca="1">PLANTILLA!AL20</f>
        <v>0.50237826788075191</v>
      </c>
    </row>
    <row r="20" spans="1:8" x14ac:dyDescent="0.25">
      <c r="A20" t="str">
        <f>PLANTILLA!D7</f>
        <v>B. Pinczehelyi</v>
      </c>
      <c r="B20" s="159">
        <f>PLANTILLA!J7</f>
        <v>1.6736966734710748</v>
      </c>
      <c r="C20" s="265">
        <f>PLANTILLA!AC7</f>
        <v>0.95</v>
      </c>
      <c r="D20" s="265">
        <f>PLANTILLA!AD7</f>
        <v>11.25</v>
      </c>
      <c r="E20" s="159">
        <f ca="1">PLANTILLA!AI7</f>
        <v>5.1329341988598491</v>
      </c>
      <c r="F20" s="159">
        <f ca="1">PLANTILLA!AJ7</f>
        <v>9.1561448380222537</v>
      </c>
      <c r="G20" s="159">
        <f ca="1">PLANTILLA!AK7</f>
        <v>0.59889573387768602</v>
      </c>
      <c r="H20" s="159">
        <f ca="1">PLANTILLA!AL7</f>
        <v>1.0966587671429753</v>
      </c>
    </row>
  </sheetData>
  <sortState ref="A2:H20">
    <sortCondition descending="1" ref="E2:E20"/>
  </sortState>
  <conditionalFormatting sqref="E2:E20">
    <cfRule type="cellIs" dxfId="368" priority="4" operator="lessThan">
      <formula>11</formula>
    </cfRule>
    <cfRule type="cellIs" dxfId="367" priority="5" operator="between">
      <formula>11</formula>
      <formula>15</formula>
    </cfRule>
    <cfRule type="cellIs" dxfId="366"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8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12">
        <f t="shared" si="1"/>
        <v>2918</v>
      </c>
    </row>
    <row r="5" spans="1:26" s="66" customFormat="1" ht="18.75" x14ac:dyDescent="0.3">
      <c r="A5" s="62" t="s">
        <v>70</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71</v>
      </c>
      <c r="B6" s="67" t="s">
        <v>71</v>
      </c>
      <c r="C6" s="68">
        <f t="shared" ref="C6:C23" si="12">SUM(D6:S6)</f>
        <v>6222531</v>
      </c>
      <c r="D6" s="69">
        <v>34650</v>
      </c>
      <c r="E6" s="69">
        <v>53998</v>
      </c>
      <c r="F6" s="69">
        <v>674608</v>
      </c>
      <c r="G6" s="69">
        <v>189581</v>
      </c>
      <c r="H6" s="69">
        <v>637879</v>
      </c>
      <c r="I6" s="69">
        <v>754027</v>
      </c>
      <c r="J6" s="69">
        <v>359672</v>
      </c>
      <c r="K6" s="69">
        <v>1076131</v>
      </c>
      <c r="L6" s="69">
        <v>602458</v>
      </c>
      <c r="M6" s="463">
        <f>25483+550584</f>
        <v>576067</v>
      </c>
      <c r="N6" s="463">
        <f>14126+59043</f>
        <v>73169</v>
      </c>
      <c r="O6" s="463">
        <v>21707</v>
      </c>
      <c r="P6" s="463">
        <f>22579+394156</f>
        <v>416735</v>
      </c>
      <c r="Q6" s="463">
        <v>21824</v>
      </c>
      <c r="R6" s="463">
        <f>681438+23776</f>
        <v>705214</v>
      </c>
      <c r="S6" s="70">
        <v>24811</v>
      </c>
      <c r="Y6" s="67" t="s">
        <v>71</v>
      </c>
      <c r="Z6" s="71">
        <f>C6/$C$13</f>
        <v>0.5685946521026749</v>
      </c>
    </row>
    <row r="7" spans="1:26" x14ac:dyDescent="0.25">
      <c r="A7" s="67" t="s">
        <v>72</v>
      </c>
      <c r="B7" s="67" t="s">
        <v>72</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72</v>
      </c>
      <c r="Z7" s="71">
        <f t="shared" ref="Z7:Z12" si="14">C7/$C$13</f>
        <v>0.27842449671742736</v>
      </c>
    </row>
    <row r="8" spans="1:26" x14ac:dyDescent="0.25">
      <c r="A8" s="67" t="s">
        <v>73</v>
      </c>
      <c r="B8" s="67" t="s">
        <v>74</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14"/>
        <v>0</v>
      </c>
    </row>
    <row r="9" spans="1:26" x14ac:dyDescent="0.25">
      <c r="A9" s="67"/>
      <c r="B9" s="67" t="s">
        <v>75</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75</v>
      </c>
      <c r="Z9" s="71">
        <f t="shared" si="14"/>
        <v>5.3530966620713299E-2</v>
      </c>
    </row>
    <row r="10" spans="1:26" x14ac:dyDescent="0.25">
      <c r="A10" s="67" t="s">
        <v>76</v>
      </c>
      <c r="B10" s="67" t="s">
        <v>76</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76</v>
      </c>
      <c r="Z10" s="71">
        <f t="shared" si="14"/>
        <v>6.7463453640874572E-3</v>
      </c>
    </row>
    <row r="11" spans="1:26" x14ac:dyDescent="0.25">
      <c r="A11" s="712" t="s">
        <v>77</v>
      </c>
      <c r="B11" s="67" t="s">
        <v>78</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78</v>
      </c>
      <c r="Z11" s="71">
        <f t="shared" si="14"/>
        <v>8.1800465527984458E-3</v>
      </c>
    </row>
    <row r="12" spans="1:26" x14ac:dyDescent="0.25">
      <c r="A12" s="713"/>
      <c r="B12" s="67" t="s">
        <v>79</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79</v>
      </c>
      <c r="Z12" s="71">
        <f t="shared" si="14"/>
        <v>8.4523492642298498E-2</v>
      </c>
    </row>
    <row r="13" spans="1:26" s="78" customFormat="1" ht="18.75" x14ac:dyDescent="0.3">
      <c r="A13" s="73" t="s">
        <v>80</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81</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14">
        <f>C13</f>
        <v>10943703</v>
      </c>
      <c r="Z14" s="715"/>
    </row>
    <row r="15" spans="1:26" x14ac:dyDescent="0.25">
      <c r="A15" s="80" t="s">
        <v>82</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83</v>
      </c>
      <c r="B16" s="81" t="s">
        <v>84</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85</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86</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87</v>
      </c>
      <c r="B19" s="81" t="s">
        <v>88</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77</v>
      </c>
      <c r="B20" s="81" t="s">
        <v>67</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89</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90</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91</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81</v>
      </c>
      <c r="Z23" s="91">
        <f>C14/$C$23</f>
        <v>0.37046327438428989</v>
      </c>
    </row>
    <row r="24" spans="1:26" s="66" customFormat="1" ht="18.75" x14ac:dyDescent="0.3">
      <c r="A24" s="92" t="s">
        <v>92</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82</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84</v>
      </c>
      <c r="Z25" s="91">
        <f t="shared" si="21"/>
        <v>6.1988541509902809E-2</v>
      </c>
    </row>
    <row r="26" spans="1:26" s="53" customFormat="1" x14ac:dyDescent="0.25">
      <c r="A26" s="716" t="s">
        <v>93</v>
      </c>
      <c r="B26" s="716"/>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85</v>
      </c>
      <c r="Z26" s="91">
        <f t="shared" si="21"/>
        <v>0.14622069317915354</v>
      </c>
    </row>
    <row r="27" spans="1:26" s="53" customFormat="1" x14ac:dyDescent="0.25">
      <c r="A27" s="717" t="s">
        <v>94</v>
      </c>
      <c r="B27" s="717"/>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86</v>
      </c>
      <c r="Z27" s="91">
        <f t="shared" si="21"/>
        <v>4.4798006488711253E-2</v>
      </c>
    </row>
    <row r="28" spans="1:26" x14ac:dyDescent="0.25">
      <c r="A28" s="718" t="s">
        <v>95</v>
      </c>
      <c r="B28" s="718"/>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88</v>
      </c>
      <c r="Z28" s="91">
        <f t="shared" si="21"/>
        <v>0</v>
      </c>
    </row>
    <row r="29" spans="1:26" x14ac:dyDescent="0.25">
      <c r="A29" s="716" t="s">
        <v>96</v>
      </c>
      <c r="B29" s="716"/>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67</v>
      </c>
      <c r="Z29" s="91">
        <f t="shared" si="21"/>
        <v>0.26828014153370178</v>
      </c>
    </row>
    <row r="30" spans="1:26" s="59" customFormat="1" x14ac:dyDescent="0.25">
      <c r="A30" s="717" t="s">
        <v>97</v>
      </c>
      <c r="B30" s="717"/>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89</v>
      </c>
      <c r="Z30" s="91">
        <f t="shared" si="21"/>
        <v>1.2179458014118372E-2</v>
      </c>
    </row>
    <row r="31" spans="1:26" s="59" customFormat="1" x14ac:dyDescent="0.25">
      <c r="A31" s="718" t="s">
        <v>98</v>
      </c>
      <c r="B31" s="718"/>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90</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21</v>
      </c>
      <c r="F33" s="174"/>
      <c r="G33" s="174">
        <v>21</v>
      </c>
      <c r="H33" s="174">
        <v>21</v>
      </c>
      <c r="I33" s="174">
        <v>21</v>
      </c>
      <c r="J33" s="174">
        <v>22</v>
      </c>
      <c r="K33" s="174">
        <v>21</v>
      </c>
      <c r="L33" s="174">
        <v>22</v>
      </c>
      <c r="M33" s="174"/>
      <c r="N33" s="174"/>
      <c r="O33" s="174"/>
      <c r="P33" s="174"/>
      <c r="Q33" s="174"/>
      <c r="R33" s="174">
        <v>22</v>
      </c>
      <c r="S33" s="174">
        <v>21</v>
      </c>
      <c r="Z33" s="369"/>
    </row>
    <row r="34" spans="1:26" s="59" customFormat="1" ht="18.75" x14ac:dyDescent="0.3">
      <c r="A34" s="57"/>
      <c r="B34" s="719" t="s">
        <v>437</v>
      </c>
      <c r="C34" s="173" t="s">
        <v>181</v>
      </c>
      <c r="D34" s="174">
        <v>1196590</v>
      </c>
      <c r="E34" s="174">
        <v>1210970</v>
      </c>
      <c r="F34" s="174"/>
      <c r="G34" s="174">
        <v>1224400</v>
      </c>
      <c r="H34" s="174">
        <v>1250130</v>
      </c>
      <c r="I34" s="174">
        <v>1216540</v>
      </c>
      <c r="J34" s="174">
        <v>1205280</v>
      </c>
      <c r="K34" s="174">
        <v>1216570</v>
      </c>
      <c r="L34" s="174">
        <v>1203720</v>
      </c>
      <c r="M34" s="174"/>
      <c r="N34" s="174"/>
      <c r="O34" s="174"/>
      <c r="P34" s="174"/>
      <c r="Q34" s="174"/>
      <c r="R34" s="174">
        <v>1352030</v>
      </c>
      <c r="S34" s="174">
        <v>1365930</v>
      </c>
      <c r="Y34" s="709">
        <f>C23</f>
        <v>7143175</v>
      </c>
      <c r="Z34" s="710"/>
    </row>
    <row r="35" spans="1:26" x14ac:dyDescent="0.25">
      <c r="A35" s="57"/>
      <c r="B35" s="719"/>
      <c r="C35" s="173" t="s">
        <v>104</v>
      </c>
      <c r="D35" s="174">
        <v>155082</v>
      </c>
      <c r="E35" s="174">
        <v>155082</v>
      </c>
      <c r="F35" s="174"/>
      <c r="G35" s="174">
        <v>157942</v>
      </c>
      <c r="H35" s="174">
        <v>161202</v>
      </c>
      <c r="I35" s="174">
        <v>162982</v>
      </c>
      <c r="J35" s="174">
        <v>163332</v>
      </c>
      <c r="K35" s="174">
        <v>163682</v>
      </c>
      <c r="L35" s="174">
        <v>170232</v>
      </c>
      <c r="M35" s="174"/>
      <c r="N35" s="174"/>
      <c r="O35" s="174"/>
      <c r="P35" s="174"/>
      <c r="Q35" s="174"/>
      <c r="R35" s="174">
        <v>173702</v>
      </c>
      <c r="S35" s="174">
        <v>170144</v>
      </c>
    </row>
    <row r="36" spans="1:26" x14ac:dyDescent="0.25">
      <c r="A36" s="57"/>
      <c r="B36" s="719"/>
      <c r="C36" s="173" t="s">
        <v>663</v>
      </c>
      <c r="D36" s="174">
        <v>1053870</v>
      </c>
      <c r="E36" s="174">
        <v>1070960</v>
      </c>
      <c r="F36" s="174"/>
      <c r="G36" s="174">
        <v>1085330</v>
      </c>
      <c r="H36" s="174">
        <v>1110180</v>
      </c>
      <c r="I36" s="174">
        <v>1077690</v>
      </c>
      <c r="J36" s="174">
        <v>1068030</v>
      </c>
      <c r="K36" s="174">
        <v>1081450</v>
      </c>
      <c r="L36" s="174">
        <v>1063680</v>
      </c>
      <c r="M36" s="174"/>
      <c r="N36" s="174"/>
      <c r="O36" s="174"/>
      <c r="P36" s="174"/>
      <c r="Q36" s="174"/>
      <c r="R36" s="174">
        <v>1199560</v>
      </c>
      <c r="S36" s="174">
        <v>1218160</v>
      </c>
    </row>
    <row r="37" spans="1:26" x14ac:dyDescent="0.25">
      <c r="A37" s="57"/>
      <c r="B37" s="719"/>
      <c r="C37" s="173" t="s">
        <v>664</v>
      </c>
      <c r="D37" s="174">
        <v>133872</v>
      </c>
      <c r="E37" s="174">
        <v>133872</v>
      </c>
      <c r="F37" s="174"/>
      <c r="G37" s="174">
        <v>136732</v>
      </c>
      <c r="H37" s="174">
        <v>139932</v>
      </c>
      <c r="I37" s="174">
        <v>141712</v>
      </c>
      <c r="J37" s="174">
        <v>141712</v>
      </c>
      <c r="K37" s="174">
        <v>141712</v>
      </c>
      <c r="L37" s="174">
        <v>147972</v>
      </c>
      <c r="M37" s="174"/>
      <c r="N37" s="174"/>
      <c r="O37" s="174"/>
      <c r="P37" s="174"/>
      <c r="Q37" s="174"/>
      <c r="R37" s="174">
        <v>151312</v>
      </c>
      <c r="S37" s="174">
        <v>148252</v>
      </c>
    </row>
    <row r="38" spans="1:26" x14ac:dyDescent="0.25">
      <c r="A38" s="57"/>
      <c r="B38" s="719"/>
      <c r="C38" s="173" t="s">
        <v>665</v>
      </c>
      <c r="D38" s="175" t="s">
        <v>797</v>
      </c>
      <c r="E38" s="175" t="s">
        <v>801</v>
      </c>
      <c r="F38" s="175"/>
      <c r="G38" s="175" t="s">
        <v>819</v>
      </c>
      <c r="H38" s="175" t="s">
        <v>820</v>
      </c>
      <c r="I38" s="175" t="s">
        <v>821</v>
      </c>
      <c r="J38" s="175" t="s">
        <v>825</v>
      </c>
      <c r="K38" s="175" t="s">
        <v>831</v>
      </c>
      <c r="L38" s="175" t="s">
        <v>841</v>
      </c>
      <c r="M38" s="175"/>
      <c r="N38" s="175"/>
      <c r="O38" s="175"/>
      <c r="P38" s="175"/>
      <c r="Q38" s="175"/>
      <c r="R38" s="175" t="s">
        <v>847</v>
      </c>
      <c r="S38" s="175" t="s">
        <v>850</v>
      </c>
    </row>
    <row r="39" spans="1:26" x14ac:dyDescent="0.25">
      <c r="A39" s="57"/>
      <c r="B39" s="719"/>
      <c r="C39" s="173" t="s">
        <v>666</v>
      </c>
      <c r="D39" s="176">
        <v>7</v>
      </c>
      <c r="E39" s="176">
        <v>7</v>
      </c>
      <c r="F39" s="176"/>
      <c r="G39" s="176">
        <v>7</v>
      </c>
      <c r="H39" s="176">
        <v>7</v>
      </c>
      <c r="I39" s="176">
        <v>6.75</v>
      </c>
      <c r="J39" s="176">
        <v>6.75</v>
      </c>
      <c r="K39" s="176">
        <v>6.75</v>
      </c>
      <c r="L39" s="176">
        <v>6.75</v>
      </c>
      <c r="M39" s="176"/>
      <c r="N39" s="176"/>
      <c r="O39" s="176"/>
      <c r="P39" s="176"/>
      <c r="Q39" s="176"/>
      <c r="R39" s="176">
        <v>6.75</v>
      </c>
      <c r="S39" s="176">
        <v>6.75</v>
      </c>
    </row>
    <row r="40" spans="1:26" x14ac:dyDescent="0.25">
      <c r="B40" s="719"/>
      <c r="C40" s="173" t="s">
        <v>667</v>
      </c>
      <c r="D40" s="176">
        <v>6.5</v>
      </c>
      <c r="E40" s="176">
        <v>6.5</v>
      </c>
      <c r="F40" s="176"/>
      <c r="G40" s="176">
        <v>6.5</v>
      </c>
      <c r="H40" s="176">
        <v>6.25</v>
      </c>
      <c r="I40" s="176">
        <v>6</v>
      </c>
      <c r="J40" s="176">
        <v>6</v>
      </c>
      <c r="K40" s="176">
        <v>6</v>
      </c>
      <c r="L40" s="176">
        <v>6</v>
      </c>
      <c r="M40" s="176"/>
      <c r="N40" s="176"/>
      <c r="O40" s="176"/>
      <c r="P40" s="176"/>
      <c r="Q40" s="176"/>
      <c r="R40" s="176">
        <v>6.25</v>
      </c>
      <c r="S40" s="176">
        <v>6.25</v>
      </c>
    </row>
    <row r="41" spans="1:26" x14ac:dyDescent="0.25">
      <c r="B41" s="719"/>
      <c r="C41" s="173" t="s">
        <v>668</v>
      </c>
      <c r="D41" s="176">
        <v>6.75</v>
      </c>
      <c r="E41" s="176">
        <v>6.75</v>
      </c>
      <c r="F41" s="176"/>
      <c r="G41" s="176">
        <v>7</v>
      </c>
      <c r="H41" s="176">
        <v>7</v>
      </c>
      <c r="I41" s="176">
        <v>7.25</v>
      </c>
      <c r="J41" s="176">
        <v>7.25</v>
      </c>
      <c r="K41" s="176">
        <v>7.25</v>
      </c>
      <c r="L41" s="176">
        <v>7.5</v>
      </c>
      <c r="M41" s="176"/>
      <c r="N41" s="176"/>
      <c r="O41" s="176"/>
      <c r="P41" s="176"/>
      <c r="Q41" s="176"/>
      <c r="R41" s="176">
        <v>7.5</v>
      </c>
      <c r="S41" s="176">
        <v>7.5</v>
      </c>
    </row>
    <row r="42" spans="1:26" ht="15" customHeight="1" x14ac:dyDescent="0.25">
      <c r="C42" s="164" t="s">
        <v>438</v>
      </c>
      <c r="D42" s="288">
        <f>D34/D35</f>
        <v>7.715853548445339</v>
      </c>
      <c r="E42" s="288">
        <f>E34/E35</f>
        <v>7.8085786874040828</v>
      </c>
      <c r="F42" s="288" t="e">
        <f t="shared" ref="F42:S42" si="29">F34/F35</f>
        <v>#DIV/0!</v>
      </c>
      <c r="G42" s="288">
        <f t="shared" si="29"/>
        <v>7.7522128376239383</v>
      </c>
      <c r="H42" s="288">
        <f t="shared" si="29"/>
        <v>7.7550526668403617</v>
      </c>
      <c r="I42" s="288">
        <f t="shared" si="29"/>
        <v>7.4642598569167147</v>
      </c>
      <c r="J42" s="288">
        <f t="shared" si="29"/>
        <v>7.3793255455146571</v>
      </c>
      <c r="K42" s="288">
        <f t="shared" si="29"/>
        <v>7.4325215967546825</v>
      </c>
      <c r="L42" s="288">
        <f t="shared" si="29"/>
        <v>7.0710559706753138</v>
      </c>
      <c r="M42" s="288" t="e">
        <f t="shared" si="29"/>
        <v>#DIV/0!</v>
      </c>
      <c r="N42" s="288" t="e">
        <f t="shared" si="29"/>
        <v>#DIV/0!</v>
      </c>
      <c r="O42" s="288" t="e">
        <f t="shared" si="29"/>
        <v>#DIV/0!</v>
      </c>
      <c r="P42" s="288" t="e">
        <f t="shared" si="29"/>
        <v>#DIV/0!</v>
      </c>
      <c r="Q42" s="288" t="e">
        <f t="shared" si="29"/>
        <v>#DIV/0!</v>
      </c>
      <c r="R42" s="288">
        <f t="shared" si="29"/>
        <v>7.78361792034634</v>
      </c>
      <c r="S42" s="288">
        <f t="shared" si="29"/>
        <v>8.0280820951664467</v>
      </c>
    </row>
    <row r="43" spans="1:26" ht="15" customHeight="1" x14ac:dyDescent="0.25">
      <c r="D43" s="9"/>
      <c r="E43" s="588"/>
      <c r="G43" s="711"/>
      <c r="H43" s="711"/>
      <c r="I43" s="711"/>
      <c r="J43" s="711"/>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20"/>
      <c r="H46" s="720"/>
      <c r="I46" s="720"/>
      <c r="J46" s="720"/>
      <c r="M46" s="383"/>
    </row>
    <row r="47" spans="1:26" x14ac:dyDescent="0.25">
      <c r="E47" s="106"/>
      <c r="G47" s="589"/>
      <c r="H47" s="589"/>
      <c r="I47" s="589"/>
      <c r="J47" s="589"/>
    </row>
    <row r="48" spans="1:26" x14ac:dyDescent="0.25">
      <c r="G48" s="720"/>
      <c r="H48" s="720"/>
      <c r="I48" s="720"/>
      <c r="J48" s="720"/>
      <c r="P48" s="383"/>
    </row>
    <row r="49" spans="7:10" ht="15" customHeight="1" x14ac:dyDescent="0.25">
      <c r="G49" s="720"/>
      <c r="H49" s="720"/>
      <c r="I49" s="720"/>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21" t="s">
        <v>794</v>
      </c>
      <c r="C2" s="722"/>
      <c r="D2" s="722"/>
      <c r="E2" s="722"/>
      <c r="F2" s="722"/>
      <c r="G2" s="723"/>
      <c r="I2" s="732" t="s">
        <v>795</v>
      </c>
      <c r="J2" s="733"/>
      <c r="K2" s="733"/>
      <c r="L2" s="733"/>
      <c r="M2" s="733"/>
      <c r="N2" s="733"/>
      <c r="O2" s="733"/>
      <c r="P2" s="733"/>
      <c r="Q2" s="733"/>
      <c r="R2" s="733"/>
      <c r="S2" s="734"/>
    </row>
    <row r="3" spans="2:19" x14ac:dyDescent="0.25">
      <c r="B3" s="725" t="s">
        <v>102</v>
      </c>
      <c r="C3" s="726"/>
      <c r="D3" s="726"/>
      <c r="E3" s="726"/>
      <c r="F3" s="726"/>
      <c r="G3" s="727"/>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5" t="s">
        <v>113</v>
      </c>
      <c r="C4" s="736"/>
      <c r="D4" s="109"/>
      <c r="E4" s="737" t="s">
        <v>114</v>
      </c>
      <c r="F4" s="738"/>
      <c r="G4" s="109"/>
      <c r="I4" s="568" t="s">
        <v>115</v>
      </c>
      <c r="J4" s="110" t="s">
        <v>783</v>
      </c>
      <c r="K4" s="624">
        <f>11662680+53436</f>
        <v>11716116</v>
      </c>
      <c r="L4" s="624">
        <v>0</v>
      </c>
      <c r="M4" s="624">
        <v>0</v>
      </c>
      <c r="N4" s="624">
        <v>0</v>
      </c>
      <c r="O4" s="111">
        <f t="shared" ref="O4:O5" si="0">IF(M4=0,0,M4-K4)-N4</f>
        <v>0</v>
      </c>
      <c r="P4" s="111">
        <f t="shared" ref="P4:P5" si="1">IF(M4=0,K4,0)</f>
        <v>11716116</v>
      </c>
      <c r="Q4" s="569"/>
      <c r="R4" s="112">
        <v>42468</v>
      </c>
      <c r="S4" s="112"/>
    </row>
    <row r="5" spans="2:19" x14ac:dyDescent="0.25">
      <c r="B5" s="113"/>
      <c r="C5" s="114"/>
      <c r="D5" s="201"/>
      <c r="E5" s="113"/>
      <c r="F5" s="114"/>
      <c r="G5" s="115"/>
      <c r="I5" s="396" t="s">
        <v>491</v>
      </c>
      <c r="J5" s="397" t="s">
        <v>822</v>
      </c>
      <c r="K5" s="625">
        <v>0</v>
      </c>
      <c r="L5" s="625">
        <v>0</v>
      </c>
      <c r="M5" s="625">
        <v>2000</v>
      </c>
      <c r="N5" s="625">
        <v>650</v>
      </c>
      <c r="O5" s="398">
        <f t="shared" si="0"/>
        <v>1350</v>
      </c>
      <c r="P5" s="398">
        <f t="shared" si="1"/>
        <v>0</v>
      </c>
      <c r="Q5" s="399"/>
      <c r="R5" s="400"/>
      <c r="S5" s="400">
        <v>42562</v>
      </c>
    </row>
    <row r="6" spans="2:19" x14ac:dyDescent="0.25">
      <c r="B6" s="116" t="s">
        <v>116</v>
      </c>
      <c r="C6" s="117">
        <f>SUM(C7:C9)</f>
        <v>7660337</v>
      </c>
      <c r="D6" s="140">
        <f>C6/C34</f>
        <v>0.22958988498479441</v>
      </c>
      <c r="E6" s="116" t="s">
        <v>117</v>
      </c>
      <c r="F6" s="117">
        <f ca="1">F7+F8+F9</f>
        <v>20059687.014755197</v>
      </c>
      <c r="G6" s="118">
        <f ca="1">F6/$F$34</f>
        <v>0.60121391977254002</v>
      </c>
      <c r="I6" s="396" t="s">
        <v>491</v>
      </c>
      <c r="J6" s="397" t="s">
        <v>823</v>
      </c>
      <c r="K6" s="625">
        <v>0</v>
      </c>
      <c r="L6" s="625">
        <v>0</v>
      </c>
      <c r="M6" s="625">
        <v>59000</v>
      </c>
      <c r="N6" s="625">
        <v>650</v>
      </c>
      <c r="O6" s="398">
        <f t="shared" ref="O6" si="2">IF(M6=0,0,M6-K6)-N6</f>
        <v>58350</v>
      </c>
      <c r="P6" s="398">
        <f t="shared" ref="P6" si="3">IF(M6=0,K6,0)</f>
        <v>0</v>
      </c>
      <c r="Q6" s="399"/>
      <c r="R6" s="400"/>
      <c r="S6" s="400">
        <v>42530</v>
      </c>
    </row>
    <row r="7" spans="2:19" x14ac:dyDescent="0.25">
      <c r="B7" s="119" t="s">
        <v>84</v>
      </c>
      <c r="C7" s="120">
        <f>'A-P_T49'!C7+EconomiaT50!C16</f>
        <v>3684165</v>
      </c>
      <c r="D7" s="202">
        <f>C7/C34</f>
        <v>0.11041903490864764</v>
      </c>
      <c r="E7" s="203" t="s">
        <v>118</v>
      </c>
      <c r="F7" s="204">
        <v>300000</v>
      </c>
      <c r="G7" s="121">
        <f ca="1">F7/$F$34</f>
        <v>8.9913753788427742E-3</v>
      </c>
      <c r="I7" s="396" t="s">
        <v>491</v>
      </c>
      <c r="J7" s="397" t="s">
        <v>828</v>
      </c>
      <c r="K7" s="625">
        <v>0</v>
      </c>
      <c r="L7" s="625">
        <v>0</v>
      </c>
      <c r="M7" s="625">
        <v>261000</v>
      </c>
      <c r="N7" s="625">
        <f>M7-247950</f>
        <v>13050</v>
      </c>
      <c r="O7" s="398">
        <f t="shared" ref="O7" si="4">IF(M7=0,0,M7-K7)-N7</f>
        <v>247950</v>
      </c>
      <c r="P7" s="398">
        <f t="shared" ref="P7" si="5">IF(M7=0,K7,0)</f>
        <v>0</v>
      </c>
      <c r="Q7" s="399"/>
      <c r="R7" s="400"/>
      <c r="S7" s="400">
        <v>42572</v>
      </c>
    </row>
    <row r="8" spans="2:19" x14ac:dyDescent="0.25">
      <c r="B8" s="119" t="s">
        <v>67</v>
      </c>
      <c r="C8" s="120">
        <f>'A-P_T49'!C8+EconomiaT50!C20+'A-P_T49'!C9</f>
        <v>3976172</v>
      </c>
      <c r="D8" s="202">
        <f>C8/C34</f>
        <v>0.11917085007614678</v>
      </c>
      <c r="E8" s="203" t="s">
        <v>261</v>
      </c>
      <c r="F8" s="204">
        <f ca="1">'A-P_T49'!F9+'A-P_T49'!F8</f>
        <v>14013141.014755197</v>
      </c>
      <c r="G8" s="121">
        <f ca="1">F8/$F$34</f>
        <v>0.41999137033440576</v>
      </c>
      <c r="I8" s="396" t="s">
        <v>491</v>
      </c>
      <c r="J8" s="397" t="s">
        <v>830</v>
      </c>
      <c r="K8" s="625">
        <v>0</v>
      </c>
      <c r="L8" s="625">
        <v>0</v>
      </c>
      <c r="M8" s="625">
        <v>84660</v>
      </c>
      <c r="N8" s="625">
        <f>M8-81427</f>
        <v>3233</v>
      </c>
      <c r="O8" s="398">
        <f t="shared" ref="O8" si="6">IF(M8=0,0,M8-K8)-N8</f>
        <v>81427</v>
      </c>
      <c r="P8" s="398">
        <f t="shared" ref="P8" si="7">IF(M8=0,K8,0)</f>
        <v>0</v>
      </c>
      <c r="Q8" s="399"/>
      <c r="R8" s="400"/>
      <c r="S8" s="400">
        <v>42578</v>
      </c>
    </row>
    <row r="9" spans="2:19" x14ac:dyDescent="0.25">
      <c r="B9" s="122" t="s">
        <v>119</v>
      </c>
      <c r="C9" s="123">
        <v>0</v>
      </c>
      <c r="D9" s="202">
        <f>C9/C34</f>
        <v>0</v>
      </c>
      <c r="E9" s="203" t="s">
        <v>796</v>
      </c>
      <c r="F9" s="204">
        <f>'A-P_T49'!F11+192375</f>
        <v>5746546</v>
      </c>
      <c r="G9" s="121">
        <f ca="1">F9/$F$34</f>
        <v>0.17223117405929145</v>
      </c>
      <c r="I9" s="396" t="s">
        <v>491</v>
      </c>
      <c r="J9" s="397" t="s">
        <v>844</v>
      </c>
      <c r="K9" s="625">
        <v>0</v>
      </c>
      <c r="L9" s="625">
        <v>0</v>
      </c>
      <c r="M9" s="625">
        <v>84000</v>
      </c>
      <c r="N9" s="625">
        <f>M9-79800</f>
        <v>4200</v>
      </c>
      <c r="O9" s="398">
        <f t="shared" ref="O9" si="8">IF(M9=0,0,M9-K9)-N9</f>
        <v>79800</v>
      </c>
      <c r="P9" s="398">
        <f t="shared" ref="P9" si="9">IF(M9=0,K9,0)</f>
        <v>0</v>
      </c>
      <c r="Q9" s="399"/>
      <c r="R9" s="400"/>
      <c r="S9" s="400">
        <v>42613</v>
      </c>
    </row>
    <row r="10" spans="2:19" x14ac:dyDescent="0.25">
      <c r="B10" s="124"/>
      <c r="C10" s="125"/>
      <c r="D10" s="140"/>
      <c r="E10" s="205"/>
      <c r="F10" s="125"/>
      <c r="G10" s="118"/>
      <c r="I10" s="396" t="s">
        <v>491</v>
      </c>
      <c r="J10" s="397" t="s">
        <v>845</v>
      </c>
      <c r="K10" s="625">
        <v>0</v>
      </c>
      <c r="L10" s="625">
        <v>0</v>
      </c>
      <c r="M10" s="625">
        <v>10000</v>
      </c>
      <c r="N10" s="625">
        <f>M10-9500</f>
        <v>500</v>
      </c>
      <c r="O10" s="398">
        <f t="shared" ref="O10" si="10">IF(M10=0,0,M10-K10)-N10</f>
        <v>9500</v>
      </c>
      <c r="P10" s="398">
        <f t="shared" ref="P10" si="11">IF(M10=0,K10,0)</f>
        <v>0</v>
      </c>
      <c r="Q10" s="399"/>
      <c r="R10" s="400"/>
      <c r="S10" s="400">
        <v>42613</v>
      </c>
    </row>
    <row r="11" spans="2:19" x14ac:dyDescent="0.25">
      <c r="B11" s="116" t="s">
        <v>100</v>
      </c>
      <c r="C11" s="117">
        <f>SUM(C12:C15)</f>
        <v>11716116</v>
      </c>
      <c r="D11" s="140">
        <f>C11/C34</f>
        <v>0.35114665646021964</v>
      </c>
      <c r="E11" s="116" t="s">
        <v>657</v>
      </c>
      <c r="F11" s="117">
        <f>SUM(F12:F17)</f>
        <v>6162445</v>
      </c>
      <c r="G11" s="118">
        <f t="shared" ref="G11:G17" ca="1" si="12">F11/$F$34</f>
        <v>0.18469618748824254</v>
      </c>
      <c r="I11" s="396" t="s">
        <v>491</v>
      </c>
      <c r="J11" s="397" t="s">
        <v>846</v>
      </c>
      <c r="K11" s="625">
        <v>0</v>
      </c>
      <c r="L11" s="625">
        <v>0</v>
      </c>
      <c r="M11" s="625">
        <v>116000</v>
      </c>
      <c r="N11" s="625">
        <f>M11-110200</f>
        <v>5800</v>
      </c>
      <c r="O11" s="398">
        <f t="shared" ref="O11:O12" si="13">IF(M11=0,0,M11-K11)-N11</f>
        <v>110200</v>
      </c>
      <c r="P11" s="398">
        <f t="shared" ref="P11:P12" si="14">IF(M11=0,K11,0)</f>
        <v>0</v>
      </c>
      <c r="Q11" s="399"/>
      <c r="R11" s="400"/>
      <c r="S11" s="400">
        <v>42608</v>
      </c>
    </row>
    <row r="12" spans="2:19" x14ac:dyDescent="0.25">
      <c r="B12" s="129" t="s">
        <v>121</v>
      </c>
      <c r="C12" s="130">
        <f>SUMIF(I4:I518,"S",$P$4:$P$518)</f>
        <v>0</v>
      </c>
      <c r="D12" s="202">
        <f>C12/C34</f>
        <v>0</v>
      </c>
      <c r="E12" s="49" t="s">
        <v>122</v>
      </c>
      <c r="F12" s="131">
        <f>SUMIF(I4:I518,"J",$O$4:$O$518)</f>
        <v>0</v>
      </c>
      <c r="G12" s="121">
        <f t="shared" ca="1" si="12"/>
        <v>0</v>
      </c>
      <c r="I12" s="568" t="s">
        <v>435</v>
      </c>
      <c r="J12" s="110" t="s">
        <v>849</v>
      </c>
      <c r="K12" s="624">
        <v>1916000</v>
      </c>
      <c r="L12" s="624">
        <v>372</v>
      </c>
      <c r="M12" s="624">
        <v>0</v>
      </c>
      <c r="N12" s="624">
        <v>0</v>
      </c>
      <c r="O12" s="111">
        <f t="shared" si="13"/>
        <v>0</v>
      </c>
      <c r="P12" s="111">
        <f t="shared" si="14"/>
        <v>1916000</v>
      </c>
      <c r="Q12" s="569"/>
      <c r="R12" s="112">
        <v>42628</v>
      </c>
      <c r="S12" s="112"/>
    </row>
    <row r="13" spans="2:19" x14ac:dyDescent="0.25">
      <c r="B13" s="129" t="s">
        <v>100</v>
      </c>
      <c r="C13" s="130">
        <f>SUMIF(I4:I518,"J",$P$4:$P$518)</f>
        <v>11716116</v>
      </c>
      <c r="D13" s="202">
        <f>C13/C34</f>
        <v>0.35114665646021964</v>
      </c>
      <c r="E13" s="49" t="s">
        <v>123</v>
      </c>
      <c r="F13" s="131">
        <f>SUMIF(I4:I518,"S",$O$4:$O$518)</f>
        <v>0</v>
      </c>
      <c r="G13" s="121">
        <f t="shared" ca="1" si="12"/>
        <v>0</v>
      </c>
      <c r="I13" s="470"/>
      <c r="J13" s="470"/>
      <c r="K13" s="470"/>
      <c r="L13" s="470"/>
      <c r="M13" s="470"/>
      <c r="N13" s="470"/>
      <c r="O13" s="470"/>
      <c r="P13" s="470"/>
      <c r="Q13" s="470"/>
      <c r="R13" s="470"/>
      <c r="S13" s="470"/>
    </row>
    <row r="14" spans="2:19" x14ac:dyDescent="0.25">
      <c r="B14" s="129" t="s">
        <v>99</v>
      </c>
      <c r="C14" s="130">
        <f>SUMIF(I4:I518,"E",$P$4:$P$518)</f>
        <v>0</v>
      </c>
      <c r="D14" s="202">
        <f>C14/C34</f>
        <v>0</v>
      </c>
      <c r="E14" s="49" t="s">
        <v>124</v>
      </c>
      <c r="F14" s="131">
        <f>SUMIF(I4:I518,"C",$O$4:$O$518)</f>
        <v>588577</v>
      </c>
      <c r="G14" s="121">
        <f t="shared" ca="1" si="12"/>
        <v>1.764038915451048E-2</v>
      </c>
      <c r="I14" s="470"/>
      <c r="J14" s="470"/>
      <c r="K14" s="470"/>
      <c r="L14" s="470"/>
      <c r="M14" s="470"/>
      <c r="N14" s="470"/>
      <c r="O14" s="470"/>
      <c r="P14" s="470"/>
      <c r="Q14" s="470"/>
      <c r="R14" s="470"/>
      <c r="S14" s="470"/>
    </row>
    <row r="15" spans="2:19" x14ac:dyDescent="0.25">
      <c r="B15" s="129" t="s">
        <v>125</v>
      </c>
      <c r="C15" s="130">
        <f>SUMIF(I4:I518,"M",$P$4:$P$518)</f>
        <v>0</v>
      </c>
      <c r="D15" s="202">
        <f>C15/C34</f>
        <v>0</v>
      </c>
      <c r="E15" s="49" t="s">
        <v>126</v>
      </c>
      <c r="F15" s="131">
        <f>SUMIF(I4:I518,"E",$O$4:$O$518)</f>
        <v>0</v>
      </c>
      <c r="G15" s="121">
        <f t="shared" ca="1" si="12"/>
        <v>0</v>
      </c>
      <c r="K15" s="106"/>
    </row>
    <row r="16" spans="2:19" x14ac:dyDescent="0.25">
      <c r="B16" s="132"/>
      <c r="C16" s="133"/>
      <c r="D16" s="140"/>
      <c r="E16" s="49" t="s">
        <v>127</v>
      </c>
      <c r="F16" s="131">
        <f>SUMIF(I4:I518,"M",$O$4:$O$518)</f>
        <v>0</v>
      </c>
      <c r="G16" s="121">
        <f t="shared" ca="1" si="12"/>
        <v>0</v>
      </c>
    </row>
    <row r="17" spans="2:10" x14ac:dyDescent="0.25">
      <c r="B17" s="116" t="s">
        <v>74</v>
      </c>
      <c r="C17" s="134">
        <f>C18+C19</f>
        <v>588577</v>
      </c>
      <c r="D17" s="140">
        <f>C17/C34</f>
        <v>1.764038915451048E-2</v>
      </c>
      <c r="E17" s="135" t="s">
        <v>658</v>
      </c>
      <c r="F17" s="136">
        <f>C27-F27+C9</f>
        <v>5573868</v>
      </c>
      <c r="G17" s="121">
        <f t="shared" ca="1" si="12"/>
        <v>0.16705579833373208</v>
      </c>
    </row>
    <row r="18" spans="2:10" x14ac:dyDescent="0.25">
      <c r="B18" s="129" t="s">
        <v>74</v>
      </c>
      <c r="C18" s="130">
        <f>SUM(M4:M518)</f>
        <v>616660</v>
      </c>
      <c r="D18" s="202">
        <f>C18/C34</f>
        <v>1.8482071803723951E-2</v>
      </c>
      <c r="E18" s="124"/>
      <c r="F18" s="125"/>
      <c r="G18" s="137"/>
    </row>
    <row r="19" spans="2:10" x14ac:dyDescent="0.25">
      <c r="B19" s="122" t="s">
        <v>76</v>
      </c>
      <c r="C19" s="123">
        <f>SUM(N4:N518)*-1</f>
        <v>-28083</v>
      </c>
      <c r="D19" s="202">
        <f>C19/C34</f>
        <v>-8.4168264921347211E-4</v>
      </c>
      <c r="E19" s="116" t="s">
        <v>129</v>
      </c>
      <c r="F19" s="134">
        <f>F20+F21</f>
        <v>0</v>
      </c>
      <c r="G19" s="118">
        <f ca="1">F19/$F$34</f>
        <v>0</v>
      </c>
    </row>
    <row r="20" spans="2:10" x14ac:dyDescent="0.25">
      <c r="B20" s="132"/>
      <c r="C20" s="133"/>
      <c r="D20" s="202"/>
      <c r="E20" s="206" t="s">
        <v>88</v>
      </c>
      <c r="F20" s="207">
        <f>EconomiaT50!C19</f>
        <v>0</v>
      </c>
      <c r="G20" s="121">
        <f ca="1">F20/$F$34</f>
        <v>0</v>
      </c>
    </row>
    <row r="21" spans="2:10" x14ac:dyDescent="0.25">
      <c r="B21" s="116" t="s">
        <v>659</v>
      </c>
      <c r="C21" s="117">
        <f>EconomiaT50!C5</f>
        <v>3042401.0147551969</v>
      </c>
      <c r="D21" s="140">
        <f>C21/C34</f>
        <v>9.1184565255453834E-2</v>
      </c>
      <c r="E21" s="122" t="s">
        <v>130</v>
      </c>
      <c r="F21" s="208">
        <v>0</v>
      </c>
      <c r="G21" s="121">
        <f ca="1">F21/$F$34</f>
        <v>0</v>
      </c>
    </row>
    <row r="22" spans="2:10" x14ac:dyDescent="0.25">
      <c r="B22" s="116"/>
      <c r="C22" s="117"/>
      <c r="D22" s="140"/>
      <c r="E22" s="132"/>
      <c r="F22" s="468"/>
      <c r="G22" s="469"/>
    </row>
    <row r="23" spans="2:10" x14ac:dyDescent="0.25">
      <c r="B23" s="116"/>
      <c r="C23" s="117"/>
      <c r="D23" s="140"/>
      <c r="E23" s="116" t="s">
        <v>264</v>
      </c>
      <c r="F23" s="117">
        <f>SUM(F24:F25)</f>
        <v>2359167</v>
      </c>
      <c r="G23" s="118">
        <f ca="1">F23/$F$34</f>
        <v>7.0707186927927906E-2</v>
      </c>
    </row>
    <row r="24" spans="2:10" x14ac:dyDescent="0.25">
      <c r="B24" s="116"/>
      <c r="C24" s="117"/>
      <c r="D24" s="140"/>
      <c r="E24" s="206" t="s">
        <v>84</v>
      </c>
      <c r="F24" s="209">
        <f>EconomiaT50!C16</f>
        <v>442795</v>
      </c>
      <c r="G24" s="121">
        <f ca="1">F24/$F$34</f>
        <v>1.3271120202915621E-2</v>
      </c>
    </row>
    <row r="25" spans="2:10" x14ac:dyDescent="0.25">
      <c r="B25" s="116"/>
      <c r="C25" s="117"/>
      <c r="D25" s="140"/>
      <c r="E25" s="206" t="s">
        <v>67</v>
      </c>
      <c r="F25" s="209">
        <f>EconomiaT50!C20</f>
        <v>1916372</v>
      </c>
      <c r="G25" s="121">
        <f ca="1">F25/$F$34</f>
        <v>5.7436066725012287E-2</v>
      </c>
    </row>
    <row r="26" spans="2:10" x14ac:dyDescent="0.25">
      <c r="B26" s="570"/>
      <c r="C26" s="571"/>
      <c r="D26" s="572"/>
      <c r="E26" s="573"/>
      <c r="F26" s="574"/>
      <c r="G26" s="575"/>
    </row>
    <row r="27" spans="2:10" x14ac:dyDescent="0.25">
      <c r="B27" s="116" t="s">
        <v>131</v>
      </c>
      <c r="C27" s="117">
        <f>SUM(C28:C32)</f>
        <v>10357876</v>
      </c>
      <c r="D27" s="140">
        <f>C27/C34</f>
        <v>0.31043850414502161</v>
      </c>
      <c r="E27" s="116" t="s">
        <v>265</v>
      </c>
      <c r="F27" s="117">
        <f>SUM(F28:F33)</f>
        <v>4784008</v>
      </c>
      <c r="G27" s="118">
        <f t="shared" ref="G27:G33" ca="1" si="15">F27/$F$34</f>
        <v>0.14338270581128956</v>
      </c>
    </row>
    <row r="28" spans="2:10" x14ac:dyDescent="0.25">
      <c r="B28" s="138" t="s">
        <v>69</v>
      </c>
      <c r="C28" s="139">
        <f>EconomiaT50!C11</f>
        <v>89520</v>
      </c>
      <c r="D28" s="202">
        <f>C28/C34</f>
        <v>2.6830264130466839E-3</v>
      </c>
      <c r="E28" s="206" t="s">
        <v>132</v>
      </c>
      <c r="F28" s="209">
        <f>EconomiaT50!C14</f>
        <v>2646284</v>
      </c>
      <c r="G28" s="121">
        <f t="shared" ca="1" si="15"/>
        <v>7.9312442676751915E-2</v>
      </c>
    </row>
    <row r="29" spans="2:10" x14ac:dyDescent="0.25">
      <c r="B29" s="138" t="s">
        <v>79</v>
      </c>
      <c r="C29" s="139">
        <f>EconomiaT50!C12</f>
        <v>925000</v>
      </c>
      <c r="D29" s="202">
        <f>C29/C34</f>
        <v>2.7723407418098554E-2</v>
      </c>
      <c r="E29" s="206" t="s">
        <v>82</v>
      </c>
      <c r="F29" s="209">
        <f>EconomiaT50!C15</f>
        <v>686244</v>
      </c>
      <c r="G29" s="121">
        <f t="shared" ca="1" si="15"/>
        <v>2.056759135159527E-2</v>
      </c>
    </row>
    <row r="30" spans="2:10" x14ac:dyDescent="0.25">
      <c r="B30" s="138" t="s">
        <v>71</v>
      </c>
      <c r="C30" s="139">
        <f>EconomiaT50!C6</f>
        <v>6222531</v>
      </c>
      <c r="D30" s="202">
        <f>C30/C34</f>
        <v>0.18649704009161971</v>
      </c>
      <c r="E30" s="206" t="s">
        <v>85</v>
      </c>
      <c r="F30" s="209">
        <f>EconomiaT50!C17</f>
        <v>1044480</v>
      </c>
      <c r="G30" s="121">
        <f t="shared" ca="1" si="15"/>
        <v>3.1304372518979003E-2</v>
      </c>
    </row>
    <row r="31" spans="2:10" x14ac:dyDescent="0.25">
      <c r="B31" s="138" t="s">
        <v>72</v>
      </c>
      <c r="C31" s="139">
        <f>EconomiaT50!C7</f>
        <v>3046995</v>
      </c>
      <c r="D31" s="202">
        <f>C31/C34</f>
        <v>9.1322252741523474E-2</v>
      </c>
      <c r="E31" s="206" t="s">
        <v>86</v>
      </c>
      <c r="F31" s="209">
        <f>EconomiaT50!C18</f>
        <v>320000</v>
      </c>
      <c r="G31" s="121">
        <f t="shared" ca="1" si="15"/>
        <v>9.5908004040989592E-3</v>
      </c>
    </row>
    <row r="32" spans="2:10" x14ac:dyDescent="0.25">
      <c r="B32" s="138" t="s">
        <v>76</v>
      </c>
      <c r="C32" s="139">
        <f>EconomiaT50!C10</f>
        <v>73830</v>
      </c>
      <c r="D32" s="202">
        <f>C32/C34</f>
        <v>2.2127774807332067E-3</v>
      </c>
      <c r="E32" s="206" t="s">
        <v>89</v>
      </c>
      <c r="F32" s="209">
        <f>EconomiaT50!C21</f>
        <v>87000</v>
      </c>
      <c r="G32" s="121">
        <f t="shared" ca="1" si="15"/>
        <v>2.6074988598644047E-3</v>
      </c>
      <c r="J32" s="106"/>
    </row>
    <row r="33" spans="2:8" x14ac:dyDescent="0.25">
      <c r="B33" s="116"/>
      <c r="C33" s="117"/>
      <c r="D33" s="140"/>
      <c r="E33" s="471" t="s">
        <v>90</v>
      </c>
      <c r="F33" s="472">
        <f>EconomiaT50!C22</f>
        <v>0</v>
      </c>
      <c r="G33" s="473">
        <f t="shared" ca="1" si="15"/>
        <v>0</v>
      </c>
    </row>
    <row r="34" spans="2:8" ht="18.75" x14ac:dyDescent="0.3">
      <c r="B34" s="146" t="s">
        <v>27</v>
      </c>
      <c r="C34" s="147">
        <f>C27+C21+C17+C11+C6</f>
        <v>33365307.014755197</v>
      </c>
      <c r="D34" s="474">
        <f>C34/C34</f>
        <v>1</v>
      </c>
      <c r="E34" s="146" t="s">
        <v>27</v>
      </c>
      <c r="F34" s="147">
        <f ca="1">F27+F19+F11+F6+F23</f>
        <v>33365307.014755197</v>
      </c>
      <c r="G34" s="145">
        <f ca="1">F34/$F$34</f>
        <v>1</v>
      </c>
    </row>
    <row r="35" spans="2:8" x14ac:dyDescent="0.25">
      <c r="C35" s="106"/>
      <c r="D35" s="475"/>
      <c r="E35" s="476" t="s">
        <v>604</v>
      </c>
      <c r="F35" s="477">
        <f ca="1">F34-C34</f>
        <v>0</v>
      </c>
      <c r="G35" s="106"/>
    </row>
    <row r="36" spans="2:8" x14ac:dyDescent="0.25">
      <c r="C36" s="106"/>
      <c r="D36" s="106"/>
      <c r="F36" s="106"/>
      <c r="G36" s="106"/>
      <c r="H36" s="106"/>
    </row>
    <row r="37" spans="2:8" ht="15.75" x14ac:dyDescent="0.25">
      <c r="B37" s="478" t="s">
        <v>660</v>
      </c>
      <c r="C37" s="479">
        <f>EconomiaT48!C24</f>
        <v>9386456.0147551969</v>
      </c>
      <c r="D37" s="106"/>
      <c r="E37" s="4" t="s">
        <v>661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70" priority="48" operator="lessThan">
      <formula>0</formula>
    </cfRule>
    <cfRule type="cellIs" dxfId="69" priority="49" operator="greaterThan">
      <formula>0</formula>
    </cfRule>
  </conditionalFormatting>
  <conditionalFormatting sqref="F37">
    <cfRule type="cellIs" dxfId="68" priority="47" operator="lessThan">
      <formula>0</formula>
    </cfRule>
  </conditionalFormatting>
  <conditionalFormatting sqref="C38">
    <cfRule type="cellIs" dxfId="67" priority="45" operator="greaterThan">
      <formula>0</formula>
    </cfRule>
    <cfRule type="cellIs" dxfId="66" priority="46" operator="lessThan">
      <formula>0</formula>
    </cfRule>
  </conditionalFormatting>
  <conditionalFormatting sqref="O4">
    <cfRule type="cellIs" dxfId="65" priority="35" operator="lessThan">
      <formula>0</formula>
    </cfRule>
    <cfRule type="cellIs" dxfId="64" priority="36" operator="greaterThan">
      <formula>0</formula>
    </cfRule>
  </conditionalFormatting>
  <conditionalFormatting sqref="O4 Q4">
    <cfRule type="cellIs" dxfId="63" priority="33" operator="lessThan">
      <formula>0</formula>
    </cfRule>
    <cfRule type="cellIs" dxfId="62" priority="34" operator="greaterThan">
      <formula>0</formula>
    </cfRule>
  </conditionalFormatting>
  <conditionalFormatting sqref="O5">
    <cfRule type="cellIs" dxfId="61" priority="31" operator="lessThan">
      <formula>0</formula>
    </cfRule>
    <cfRule type="cellIs" dxfId="60" priority="32" operator="greaterThan">
      <formula>0</formula>
    </cfRule>
  </conditionalFormatting>
  <conditionalFormatting sqref="O5 Q5">
    <cfRule type="cellIs" dxfId="59" priority="29" operator="lessThan">
      <formula>0</formula>
    </cfRule>
    <cfRule type="cellIs" dxfId="58" priority="30" operator="greaterThan">
      <formula>0</formula>
    </cfRule>
  </conditionalFormatting>
  <conditionalFormatting sqref="O6">
    <cfRule type="cellIs" dxfId="57" priority="27" operator="lessThan">
      <formula>0</formula>
    </cfRule>
    <cfRule type="cellIs" dxfId="56" priority="28" operator="greaterThan">
      <formula>0</formula>
    </cfRule>
  </conditionalFormatting>
  <conditionalFormatting sqref="O6 Q6">
    <cfRule type="cellIs" dxfId="55" priority="25" operator="lessThan">
      <formula>0</formula>
    </cfRule>
    <cfRule type="cellIs" dxfId="54" priority="26" operator="greaterThan">
      <formula>0</formula>
    </cfRule>
  </conditionalFormatting>
  <conditionalFormatting sqref="O7">
    <cfRule type="cellIs" dxfId="53" priority="23" operator="lessThan">
      <formula>0</formula>
    </cfRule>
    <cfRule type="cellIs" dxfId="52" priority="24" operator="greaterThan">
      <formula>0</formula>
    </cfRule>
  </conditionalFormatting>
  <conditionalFormatting sqref="O7 Q7">
    <cfRule type="cellIs" dxfId="51" priority="21" operator="lessThan">
      <formula>0</formula>
    </cfRule>
    <cfRule type="cellIs" dxfId="50" priority="22" operator="greaterThan">
      <formula>0</formula>
    </cfRule>
  </conditionalFormatting>
  <conditionalFormatting sqref="O8">
    <cfRule type="cellIs" dxfId="49" priority="19" operator="lessThan">
      <formula>0</formula>
    </cfRule>
    <cfRule type="cellIs" dxfId="48" priority="20" operator="greaterThan">
      <formula>0</formula>
    </cfRule>
  </conditionalFormatting>
  <conditionalFormatting sqref="O8 Q8">
    <cfRule type="cellIs" dxfId="47" priority="17" operator="lessThan">
      <formula>0</formula>
    </cfRule>
    <cfRule type="cellIs" dxfId="46" priority="18" operator="greaterThan">
      <formula>0</formula>
    </cfRule>
  </conditionalFormatting>
  <conditionalFormatting sqref="O9">
    <cfRule type="cellIs" dxfId="45" priority="15" operator="lessThan">
      <formula>0</formula>
    </cfRule>
    <cfRule type="cellIs" dxfId="44" priority="16" operator="greaterThan">
      <formula>0</formula>
    </cfRule>
  </conditionalFormatting>
  <conditionalFormatting sqref="O9 Q9">
    <cfRule type="cellIs" dxfId="43" priority="13" operator="lessThan">
      <formula>0</formula>
    </cfRule>
    <cfRule type="cellIs" dxfId="42" priority="14" operator="greaterThan">
      <formula>0</formula>
    </cfRule>
  </conditionalFormatting>
  <conditionalFormatting sqref="O10">
    <cfRule type="cellIs" dxfId="41" priority="11" operator="lessThan">
      <formula>0</formula>
    </cfRule>
    <cfRule type="cellIs" dxfId="40" priority="12" operator="greaterThan">
      <formula>0</formula>
    </cfRule>
  </conditionalFormatting>
  <conditionalFormatting sqref="O10 Q10">
    <cfRule type="cellIs" dxfId="39" priority="9" operator="lessThan">
      <formula>0</formula>
    </cfRule>
    <cfRule type="cellIs" dxfId="38" priority="10" operator="greaterThan">
      <formula>0</formula>
    </cfRule>
  </conditionalFormatting>
  <conditionalFormatting sqref="O11">
    <cfRule type="cellIs" dxfId="37" priority="7" operator="lessThan">
      <formula>0</formula>
    </cfRule>
    <cfRule type="cellIs" dxfId="36" priority="8" operator="greaterThan">
      <formula>0</formula>
    </cfRule>
  </conditionalFormatting>
  <conditionalFormatting sqref="O11 Q11">
    <cfRule type="cellIs" dxfId="35" priority="5" operator="lessThan">
      <formula>0</formula>
    </cfRule>
    <cfRule type="cellIs" dxfId="34" priority="6" operator="greaterThan">
      <formula>0</formula>
    </cfRule>
  </conditionalFormatting>
  <conditionalFormatting sqref="O12">
    <cfRule type="cellIs" dxfId="33" priority="3" operator="lessThan">
      <formula>0</formula>
    </cfRule>
    <cfRule type="cellIs" dxfId="32" priority="4" operator="greaterThan">
      <formula>0</formula>
    </cfRule>
  </conditionalFormatting>
  <conditionalFormatting sqref="O12 Q12">
    <cfRule type="cellIs" dxfId="31" priority="1" operator="lessThan">
      <formula>0</formula>
    </cfRule>
    <cfRule type="cellIs" dxfId="30" priority="2" operator="greaterThan">
      <formula>0</formula>
    </cfRule>
  </conditionalFormatting>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92D050"/>
    <pageSetUpPr fitToPage="1"/>
  </sheetPr>
  <dimension ref="A1:Z38"/>
  <sheetViews>
    <sheetView workbookViewId="0">
      <selection activeCell="Z11" sqref="Z11:Z17"/>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6" s="4" customFormat="1" x14ac:dyDescent="0.25">
      <c r="A1" s="4" t="s">
        <v>760</v>
      </c>
      <c r="B1" s="4" t="s">
        <v>757</v>
      </c>
      <c r="C1" s="4" t="s">
        <v>758</v>
      </c>
      <c r="D1" s="4" t="s">
        <v>736</v>
      </c>
      <c r="E1" s="4" t="s">
        <v>759</v>
      </c>
      <c r="G1" s="4" t="s">
        <v>739</v>
      </c>
      <c r="H1" s="4" t="s">
        <v>757</v>
      </c>
      <c r="I1" s="4" t="s">
        <v>758</v>
      </c>
      <c r="J1" s="4" t="s">
        <v>736</v>
      </c>
      <c r="K1" s="4" t="s">
        <v>759</v>
      </c>
      <c r="M1" s="4" t="s">
        <v>488</v>
      </c>
      <c r="N1" s="4" t="s">
        <v>757</v>
      </c>
      <c r="O1" s="4" t="s">
        <v>758</v>
      </c>
      <c r="P1" s="4" t="s">
        <v>736</v>
      </c>
      <c r="Q1" s="4" t="s">
        <v>759</v>
      </c>
      <c r="S1" s="4" t="s">
        <v>63</v>
      </c>
      <c r="T1" s="4" t="s">
        <v>757</v>
      </c>
      <c r="U1" s="4" t="s">
        <v>758</v>
      </c>
      <c r="V1" s="4" t="s">
        <v>736</v>
      </c>
      <c r="W1" s="4" t="s">
        <v>759</v>
      </c>
    </row>
    <row r="2" spans="1:26" x14ac:dyDescent="0.25">
      <c r="A2" t="s">
        <v>740</v>
      </c>
      <c r="B2">
        <v>2</v>
      </c>
      <c r="C2">
        <v>3</v>
      </c>
      <c r="D2">
        <v>1.5</v>
      </c>
      <c r="E2">
        <f>D2</f>
        <v>1.5</v>
      </c>
      <c r="G2" t="s">
        <v>740</v>
      </c>
      <c r="H2">
        <v>2</v>
      </c>
      <c r="I2">
        <v>3</v>
      </c>
      <c r="J2">
        <v>3</v>
      </c>
      <c r="K2">
        <f>J2</f>
        <v>3</v>
      </c>
      <c r="M2" t="s">
        <v>740</v>
      </c>
      <c r="N2">
        <v>2</v>
      </c>
      <c r="O2">
        <v>3</v>
      </c>
      <c r="P2">
        <v>3</v>
      </c>
      <c r="Q2">
        <f>P2</f>
        <v>3</v>
      </c>
      <c r="S2" t="s">
        <v>740</v>
      </c>
      <c r="T2">
        <v>2</v>
      </c>
      <c r="U2">
        <v>3</v>
      </c>
      <c r="V2">
        <v>1.5</v>
      </c>
      <c r="W2">
        <f>V2</f>
        <v>1.5</v>
      </c>
    </row>
    <row r="3" spans="1:26" x14ac:dyDescent="0.25">
      <c r="A3" t="s">
        <v>741</v>
      </c>
      <c r="B3">
        <v>3</v>
      </c>
      <c r="C3">
        <v>4</v>
      </c>
      <c r="D3">
        <v>2</v>
      </c>
      <c r="E3">
        <f>E2+D3</f>
        <v>3.5</v>
      </c>
      <c r="G3" t="s">
        <v>741</v>
      </c>
      <c r="H3">
        <v>3</v>
      </c>
      <c r="I3">
        <v>4</v>
      </c>
      <c r="J3">
        <v>3</v>
      </c>
      <c r="K3">
        <f>K2+J3</f>
        <v>6</v>
      </c>
      <c r="M3" t="s">
        <v>741</v>
      </c>
      <c r="N3">
        <v>3</v>
      </c>
      <c r="O3">
        <v>4</v>
      </c>
      <c r="P3">
        <v>3</v>
      </c>
      <c r="Q3">
        <f>Q2+P3</f>
        <v>6</v>
      </c>
      <c r="S3" t="s">
        <v>741</v>
      </c>
      <c r="T3">
        <v>3</v>
      </c>
      <c r="U3">
        <v>4</v>
      </c>
      <c r="V3">
        <v>2</v>
      </c>
      <c r="W3">
        <f>W2+V3</f>
        <v>3.5</v>
      </c>
    </row>
    <row r="4" spans="1:26" x14ac:dyDescent="0.25">
      <c r="A4" t="s">
        <v>742</v>
      </c>
      <c r="B4">
        <v>4</v>
      </c>
      <c r="C4">
        <v>5</v>
      </c>
      <c r="D4">
        <v>2</v>
      </c>
      <c r="E4">
        <f t="shared" ref="E4:E17" si="0">E3+D4</f>
        <v>5.5</v>
      </c>
      <c r="G4" t="s">
        <v>742</v>
      </c>
      <c r="H4">
        <v>4</v>
      </c>
      <c r="I4">
        <v>5</v>
      </c>
      <c r="J4">
        <v>4</v>
      </c>
      <c r="K4">
        <f t="shared" ref="K4:K17" si="1">K3+J4</f>
        <v>10</v>
      </c>
      <c r="M4" t="s">
        <v>742</v>
      </c>
      <c r="N4">
        <v>4</v>
      </c>
      <c r="O4">
        <v>5</v>
      </c>
      <c r="P4">
        <v>3</v>
      </c>
      <c r="Q4">
        <f t="shared" ref="Q4:Q17" si="2">Q3+P4</f>
        <v>9</v>
      </c>
      <c r="S4" t="s">
        <v>742</v>
      </c>
      <c r="T4">
        <v>4</v>
      </c>
      <c r="U4">
        <v>5</v>
      </c>
      <c r="V4">
        <v>2</v>
      </c>
      <c r="W4">
        <f t="shared" ref="W4:W17" si="3">W3+V4</f>
        <v>5.5</v>
      </c>
    </row>
    <row r="5" spans="1:26" x14ac:dyDescent="0.25">
      <c r="A5" t="s">
        <v>743</v>
      </c>
      <c r="B5">
        <v>5</v>
      </c>
      <c r="C5">
        <v>6</v>
      </c>
      <c r="D5">
        <v>2</v>
      </c>
      <c r="E5">
        <f t="shared" si="0"/>
        <v>7.5</v>
      </c>
      <c r="G5" t="s">
        <v>743</v>
      </c>
      <c r="H5">
        <v>5</v>
      </c>
      <c r="I5">
        <v>6</v>
      </c>
      <c r="J5">
        <v>4</v>
      </c>
      <c r="K5">
        <f t="shared" si="1"/>
        <v>14</v>
      </c>
      <c r="M5" t="s">
        <v>743</v>
      </c>
      <c r="N5">
        <v>5</v>
      </c>
      <c r="O5">
        <v>6</v>
      </c>
      <c r="P5">
        <v>3</v>
      </c>
      <c r="Q5">
        <f t="shared" si="2"/>
        <v>12</v>
      </c>
      <c r="S5" t="s">
        <v>743</v>
      </c>
      <c r="T5">
        <v>5</v>
      </c>
      <c r="U5">
        <v>6</v>
      </c>
      <c r="V5">
        <v>3</v>
      </c>
      <c r="W5">
        <f t="shared" si="3"/>
        <v>8.5</v>
      </c>
    </row>
    <row r="6" spans="1:26" x14ac:dyDescent="0.25">
      <c r="A6" t="s">
        <v>744</v>
      </c>
      <c r="B6">
        <v>6</v>
      </c>
      <c r="C6">
        <v>7</v>
      </c>
      <c r="D6">
        <v>3</v>
      </c>
      <c r="E6">
        <f t="shared" si="0"/>
        <v>10.5</v>
      </c>
      <c r="G6" t="s">
        <v>744</v>
      </c>
      <c r="H6">
        <v>6</v>
      </c>
      <c r="I6">
        <v>7</v>
      </c>
      <c r="J6">
        <v>4</v>
      </c>
      <c r="K6">
        <f t="shared" si="1"/>
        <v>18</v>
      </c>
      <c r="M6" t="s">
        <v>744</v>
      </c>
      <c r="N6">
        <v>6</v>
      </c>
      <c r="O6">
        <v>7</v>
      </c>
      <c r="P6">
        <v>4</v>
      </c>
      <c r="Q6">
        <f t="shared" si="2"/>
        <v>16</v>
      </c>
      <c r="S6" t="s">
        <v>744</v>
      </c>
      <c r="T6">
        <v>6</v>
      </c>
      <c r="U6">
        <v>7</v>
      </c>
      <c r="V6">
        <v>2</v>
      </c>
      <c r="W6">
        <f t="shared" si="3"/>
        <v>10.5</v>
      </c>
    </row>
    <row r="7" spans="1:26" x14ac:dyDescent="0.25">
      <c r="A7" t="s">
        <v>745</v>
      </c>
      <c r="B7">
        <v>7</v>
      </c>
      <c r="C7">
        <v>8</v>
      </c>
      <c r="D7">
        <v>3</v>
      </c>
      <c r="E7">
        <f t="shared" si="0"/>
        <v>13.5</v>
      </c>
      <c r="G7" t="s">
        <v>745</v>
      </c>
      <c r="H7">
        <v>7</v>
      </c>
      <c r="I7">
        <v>8</v>
      </c>
      <c r="J7">
        <v>6</v>
      </c>
      <c r="K7">
        <f t="shared" si="1"/>
        <v>24</v>
      </c>
      <c r="M7" t="s">
        <v>745</v>
      </c>
      <c r="N7">
        <v>7</v>
      </c>
      <c r="O7">
        <v>8</v>
      </c>
      <c r="P7">
        <v>5</v>
      </c>
      <c r="Q7">
        <f t="shared" si="2"/>
        <v>21</v>
      </c>
      <c r="S7" t="s">
        <v>745</v>
      </c>
      <c r="T7">
        <v>7</v>
      </c>
      <c r="U7">
        <v>8</v>
      </c>
      <c r="V7">
        <v>4</v>
      </c>
      <c r="W7">
        <f t="shared" si="3"/>
        <v>14.5</v>
      </c>
    </row>
    <row r="8" spans="1:26" x14ac:dyDescent="0.25">
      <c r="A8" t="s">
        <v>746</v>
      </c>
      <c r="B8">
        <v>8</v>
      </c>
      <c r="C8">
        <v>9</v>
      </c>
      <c r="D8">
        <v>3</v>
      </c>
      <c r="E8">
        <f t="shared" si="0"/>
        <v>16.5</v>
      </c>
      <c r="G8" t="s">
        <v>746</v>
      </c>
      <c r="H8">
        <v>8</v>
      </c>
      <c r="I8">
        <v>9</v>
      </c>
      <c r="J8">
        <v>6</v>
      </c>
      <c r="K8">
        <f t="shared" si="1"/>
        <v>30</v>
      </c>
      <c r="M8" t="s">
        <v>746</v>
      </c>
      <c r="N8">
        <v>8</v>
      </c>
      <c r="O8">
        <v>9</v>
      </c>
      <c r="P8">
        <v>5</v>
      </c>
      <c r="Q8">
        <f t="shared" si="2"/>
        <v>26</v>
      </c>
      <c r="S8" t="s">
        <v>746</v>
      </c>
      <c r="T8">
        <v>8</v>
      </c>
      <c r="U8">
        <v>9</v>
      </c>
      <c r="V8">
        <v>3</v>
      </c>
      <c r="W8">
        <f t="shared" si="3"/>
        <v>17.5</v>
      </c>
    </row>
    <row r="9" spans="1:26" x14ac:dyDescent="0.25">
      <c r="A9" t="s">
        <v>747</v>
      </c>
      <c r="B9">
        <v>9</v>
      </c>
      <c r="C9">
        <v>10</v>
      </c>
      <c r="D9">
        <v>4</v>
      </c>
      <c r="E9">
        <f t="shared" si="0"/>
        <v>20.5</v>
      </c>
      <c r="G9" t="s">
        <v>747</v>
      </c>
      <c r="H9">
        <v>9</v>
      </c>
      <c r="I9">
        <v>10</v>
      </c>
      <c r="J9">
        <v>7</v>
      </c>
      <c r="K9">
        <f t="shared" si="1"/>
        <v>37</v>
      </c>
      <c r="M9" t="s">
        <v>747</v>
      </c>
      <c r="N9">
        <v>9</v>
      </c>
      <c r="O9">
        <v>10</v>
      </c>
      <c r="P9">
        <v>7</v>
      </c>
      <c r="Q9">
        <f t="shared" si="2"/>
        <v>33</v>
      </c>
      <c r="S9" t="s">
        <v>747</v>
      </c>
      <c r="T9">
        <v>9</v>
      </c>
      <c r="U9">
        <v>10</v>
      </c>
      <c r="V9">
        <v>5</v>
      </c>
      <c r="W9">
        <f t="shared" si="3"/>
        <v>22.5</v>
      </c>
    </row>
    <row r="10" spans="1:26" x14ac:dyDescent="0.25">
      <c r="A10" t="s">
        <v>748</v>
      </c>
      <c r="B10">
        <v>10</v>
      </c>
      <c r="C10">
        <v>11</v>
      </c>
      <c r="D10">
        <v>5</v>
      </c>
      <c r="E10">
        <f t="shared" si="0"/>
        <v>25.5</v>
      </c>
      <c r="G10" t="s">
        <v>748</v>
      </c>
      <c r="H10">
        <v>10</v>
      </c>
      <c r="I10">
        <v>11</v>
      </c>
      <c r="J10">
        <v>9</v>
      </c>
      <c r="K10">
        <f t="shared" si="1"/>
        <v>46</v>
      </c>
      <c r="M10" t="s">
        <v>748</v>
      </c>
      <c r="N10">
        <v>10</v>
      </c>
      <c r="O10">
        <v>11</v>
      </c>
      <c r="P10">
        <v>7</v>
      </c>
      <c r="Q10">
        <f t="shared" si="2"/>
        <v>40</v>
      </c>
      <c r="S10" t="s">
        <v>748</v>
      </c>
      <c r="T10">
        <v>10</v>
      </c>
      <c r="U10">
        <v>11</v>
      </c>
      <c r="V10">
        <v>5</v>
      </c>
      <c r="W10">
        <f t="shared" si="3"/>
        <v>27.5</v>
      </c>
    </row>
    <row r="11" spans="1:26" x14ac:dyDescent="0.25">
      <c r="A11" t="s">
        <v>749</v>
      </c>
      <c r="B11">
        <v>11</v>
      </c>
      <c r="C11">
        <v>12</v>
      </c>
      <c r="D11">
        <v>5</v>
      </c>
      <c r="E11">
        <f t="shared" si="0"/>
        <v>30.5</v>
      </c>
      <c r="G11" t="s">
        <v>749</v>
      </c>
      <c r="H11">
        <v>11</v>
      </c>
      <c r="I11">
        <v>12</v>
      </c>
      <c r="J11">
        <v>10</v>
      </c>
      <c r="K11">
        <f t="shared" si="1"/>
        <v>56</v>
      </c>
      <c r="M11" t="s">
        <v>749</v>
      </c>
      <c r="N11">
        <v>11</v>
      </c>
      <c r="O11">
        <v>12</v>
      </c>
      <c r="P11">
        <v>8</v>
      </c>
      <c r="Q11">
        <f t="shared" si="2"/>
        <v>48</v>
      </c>
      <c r="S11" t="s">
        <v>749</v>
      </c>
      <c r="T11">
        <v>11</v>
      </c>
      <c r="U11">
        <v>12</v>
      </c>
      <c r="V11">
        <v>5</v>
      </c>
      <c r="W11">
        <f t="shared" si="3"/>
        <v>32.5</v>
      </c>
    </row>
    <row r="12" spans="1:26" x14ac:dyDescent="0.25">
      <c r="A12" t="s">
        <v>750</v>
      </c>
      <c r="B12">
        <v>12</v>
      </c>
      <c r="C12">
        <v>13</v>
      </c>
      <c r="D12">
        <v>6</v>
      </c>
      <c r="E12">
        <f t="shared" si="0"/>
        <v>36.5</v>
      </c>
      <c r="G12" t="s">
        <v>750</v>
      </c>
      <c r="H12">
        <v>12</v>
      </c>
      <c r="I12">
        <v>13</v>
      </c>
      <c r="J12">
        <v>11</v>
      </c>
      <c r="K12">
        <f t="shared" si="1"/>
        <v>67</v>
      </c>
      <c r="M12" t="s">
        <v>750</v>
      </c>
      <c r="N12">
        <v>12</v>
      </c>
      <c r="O12">
        <v>13</v>
      </c>
      <c r="P12">
        <v>10</v>
      </c>
      <c r="Q12">
        <f t="shared" si="2"/>
        <v>58</v>
      </c>
      <c r="S12" t="s">
        <v>750</v>
      </c>
      <c r="T12">
        <v>12</v>
      </c>
      <c r="U12">
        <v>13</v>
      </c>
      <c r="V12">
        <v>7</v>
      </c>
      <c r="W12">
        <f t="shared" si="3"/>
        <v>39.5</v>
      </c>
    </row>
    <row r="13" spans="1:26" x14ac:dyDescent="0.25">
      <c r="A13" t="s">
        <v>751</v>
      </c>
      <c r="B13">
        <v>13</v>
      </c>
      <c r="C13">
        <v>14</v>
      </c>
      <c r="D13">
        <v>7</v>
      </c>
      <c r="E13">
        <f t="shared" si="0"/>
        <v>43.5</v>
      </c>
      <c r="G13" t="s">
        <v>751</v>
      </c>
      <c r="H13">
        <v>13</v>
      </c>
      <c r="I13">
        <v>14</v>
      </c>
      <c r="J13">
        <v>12</v>
      </c>
      <c r="K13">
        <f t="shared" si="1"/>
        <v>79</v>
      </c>
      <c r="M13" t="s">
        <v>751</v>
      </c>
      <c r="N13">
        <v>13</v>
      </c>
      <c r="O13">
        <v>14</v>
      </c>
      <c r="P13">
        <v>10</v>
      </c>
      <c r="Q13">
        <f t="shared" si="2"/>
        <v>68</v>
      </c>
      <c r="S13" t="s">
        <v>751</v>
      </c>
      <c r="T13">
        <v>13</v>
      </c>
      <c r="U13">
        <v>14</v>
      </c>
      <c r="V13">
        <v>7</v>
      </c>
      <c r="W13">
        <f t="shared" si="3"/>
        <v>46.5</v>
      </c>
    </row>
    <row r="14" spans="1:26" x14ac:dyDescent="0.25">
      <c r="A14" t="s">
        <v>752</v>
      </c>
      <c r="B14">
        <v>14</v>
      </c>
      <c r="C14">
        <v>15</v>
      </c>
      <c r="D14">
        <v>8</v>
      </c>
      <c r="E14">
        <f t="shared" si="0"/>
        <v>51.5</v>
      </c>
      <c r="G14" t="s">
        <v>752</v>
      </c>
      <c r="H14">
        <v>14</v>
      </c>
      <c r="I14">
        <v>15</v>
      </c>
      <c r="J14">
        <v>16</v>
      </c>
      <c r="K14">
        <f t="shared" si="1"/>
        <v>95</v>
      </c>
      <c r="M14" t="s">
        <v>752</v>
      </c>
      <c r="N14">
        <v>14</v>
      </c>
      <c r="O14">
        <v>15</v>
      </c>
      <c r="P14">
        <v>13</v>
      </c>
      <c r="Q14">
        <f t="shared" si="2"/>
        <v>81</v>
      </c>
      <c r="S14" t="s">
        <v>752</v>
      </c>
      <c r="T14">
        <v>14</v>
      </c>
      <c r="U14">
        <v>15</v>
      </c>
      <c r="V14">
        <v>9</v>
      </c>
      <c r="W14">
        <f t="shared" si="3"/>
        <v>55.5</v>
      </c>
    </row>
    <row r="15" spans="1:26" x14ac:dyDescent="0.25">
      <c r="A15" t="s">
        <v>753</v>
      </c>
      <c r="B15">
        <v>15</v>
      </c>
      <c r="C15">
        <v>16</v>
      </c>
      <c r="D15">
        <v>10</v>
      </c>
      <c r="E15">
        <f t="shared" si="0"/>
        <v>61.5</v>
      </c>
      <c r="G15" t="s">
        <v>753</v>
      </c>
      <c r="H15">
        <v>15</v>
      </c>
      <c r="I15">
        <v>16</v>
      </c>
      <c r="J15">
        <v>18</v>
      </c>
      <c r="K15">
        <f t="shared" si="1"/>
        <v>113</v>
      </c>
      <c r="M15" t="s">
        <v>753</v>
      </c>
      <c r="N15">
        <v>15</v>
      </c>
      <c r="O15">
        <v>16</v>
      </c>
      <c r="P15">
        <v>15</v>
      </c>
      <c r="Q15">
        <f t="shared" si="2"/>
        <v>96</v>
      </c>
      <c r="S15" t="s">
        <v>753</v>
      </c>
      <c r="T15">
        <v>15</v>
      </c>
      <c r="U15">
        <v>16</v>
      </c>
      <c r="V15">
        <v>10</v>
      </c>
      <c r="W15">
        <f t="shared" si="3"/>
        <v>65.5</v>
      </c>
      <c r="Z15" s="159"/>
    </row>
    <row r="16" spans="1:26" x14ac:dyDescent="0.25">
      <c r="A16" t="s">
        <v>754</v>
      </c>
      <c r="B16">
        <v>16</v>
      </c>
      <c r="C16">
        <v>17</v>
      </c>
      <c r="D16">
        <v>11</v>
      </c>
      <c r="E16">
        <f t="shared" si="0"/>
        <v>72.5</v>
      </c>
      <c r="G16" t="s">
        <v>754</v>
      </c>
      <c r="H16">
        <v>16</v>
      </c>
      <c r="I16">
        <v>17</v>
      </c>
      <c r="J16">
        <v>23</v>
      </c>
      <c r="K16">
        <f t="shared" si="1"/>
        <v>136</v>
      </c>
      <c r="M16" t="s">
        <v>754</v>
      </c>
      <c r="N16">
        <v>16</v>
      </c>
      <c r="O16">
        <v>17</v>
      </c>
      <c r="P16">
        <v>19</v>
      </c>
      <c r="Q16">
        <f t="shared" si="2"/>
        <v>115</v>
      </c>
      <c r="S16" t="s">
        <v>754</v>
      </c>
      <c r="T16">
        <v>16</v>
      </c>
      <c r="U16">
        <v>17</v>
      </c>
      <c r="V16">
        <v>12</v>
      </c>
      <c r="W16">
        <f t="shared" si="3"/>
        <v>77.5</v>
      </c>
    </row>
    <row r="17" spans="1:23" x14ac:dyDescent="0.25">
      <c r="A17" t="s">
        <v>755</v>
      </c>
      <c r="B17">
        <v>17</v>
      </c>
      <c r="C17">
        <v>18</v>
      </c>
      <c r="D17">
        <v>14</v>
      </c>
      <c r="E17">
        <f t="shared" si="0"/>
        <v>86.5</v>
      </c>
      <c r="G17" t="s">
        <v>755</v>
      </c>
      <c r="H17">
        <v>17</v>
      </c>
      <c r="I17">
        <v>18</v>
      </c>
      <c r="J17">
        <v>36</v>
      </c>
      <c r="K17">
        <f t="shared" si="1"/>
        <v>172</v>
      </c>
      <c r="M17" t="s">
        <v>755</v>
      </c>
      <c r="N17">
        <v>17</v>
      </c>
      <c r="O17">
        <v>18</v>
      </c>
      <c r="P17">
        <v>26</v>
      </c>
      <c r="Q17">
        <f t="shared" si="2"/>
        <v>141</v>
      </c>
      <c r="S17" t="s">
        <v>755</v>
      </c>
      <c r="T17">
        <v>17</v>
      </c>
      <c r="U17">
        <v>18</v>
      </c>
      <c r="V17">
        <v>15</v>
      </c>
      <c r="W17">
        <f t="shared" si="3"/>
        <v>92.5</v>
      </c>
    </row>
    <row r="18" spans="1:23" x14ac:dyDescent="0.25">
      <c r="A18" t="s">
        <v>756</v>
      </c>
      <c r="B18">
        <v>18</v>
      </c>
      <c r="C18">
        <v>19</v>
      </c>
      <c r="D18">
        <v>19</v>
      </c>
      <c r="G18" t="s">
        <v>756</v>
      </c>
      <c r="H18">
        <v>18</v>
      </c>
      <c r="I18">
        <v>19</v>
      </c>
      <c r="M18" t="s">
        <v>756</v>
      </c>
      <c r="N18">
        <v>18</v>
      </c>
      <c r="O18">
        <v>19</v>
      </c>
      <c r="P18">
        <v>58</v>
      </c>
      <c r="S18" t="s">
        <v>756</v>
      </c>
      <c r="T18">
        <v>18</v>
      </c>
      <c r="U18">
        <v>19</v>
      </c>
      <c r="V18">
        <v>21</v>
      </c>
    </row>
    <row r="21" spans="1:23" x14ac:dyDescent="0.25">
      <c r="A21" s="4" t="s">
        <v>761</v>
      </c>
      <c r="B21" s="4" t="s">
        <v>757</v>
      </c>
      <c r="C21" s="4" t="s">
        <v>758</v>
      </c>
      <c r="D21" s="4" t="s">
        <v>736</v>
      </c>
      <c r="E21" s="4" t="s">
        <v>759</v>
      </c>
      <c r="G21" s="4" t="s">
        <v>762</v>
      </c>
      <c r="H21" s="4" t="s">
        <v>757</v>
      </c>
      <c r="I21" s="4" t="s">
        <v>758</v>
      </c>
      <c r="J21" s="4" t="s">
        <v>736</v>
      </c>
      <c r="K21" s="4" t="s">
        <v>759</v>
      </c>
      <c r="M21" s="4" t="s">
        <v>0</v>
      </c>
      <c r="N21" s="4" t="s">
        <v>757</v>
      </c>
      <c r="O21" s="4" t="s">
        <v>758</v>
      </c>
      <c r="P21" s="4" t="s">
        <v>736</v>
      </c>
      <c r="Q21" s="4" t="s">
        <v>759</v>
      </c>
      <c r="S21" s="4" t="s">
        <v>61</v>
      </c>
      <c r="T21">
        <v>19</v>
      </c>
    </row>
    <row r="22" spans="1:23" x14ac:dyDescent="0.25">
      <c r="A22" t="s">
        <v>740</v>
      </c>
      <c r="B22">
        <v>2</v>
      </c>
      <c r="C22">
        <v>3</v>
      </c>
      <c r="D22">
        <v>2</v>
      </c>
      <c r="E22">
        <f>D22</f>
        <v>2</v>
      </c>
      <c r="G22" t="s">
        <v>740</v>
      </c>
      <c r="H22">
        <v>2</v>
      </c>
      <c r="I22">
        <v>3</v>
      </c>
      <c r="J22">
        <v>2</v>
      </c>
      <c r="K22">
        <f>J22</f>
        <v>2</v>
      </c>
      <c r="M22" t="s">
        <v>740</v>
      </c>
      <c r="N22">
        <v>2</v>
      </c>
      <c r="O22">
        <v>3</v>
      </c>
      <c r="P22">
        <v>1</v>
      </c>
      <c r="Q22">
        <f>P22</f>
        <v>1</v>
      </c>
      <c r="S22" t="s">
        <v>763</v>
      </c>
      <c r="T22" s="557">
        <v>0.15</v>
      </c>
    </row>
    <row r="23" spans="1:23" x14ac:dyDescent="0.25">
      <c r="A23" t="s">
        <v>741</v>
      </c>
      <c r="B23">
        <v>3</v>
      </c>
      <c r="C23">
        <v>4</v>
      </c>
      <c r="D23">
        <v>2</v>
      </c>
      <c r="E23">
        <f>E22+D23</f>
        <v>4</v>
      </c>
      <c r="G23" t="s">
        <v>741</v>
      </c>
      <c r="H23">
        <v>3</v>
      </c>
      <c r="I23">
        <v>4</v>
      </c>
      <c r="J23">
        <v>3</v>
      </c>
      <c r="K23">
        <f>K22+J23</f>
        <v>5</v>
      </c>
      <c r="M23" t="s">
        <v>741</v>
      </c>
      <c r="N23">
        <v>3</v>
      </c>
      <c r="O23">
        <v>4</v>
      </c>
      <c r="P23">
        <v>1</v>
      </c>
      <c r="Q23">
        <f>Q22+P23</f>
        <v>2</v>
      </c>
      <c r="S23" t="s">
        <v>764</v>
      </c>
      <c r="T23" t="s">
        <v>766</v>
      </c>
    </row>
    <row r="24" spans="1:23" x14ac:dyDescent="0.25">
      <c r="A24" t="s">
        <v>742</v>
      </c>
      <c r="B24">
        <v>4</v>
      </c>
      <c r="C24">
        <v>5</v>
      </c>
      <c r="D24">
        <v>3</v>
      </c>
      <c r="E24">
        <f t="shared" ref="E24:E37" si="4">E23+D24</f>
        <v>7</v>
      </c>
      <c r="G24" t="s">
        <v>742</v>
      </c>
      <c r="H24">
        <v>4</v>
      </c>
      <c r="I24">
        <v>5</v>
      </c>
      <c r="J24">
        <v>3</v>
      </c>
      <c r="K24">
        <f t="shared" ref="K24:K37" si="5">K23+J24</f>
        <v>8</v>
      </c>
      <c r="M24" t="s">
        <v>742</v>
      </c>
      <c r="N24">
        <v>4</v>
      </c>
      <c r="O24">
        <v>5</v>
      </c>
      <c r="P24">
        <v>1</v>
      </c>
      <c r="Q24">
        <f t="shared" ref="Q24:Q37" si="6">Q23+P24</f>
        <v>3</v>
      </c>
      <c r="S24" t="s">
        <v>765</v>
      </c>
      <c r="T24" s="557">
        <v>1</v>
      </c>
    </row>
    <row r="25" spans="1:23" x14ac:dyDescent="0.25">
      <c r="A25" t="s">
        <v>743</v>
      </c>
      <c r="B25">
        <v>5</v>
      </c>
      <c r="C25">
        <v>6</v>
      </c>
      <c r="D25">
        <v>3</v>
      </c>
      <c r="E25">
        <f t="shared" si="4"/>
        <v>10</v>
      </c>
      <c r="G25" t="s">
        <v>743</v>
      </c>
      <c r="H25">
        <v>5</v>
      </c>
      <c r="I25">
        <v>6</v>
      </c>
      <c r="J25">
        <v>4</v>
      </c>
      <c r="K25">
        <f t="shared" si="5"/>
        <v>12</v>
      </c>
      <c r="M25" t="s">
        <v>743</v>
      </c>
      <c r="N25">
        <v>5</v>
      </c>
      <c r="O25">
        <v>6</v>
      </c>
      <c r="P25">
        <v>1</v>
      </c>
      <c r="Q25">
        <f t="shared" si="6"/>
        <v>4</v>
      </c>
    </row>
    <row r="26" spans="1:23" x14ac:dyDescent="0.25">
      <c r="A26" t="s">
        <v>744</v>
      </c>
      <c r="B26">
        <v>6</v>
      </c>
      <c r="C26">
        <v>7</v>
      </c>
      <c r="D26">
        <v>4</v>
      </c>
      <c r="E26">
        <f t="shared" si="4"/>
        <v>14</v>
      </c>
      <c r="G26" t="s">
        <v>744</v>
      </c>
      <c r="H26">
        <v>6</v>
      </c>
      <c r="I26">
        <v>7</v>
      </c>
      <c r="J26">
        <v>4</v>
      </c>
      <c r="K26">
        <f t="shared" si="5"/>
        <v>16</v>
      </c>
      <c r="M26" t="s">
        <v>744</v>
      </c>
      <c r="N26">
        <v>6</v>
      </c>
      <c r="O26">
        <v>7</v>
      </c>
      <c r="P26">
        <v>1</v>
      </c>
      <c r="Q26">
        <f t="shared" si="6"/>
        <v>5</v>
      </c>
    </row>
    <row r="27" spans="1:23" x14ac:dyDescent="0.25">
      <c r="A27" t="s">
        <v>745</v>
      </c>
      <c r="B27">
        <v>7</v>
      </c>
      <c r="C27">
        <v>8</v>
      </c>
      <c r="D27">
        <v>4</v>
      </c>
      <c r="E27">
        <f t="shared" si="4"/>
        <v>18</v>
      </c>
      <c r="G27" t="s">
        <v>745</v>
      </c>
      <c r="H27">
        <v>7</v>
      </c>
      <c r="I27">
        <v>8</v>
      </c>
      <c r="J27">
        <v>5</v>
      </c>
      <c r="K27">
        <f t="shared" si="5"/>
        <v>21</v>
      </c>
      <c r="M27" t="s">
        <v>745</v>
      </c>
      <c r="N27">
        <v>7</v>
      </c>
      <c r="O27">
        <v>8</v>
      </c>
      <c r="P27">
        <v>1</v>
      </c>
      <c r="Q27">
        <f t="shared" si="6"/>
        <v>6</v>
      </c>
    </row>
    <row r="28" spans="1:23" x14ac:dyDescent="0.25">
      <c r="A28" t="s">
        <v>746</v>
      </c>
      <c r="B28">
        <v>8</v>
      </c>
      <c r="C28">
        <v>9</v>
      </c>
      <c r="D28">
        <v>5</v>
      </c>
      <c r="E28">
        <f t="shared" si="4"/>
        <v>23</v>
      </c>
      <c r="G28" t="s">
        <v>746</v>
      </c>
      <c r="H28">
        <v>8</v>
      </c>
      <c r="I28">
        <v>9</v>
      </c>
      <c r="J28">
        <v>6</v>
      </c>
      <c r="K28">
        <f t="shared" si="5"/>
        <v>27</v>
      </c>
      <c r="M28" t="s">
        <v>746</v>
      </c>
      <c r="N28">
        <v>8</v>
      </c>
      <c r="O28">
        <v>9</v>
      </c>
      <c r="P28">
        <v>1</v>
      </c>
      <c r="Q28">
        <f t="shared" si="6"/>
        <v>7</v>
      </c>
    </row>
    <row r="29" spans="1:23" x14ac:dyDescent="0.25">
      <c r="A29" t="s">
        <v>747</v>
      </c>
      <c r="B29">
        <v>9</v>
      </c>
      <c r="C29">
        <v>10</v>
      </c>
      <c r="D29">
        <v>6</v>
      </c>
      <c r="E29">
        <f t="shared" si="4"/>
        <v>29</v>
      </c>
      <c r="G29" t="s">
        <v>747</v>
      </c>
      <c r="H29">
        <v>9</v>
      </c>
      <c r="I29">
        <v>10</v>
      </c>
      <c r="J29">
        <v>6</v>
      </c>
      <c r="K29">
        <f t="shared" si="5"/>
        <v>33</v>
      </c>
      <c r="M29" t="s">
        <v>747</v>
      </c>
      <c r="N29">
        <v>9</v>
      </c>
      <c r="O29">
        <v>10</v>
      </c>
      <c r="P29">
        <v>1</v>
      </c>
      <c r="Q29">
        <f t="shared" si="6"/>
        <v>8</v>
      </c>
    </row>
    <row r="30" spans="1:23" x14ac:dyDescent="0.25">
      <c r="A30" t="s">
        <v>748</v>
      </c>
      <c r="B30">
        <v>10</v>
      </c>
      <c r="C30">
        <v>11</v>
      </c>
      <c r="D30">
        <v>7</v>
      </c>
      <c r="E30">
        <f t="shared" si="4"/>
        <v>36</v>
      </c>
      <c r="G30" t="s">
        <v>748</v>
      </c>
      <c r="H30">
        <v>10</v>
      </c>
      <c r="I30">
        <v>11</v>
      </c>
      <c r="J30">
        <v>7</v>
      </c>
      <c r="K30">
        <f t="shared" si="5"/>
        <v>40</v>
      </c>
      <c r="M30" t="s">
        <v>748</v>
      </c>
      <c r="N30">
        <v>10</v>
      </c>
      <c r="O30">
        <v>11</v>
      </c>
      <c r="P30">
        <v>2</v>
      </c>
      <c r="Q30">
        <f t="shared" si="6"/>
        <v>10</v>
      </c>
    </row>
    <row r="31" spans="1:23" x14ac:dyDescent="0.25">
      <c r="A31" t="s">
        <v>749</v>
      </c>
      <c r="B31">
        <v>11</v>
      </c>
      <c r="C31">
        <v>12</v>
      </c>
      <c r="D31">
        <v>7</v>
      </c>
      <c r="E31">
        <f t="shared" si="4"/>
        <v>43</v>
      </c>
      <c r="G31" t="s">
        <v>749</v>
      </c>
      <c r="H31">
        <v>11</v>
      </c>
      <c r="I31">
        <v>12</v>
      </c>
      <c r="J31">
        <v>9</v>
      </c>
      <c r="K31">
        <f t="shared" si="5"/>
        <v>49</v>
      </c>
      <c r="M31" t="s">
        <v>749</v>
      </c>
      <c r="N31">
        <v>11</v>
      </c>
      <c r="O31">
        <v>12</v>
      </c>
      <c r="P31">
        <v>2</v>
      </c>
      <c r="Q31">
        <f t="shared" si="6"/>
        <v>12</v>
      </c>
    </row>
    <row r="32" spans="1:23" x14ac:dyDescent="0.25">
      <c r="A32" t="s">
        <v>750</v>
      </c>
      <c r="B32">
        <v>12</v>
      </c>
      <c r="C32">
        <v>13</v>
      </c>
      <c r="D32">
        <v>9</v>
      </c>
      <c r="E32">
        <f t="shared" si="4"/>
        <v>52</v>
      </c>
      <c r="G32" t="s">
        <v>750</v>
      </c>
      <c r="H32">
        <v>12</v>
      </c>
      <c r="I32">
        <v>13</v>
      </c>
      <c r="J32">
        <v>10</v>
      </c>
      <c r="K32">
        <f t="shared" si="5"/>
        <v>59</v>
      </c>
      <c r="M32" t="s">
        <v>750</v>
      </c>
      <c r="N32">
        <v>12</v>
      </c>
      <c r="O32">
        <v>13</v>
      </c>
      <c r="P32">
        <v>2</v>
      </c>
      <c r="Q32">
        <f t="shared" si="6"/>
        <v>14</v>
      </c>
    </row>
    <row r="33" spans="1:17" x14ac:dyDescent="0.25">
      <c r="A33" t="s">
        <v>751</v>
      </c>
      <c r="B33">
        <v>13</v>
      </c>
      <c r="C33">
        <v>14</v>
      </c>
      <c r="D33">
        <v>10</v>
      </c>
      <c r="E33">
        <f t="shared" si="4"/>
        <v>62</v>
      </c>
      <c r="G33" t="s">
        <v>751</v>
      </c>
      <c r="H33">
        <v>13</v>
      </c>
      <c r="I33">
        <v>14</v>
      </c>
      <c r="J33">
        <v>11</v>
      </c>
      <c r="K33">
        <f t="shared" si="5"/>
        <v>70</v>
      </c>
      <c r="M33" t="s">
        <v>751</v>
      </c>
      <c r="N33">
        <v>13</v>
      </c>
      <c r="O33">
        <v>14</v>
      </c>
      <c r="P33">
        <v>2</v>
      </c>
      <c r="Q33">
        <f t="shared" si="6"/>
        <v>16</v>
      </c>
    </row>
    <row r="34" spans="1:17" x14ac:dyDescent="0.25">
      <c r="A34" t="s">
        <v>752</v>
      </c>
      <c r="B34">
        <v>14</v>
      </c>
      <c r="C34">
        <v>15</v>
      </c>
      <c r="D34">
        <v>12</v>
      </c>
      <c r="E34">
        <f t="shared" si="4"/>
        <v>74</v>
      </c>
      <c r="G34" t="s">
        <v>752</v>
      </c>
      <c r="H34">
        <v>14</v>
      </c>
      <c r="I34">
        <v>15</v>
      </c>
      <c r="J34">
        <v>13</v>
      </c>
      <c r="K34">
        <f t="shared" si="5"/>
        <v>83</v>
      </c>
      <c r="M34" t="s">
        <v>752</v>
      </c>
      <c r="N34">
        <v>14</v>
      </c>
      <c r="O34">
        <v>15</v>
      </c>
      <c r="P34">
        <v>2</v>
      </c>
      <c r="Q34">
        <f t="shared" si="6"/>
        <v>18</v>
      </c>
    </row>
    <row r="35" spans="1:17" x14ac:dyDescent="0.25">
      <c r="A35" t="s">
        <v>753</v>
      </c>
      <c r="B35">
        <v>15</v>
      </c>
      <c r="C35">
        <v>16</v>
      </c>
      <c r="D35">
        <v>14</v>
      </c>
      <c r="E35">
        <f t="shared" si="4"/>
        <v>88</v>
      </c>
      <c r="G35" t="s">
        <v>753</v>
      </c>
      <c r="H35">
        <v>15</v>
      </c>
      <c r="I35">
        <v>16</v>
      </c>
      <c r="J35">
        <v>16</v>
      </c>
      <c r="K35">
        <f t="shared" si="5"/>
        <v>99</v>
      </c>
      <c r="M35" t="s">
        <v>753</v>
      </c>
      <c r="N35">
        <v>15</v>
      </c>
      <c r="O35">
        <v>16</v>
      </c>
      <c r="P35">
        <v>3</v>
      </c>
      <c r="Q35">
        <f t="shared" si="6"/>
        <v>21</v>
      </c>
    </row>
    <row r="36" spans="1:17" x14ac:dyDescent="0.25">
      <c r="A36" t="s">
        <v>754</v>
      </c>
      <c r="B36">
        <v>16</v>
      </c>
      <c r="C36">
        <v>17</v>
      </c>
      <c r="D36">
        <v>17</v>
      </c>
      <c r="E36">
        <f t="shared" si="4"/>
        <v>105</v>
      </c>
      <c r="G36" t="s">
        <v>754</v>
      </c>
      <c r="H36">
        <v>16</v>
      </c>
      <c r="I36">
        <v>17</v>
      </c>
      <c r="J36">
        <v>20</v>
      </c>
      <c r="K36">
        <f t="shared" si="5"/>
        <v>119</v>
      </c>
      <c r="M36" t="s">
        <v>754</v>
      </c>
      <c r="N36">
        <v>16</v>
      </c>
      <c r="O36">
        <v>17</v>
      </c>
      <c r="P36">
        <v>4</v>
      </c>
      <c r="Q36">
        <f t="shared" si="6"/>
        <v>25</v>
      </c>
    </row>
    <row r="37" spans="1:17" x14ac:dyDescent="0.25">
      <c r="A37" t="s">
        <v>755</v>
      </c>
      <c r="B37">
        <v>17</v>
      </c>
      <c r="C37">
        <v>18</v>
      </c>
      <c r="D37">
        <v>23</v>
      </c>
      <c r="E37">
        <f t="shared" si="4"/>
        <v>128</v>
      </c>
      <c r="G37" t="s">
        <v>755</v>
      </c>
      <c r="H37">
        <v>17</v>
      </c>
      <c r="I37">
        <v>18</v>
      </c>
      <c r="J37">
        <v>29</v>
      </c>
      <c r="K37">
        <f t="shared" si="5"/>
        <v>148</v>
      </c>
      <c r="M37" t="s">
        <v>755</v>
      </c>
      <c r="N37">
        <v>17</v>
      </c>
      <c r="O37">
        <v>18</v>
      </c>
      <c r="P37">
        <v>4</v>
      </c>
      <c r="Q37">
        <f t="shared" si="6"/>
        <v>29</v>
      </c>
    </row>
    <row r="38" spans="1:17" x14ac:dyDescent="0.25">
      <c r="A38" t="s">
        <v>756</v>
      </c>
      <c r="B38">
        <v>18</v>
      </c>
      <c r="C38">
        <v>19</v>
      </c>
      <c r="D38">
        <v>41</v>
      </c>
      <c r="G38" t="s">
        <v>756</v>
      </c>
      <c r="H38">
        <v>18</v>
      </c>
      <c r="I38">
        <v>19</v>
      </c>
      <c r="M38" t="s">
        <v>756</v>
      </c>
      <c r="N38">
        <v>18</v>
      </c>
      <c r="O38">
        <v>19</v>
      </c>
      <c r="P38">
        <v>4</v>
      </c>
    </row>
  </sheetData>
  <pageMargins left="0.7" right="0.7" top="0.75" bottom="0.75" header="0.3" footer="0.3"/>
  <pageSetup paperSize="9" scale="6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L1:N177"/>
  <sheetViews>
    <sheetView topLeftCell="A40" workbookViewId="0">
      <selection activeCell="P13" sqref="P13"/>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214</v>
      </c>
      <c r="N1" s="4" t="s">
        <v>104</v>
      </c>
    </row>
    <row r="2" spans="12:14" x14ac:dyDescent="0.25">
      <c r="L2" t="s">
        <v>420</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421</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422</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423</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500</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585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586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629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709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785</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824</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136</v>
      </c>
      <c r="B1" s="148" t="s">
        <v>137</v>
      </c>
      <c r="C1" s="148" t="s">
        <v>138</v>
      </c>
      <c r="D1" s="153" t="s">
        <v>164</v>
      </c>
      <c r="E1" s="153" t="s">
        <v>165</v>
      </c>
      <c r="F1" s="153" t="s">
        <v>167</v>
      </c>
      <c r="G1" s="153" t="s">
        <v>166</v>
      </c>
      <c r="H1" s="153" t="s">
        <v>168</v>
      </c>
      <c r="I1" s="153" t="s">
        <v>170</v>
      </c>
    </row>
    <row r="2" spans="1:9" ht="42" x14ac:dyDescent="0.25">
      <c r="A2" s="151" t="s">
        <v>139</v>
      </c>
      <c r="B2" s="152" t="s">
        <v>139</v>
      </c>
      <c r="C2" s="152" t="s">
        <v>140</v>
      </c>
      <c r="D2" s="2">
        <v>4</v>
      </c>
      <c r="E2" s="2">
        <v>18</v>
      </c>
      <c r="F2" s="2">
        <v>0</v>
      </c>
      <c r="G2" s="2">
        <v>0</v>
      </c>
      <c r="H2" s="154">
        <v>1</v>
      </c>
      <c r="I2" s="2">
        <f>H2*4</f>
        <v>4</v>
      </c>
    </row>
    <row r="3" spans="1:9" ht="21" x14ac:dyDescent="0.25">
      <c r="A3" s="149" t="s">
        <v>135</v>
      </c>
      <c r="B3" s="150" t="s">
        <v>135</v>
      </c>
      <c r="C3" s="150" t="s">
        <v>141</v>
      </c>
      <c r="D3" s="2">
        <v>0</v>
      </c>
      <c r="E3" s="2">
        <v>10</v>
      </c>
      <c r="F3" s="2">
        <v>0</v>
      </c>
      <c r="G3" s="2">
        <v>12</v>
      </c>
      <c r="H3" s="155">
        <v>5</v>
      </c>
      <c r="I3" s="2">
        <f t="shared" ref="I3:I13" si="0">H3*4</f>
        <v>20</v>
      </c>
    </row>
    <row r="4" spans="1:9" ht="21" x14ac:dyDescent="0.25">
      <c r="A4" s="149" t="s">
        <v>142</v>
      </c>
      <c r="B4" s="150" t="s">
        <v>142</v>
      </c>
      <c r="C4" s="150" t="s">
        <v>143</v>
      </c>
      <c r="D4" s="2">
        <v>0</v>
      </c>
      <c r="E4" s="2">
        <v>6</v>
      </c>
      <c r="F4" s="2">
        <v>0</v>
      </c>
      <c r="G4" s="2">
        <v>16</v>
      </c>
      <c r="H4" s="155">
        <v>4.4000000000000004</v>
      </c>
      <c r="I4" s="2">
        <f t="shared" si="0"/>
        <v>17.600000000000001</v>
      </c>
    </row>
    <row r="5" spans="1:9" ht="21" x14ac:dyDescent="0.25">
      <c r="A5" s="149" t="s">
        <v>144</v>
      </c>
      <c r="B5" s="150" t="s">
        <v>145</v>
      </c>
      <c r="C5" s="150" t="s">
        <v>146</v>
      </c>
      <c r="D5" s="2">
        <v>0</v>
      </c>
      <c r="E5" s="2">
        <v>4</v>
      </c>
      <c r="F5" s="2">
        <v>4</v>
      </c>
      <c r="G5" s="2">
        <v>14</v>
      </c>
      <c r="H5" s="155">
        <v>3</v>
      </c>
      <c r="I5" s="2">
        <f t="shared" si="0"/>
        <v>12</v>
      </c>
    </row>
    <row r="6" spans="1:9" x14ac:dyDescent="0.25">
      <c r="A6" s="739" t="s">
        <v>147</v>
      </c>
      <c r="B6" s="150" t="s">
        <v>148</v>
      </c>
      <c r="C6" s="150" t="s">
        <v>149</v>
      </c>
      <c r="D6" s="2">
        <v>0</v>
      </c>
      <c r="E6" s="2">
        <v>22</v>
      </c>
      <c r="F6" s="2">
        <v>0</v>
      </c>
      <c r="G6" s="2">
        <v>0</v>
      </c>
      <c r="H6" s="155">
        <f>H4*2</f>
        <v>8.8000000000000007</v>
      </c>
      <c r="I6" s="2">
        <f t="shared" si="0"/>
        <v>35.200000000000003</v>
      </c>
    </row>
    <row r="7" spans="1:9" x14ac:dyDescent="0.25">
      <c r="A7" s="739"/>
      <c r="B7" s="150" t="s">
        <v>150</v>
      </c>
      <c r="C7" s="150" t="s">
        <v>151</v>
      </c>
      <c r="D7" s="2">
        <v>0</v>
      </c>
      <c r="E7" s="2">
        <v>0</v>
      </c>
      <c r="F7" s="2">
        <v>0</v>
      </c>
      <c r="G7" s="2">
        <v>22</v>
      </c>
      <c r="H7" s="155">
        <f>H2/0.2</f>
        <v>5</v>
      </c>
      <c r="I7" s="2">
        <f t="shared" si="0"/>
        <v>20</v>
      </c>
    </row>
    <row r="8" spans="1:9" ht="31.5" x14ac:dyDescent="0.25">
      <c r="A8" s="149" t="s">
        <v>152</v>
      </c>
      <c r="B8" s="150" t="s">
        <v>153</v>
      </c>
      <c r="C8" s="150" t="s">
        <v>154</v>
      </c>
      <c r="D8" s="2">
        <v>0</v>
      </c>
      <c r="E8" s="2">
        <v>16</v>
      </c>
      <c r="F8" s="2">
        <v>0</v>
      </c>
      <c r="G8" s="2">
        <v>6</v>
      </c>
      <c r="H8" s="155">
        <v>3.9</v>
      </c>
      <c r="I8" s="2">
        <f t="shared" si="0"/>
        <v>15.6</v>
      </c>
    </row>
    <row r="9" spans="1:9" ht="21" x14ac:dyDescent="0.25">
      <c r="A9" s="149" t="s">
        <v>155</v>
      </c>
      <c r="B9" s="150" t="s">
        <v>155</v>
      </c>
      <c r="C9" s="150" t="s">
        <v>156</v>
      </c>
      <c r="D9" s="2">
        <v>0</v>
      </c>
      <c r="E9" s="2">
        <v>6</v>
      </c>
      <c r="F9" s="2">
        <v>4</v>
      </c>
      <c r="G9" s="2">
        <v>12</v>
      </c>
      <c r="H9" s="155">
        <v>4.0999999999999996</v>
      </c>
      <c r="I9" s="2">
        <f t="shared" si="0"/>
        <v>16.399999999999999</v>
      </c>
    </row>
    <row r="10" spans="1:9" x14ac:dyDescent="0.25">
      <c r="A10" s="149" t="s">
        <v>134</v>
      </c>
      <c r="B10" s="150" t="s">
        <v>134</v>
      </c>
      <c r="C10" s="150" t="s">
        <v>157</v>
      </c>
      <c r="D10" s="2">
        <v>0</v>
      </c>
      <c r="E10" s="2">
        <v>2</v>
      </c>
      <c r="F10" s="2">
        <v>0</v>
      </c>
      <c r="G10" s="2">
        <v>0</v>
      </c>
      <c r="H10" s="155">
        <v>2.7</v>
      </c>
      <c r="I10" s="2">
        <f t="shared" si="0"/>
        <v>10.8</v>
      </c>
    </row>
    <row r="11" spans="1:9" ht="31.5" x14ac:dyDescent="0.25">
      <c r="A11" s="149" t="s">
        <v>158</v>
      </c>
      <c r="B11" s="150" t="s">
        <v>153</v>
      </c>
      <c r="C11" s="150" t="s">
        <v>159</v>
      </c>
      <c r="D11" s="2">
        <v>0</v>
      </c>
      <c r="E11" s="2">
        <v>20</v>
      </c>
      <c r="F11" s="2">
        <v>0</v>
      </c>
      <c r="G11" s="2">
        <v>2</v>
      </c>
      <c r="H11" s="155">
        <v>4.5999999999999996</v>
      </c>
      <c r="I11" s="2">
        <f t="shared" si="0"/>
        <v>18.399999999999999</v>
      </c>
    </row>
    <row r="12" spans="1:9" ht="31.5" x14ac:dyDescent="0.25">
      <c r="A12" s="149" t="s">
        <v>160</v>
      </c>
      <c r="B12" s="150" t="s">
        <v>135</v>
      </c>
      <c r="C12" s="150" t="s">
        <v>161</v>
      </c>
      <c r="D12" s="2">
        <v>0</v>
      </c>
      <c r="E12" s="2">
        <v>20</v>
      </c>
      <c r="F12" s="2">
        <v>0</v>
      </c>
      <c r="G12" s="2">
        <v>2</v>
      </c>
      <c r="H12" s="155">
        <v>9.9</v>
      </c>
      <c r="I12" s="2">
        <f t="shared" si="0"/>
        <v>39.6</v>
      </c>
    </row>
    <row r="13" spans="1:9" ht="21" x14ac:dyDescent="0.25">
      <c r="A13" s="149" t="s">
        <v>162</v>
      </c>
      <c r="B13" s="150" t="s">
        <v>145</v>
      </c>
      <c r="C13" s="150" t="s">
        <v>163</v>
      </c>
      <c r="D13" s="2">
        <v>0</v>
      </c>
      <c r="E13" s="2">
        <v>10</v>
      </c>
      <c r="F13" s="2">
        <v>0</v>
      </c>
      <c r="G13" s="2">
        <v>6</v>
      </c>
      <c r="H13" s="155">
        <v>4.9000000000000004</v>
      </c>
      <c r="I13" s="2">
        <f t="shared" si="0"/>
        <v>19.600000000000001</v>
      </c>
    </row>
    <row r="14" spans="1:9" x14ac:dyDescent="0.25">
      <c r="A14" s="1"/>
      <c r="D14" s="1" t="s">
        <v>169</v>
      </c>
    </row>
    <row r="17" spans="1:2" x14ac:dyDescent="0.25">
      <c r="A17" t="s">
        <v>171</v>
      </c>
      <c r="B17" t="s">
        <v>67</v>
      </c>
    </row>
    <row r="18" spans="1:2" x14ac:dyDescent="0.25">
      <c r="A18" t="s">
        <v>134</v>
      </c>
    </row>
    <row r="19" spans="1:2" x14ac:dyDescent="0.25">
      <c r="A19" t="s">
        <v>135</v>
      </c>
    </row>
    <row r="20" spans="1:2" x14ac:dyDescent="0.25">
      <c r="A20" t="s">
        <v>172</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83" t="s">
        <v>257</v>
      </c>
      <c r="B1" s="225" t="s">
        <v>213</v>
      </c>
      <c r="C1" s="226" t="s">
        <v>299</v>
      </c>
      <c r="D1" s="226" t="s">
        <v>300</v>
      </c>
      <c r="E1" s="226" t="s">
        <v>104</v>
      </c>
      <c r="F1" s="226" t="s">
        <v>301</v>
      </c>
      <c r="G1" s="226" t="s">
        <v>302</v>
      </c>
      <c r="H1" s="227" t="s">
        <v>303</v>
      </c>
      <c r="I1" s="227" t="s">
        <v>304</v>
      </c>
      <c r="J1" s="227" t="s">
        <v>305</v>
      </c>
    </row>
    <row r="2" spans="1:14" x14ac:dyDescent="0.25">
      <c r="A2" t="s">
        <v>320</v>
      </c>
      <c r="B2" s="224" t="s">
        <v>321</v>
      </c>
      <c r="C2" s="228">
        <v>447000</v>
      </c>
      <c r="D2" s="228">
        <v>2800000</v>
      </c>
      <c r="E2" s="228">
        <v>350</v>
      </c>
      <c r="F2" s="224">
        <v>6.5</v>
      </c>
      <c r="G2" s="224">
        <v>11.5</v>
      </c>
      <c r="H2" s="228">
        <f>C2+D2+(E2*1*16*0.6)</f>
        <v>3250360</v>
      </c>
      <c r="I2" s="228">
        <f t="shared" ref="I2:I3" si="0">H2/F2</f>
        <v>500055.38461538462</v>
      </c>
      <c r="J2" s="106">
        <f t="shared" ref="J2:J3" si="1">H2/G2</f>
        <v>282640</v>
      </c>
    </row>
    <row r="3" spans="1:14" x14ac:dyDescent="0.25">
      <c r="A3" t="s">
        <v>320</v>
      </c>
      <c r="B3" s="224" t="s">
        <v>321</v>
      </c>
      <c r="C3" s="228">
        <v>350000</v>
      </c>
      <c r="D3" s="228">
        <v>2800000</v>
      </c>
      <c r="E3" s="228">
        <v>300</v>
      </c>
      <c r="F3" s="224">
        <f>1.5+2.5+2.5</f>
        <v>6.5</v>
      </c>
      <c r="G3" s="224">
        <f>1.5+2.5+2.5+2.5+2.5</f>
        <v>11.5</v>
      </c>
      <c r="H3" s="228">
        <f t="shared" ref="H3" si="2">C3+D3+(E3*1*16*0.6)</f>
        <v>3152880</v>
      </c>
      <c r="I3" s="228">
        <f t="shared" si="0"/>
        <v>485058.46153846156</v>
      </c>
      <c r="J3" s="106">
        <f t="shared" si="1"/>
        <v>274163.47826086957</v>
      </c>
    </row>
    <row r="4" spans="1:14" x14ac:dyDescent="0.25">
      <c r="A4" t="s">
        <v>218</v>
      </c>
      <c r="B4" s="224" t="s">
        <v>321</v>
      </c>
      <c r="C4" s="228">
        <v>400000</v>
      </c>
      <c r="D4" s="228">
        <v>2590000</v>
      </c>
      <c r="E4" s="228">
        <v>400</v>
      </c>
      <c r="F4" s="224">
        <f>1.5+2.5+2.5</f>
        <v>6.5</v>
      </c>
      <c r="G4" s="224">
        <f>1.5+2.5+2.5+2.5+2.5</f>
        <v>11.5</v>
      </c>
      <c r="H4" s="228">
        <f t="shared" ref="H4" si="3">C4+D4+(E4*1*16*0.6)</f>
        <v>2993840</v>
      </c>
      <c r="I4" s="228">
        <f t="shared" ref="I4" si="4">H4/F4</f>
        <v>460590.76923076925</v>
      </c>
      <c r="J4" s="106">
        <f t="shared" ref="J4" si="5">H4/G4</f>
        <v>260333.91304347827</v>
      </c>
    </row>
    <row r="5" spans="1:14" x14ac:dyDescent="0.25">
      <c r="A5" t="s">
        <v>322</v>
      </c>
      <c r="B5" s="224" t="s">
        <v>323</v>
      </c>
      <c r="C5" s="228">
        <v>1100000</v>
      </c>
      <c r="D5" s="228">
        <v>3000000</v>
      </c>
      <c r="E5" s="228">
        <v>400</v>
      </c>
      <c r="F5" s="224">
        <v>9</v>
      </c>
      <c r="G5" s="224">
        <v>14</v>
      </c>
      <c r="H5" s="228">
        <f t="shared" ref="H5:H6" si="6">C5+D5+(E5*1*16*0.6)</f>
        <v>4103840</v>
      </c>
      <c r="I5" s="228">
        <f t="shared" ref="I5:I6" si="7">H5/F5</f>
        <v>455982.22222222225</v>
      </c>
      <c r="J5" s="106">
        <f t="shared" ref="J5:J6" si="8">H5/G5</f>
        <v>293131.42857142858</v>
      </c>
    </row>
    <row r="6" spans="1:14" x14ac:dyDescent="0.25">
      <c r="A6" t="s">
        <v>324</v>
      </c>
      <c r="B6" s="224" t="s">
        <v>321</v>
      </c>
      <c r="C6" s="228">
        <v>500000</v>
      </c>
      <c r="D6" s="228">
        <v>2242000</v>
      </c>
      <c r="E6" s="228">
        <v>400</v>
      </c>
      <c r="F6" s="224">
        <f>1.5+2.5+2.5</f>
        <v>6.5</v>
      </c>
      <c r="G6" s="224">
        <f>1.5+2.5+2.5+2.5+2.5</f>
        <v>11.5</v>
      </c>
      <c r="H6" s="228">
        <f t="shared" si="6"/>
        <v>2745840</v>
      </c>
      <c r="I6" s="228">
        <f t="shared" si="7"/>
        <v>422436.92307692306</v>
      </c>
      <c r="J6" s="106">
        <f t="shared" si="8"/>
        <v>238768.69565217392</v>
      </c>
    </row>
    <row r="7" spans="1:14" x14ac:dyDescent="0.25">
      <c r="A7" t="s">
        <v>212</v>
      </c>
      <c r="B7" s="224" t="s">
        <v>325</v>
      </c>
      <c r="C7" s="228">
        <v>400000</v>
      </c>
      <c r="D7" s="228">
        <v>1650000</v>
      </c>
      <c r="E7" s="228">
        <v>5000</v>
      </c>
      <c r="F7" s="224">
        <v>4</v>
      </c>
      <c r="G7" s="224">
        <v>9</v>
      </c>
      <c r="H7" s="228">
        <f t="shared" ref="H7" si="9">C7+D7+(E7*1*16*0.6)</f>
        <v>2098000</v>
      </c>
      <c r="I7" s="228">
        <f t="shared" ref="I7" si="10">H7/F7</f>
        <v>524500</v>
      </c>
      <c r="J7" s="106">
        <f t="shared" ref="J7" si="11">H7/G7</f>
        <v>233111.11111111112</v>
      </c>
    </row>
    <row r="8" spans="1:14" x14ac:dyDescent="0.25">
      <c r="B8" s="224"/>
      <c r="C8" s="228"/>
      <c r="D8" s="228"/>
      <c r="E8" s="228"/>
      <c r="F8" s="224"/>
      <c r="G8" s="224"/>
      <c r="H8" s="228"/>
      <c r="I8" s="228"/>
      <c r="J8" s="106"/>
    </row>
    <row r="9" spans="1:14" x14ac:dyDescent="0.25">
      <c r="F9" s="224"/>
      <c r="G9" s="228"/>
      <c r="H9" s="228"/>
      <c r="I9" s="228"/>
      <c r="J9" s="224"/>
      <c r="K9" s="224"/>
      <c r="L9" s="228"/>
      <c r="M9" s="228"/>
      <c r="N9" s="106"/>
    </row>
    <row r="10" spans="1:14" x14ac:dyDescent="0.25">
      <c r="A10" s="4" t="s">
        <v>306</v>
      </c>
      <c r="F10" s="224"/>
      <c r="G10" s="228"/>
      <c r="H10" s="228"/>
      <c r="I10" s="228"/>
      <c r="J10" s="224"/>
      <c r="K10" s="224"/>
      <c r="L10" s="228"/>
      <c r="M10" s="228"/>
      <c r="N10" s="106"/>
    </row>
    <row r="11" spans="1:14" x14ac:dyDescent="0.25">
      <c r="A11" s="184" t="s">
        <v>307</v>
      </c>
      <c r="F11" s="224"/>
      <c r="G11" s="228"/>
      <c r="H11" s="228"/>
      <c r="I11" s="228"/>
      <c r="J11" s="224"/>
      <c r="K11" s="224"/>
      <c r="L11" s="228"/>
      <c r="M11" s="228"/>
      <c r="N11" s="106"/>
    </row>
    <row r="12" spans="1:14" x14ac:dyDescent="0.25">
      <c r="A12" s="184" t="s">
        <v>308</v>
      </c>
      <c r="F12" s="224"/>
      <c r="G12" s="228"/>
      <c r="H12" s="228"/>
      <c r="I12" s="228"/>
      <c r="J12" s="224"/>
      <c r="K12" s="224"/>
      <c r="L12" s="228"/>
      <c r="M12" s="228"/>
      <c r="N12" s="106"/>
    </row>
    <row r="13" spans="1:14" x14ac:dyDescent="0.25">
      <c r="A13" s="184" t="s">
        <v>309</v>
      </c>
      <c r="F13" s="224"/>
      <c r="G13" s="228"/>
      <c r="H13" s="228"/>
      <c r="I13" s="228"/>
      <c r="J13" s="224"/>
      <c r="K13" s="224"/>
      <c r="L13" s="228"/>
      <c r="M13" s="228"/>
      <c r="N13" s="106"/>
    </row>
    <row r="14" spans="1:14" x14ac:dyDescent="0.25">
      <c r="A14" s="184" t="s">
        <v>310</v>
      </c>
      <c r="F14" s="224"/>
      <c r="G14" s="228"/>
      <c r="H14" s="228"/>
      <c r="I14" s="228"/>
      <c r="J14" s="224"/>
      <c r="K14" s="224"/>
      <c r="L14" s="228"/>
      <c r="M14" s="228"/>
      <c r="N14" s="106"/>
    </row>
    <row r="15" spans="1:14" x14ac:dyDescent="0.25">
      <c r="F15" s="224"/>
      <c r="G15" s="228"/>
      <c r="H15" s="228"/>
      <c r="I15" s="228"/>
      <c r="J15" s="224"/>
      <c r="K15" s="224"/>
      <c r="L15" s="228"/>
      <c r="M15" s="228"/>
      <c r="N15" s="106"/>
    </row>
    <row r="16" spans="1:14" x14ac:dyDescent="0.25">
      <c r="A16" s="184" t="s">
        <v>311</v>
      </c>
      <c r="F16" s="224"/>
      <c r="G16" s="228"/>
      <c r="H16" s="228"/>
      <c r="I16" s="228"/>
      <c r="J16" s="224"/>
      <c r="K16" s="224"/>
      <c r="L16" s="228"/>
      <c r="M16" s="228"/>
      <c r="N16" s="106"/>
    </row>
    <row r="17" spans="1:14" x14ac:dyDescent="0.25">
      <c r="A17" s="184" t="s">
        <v>312</v>
      </c>
      <c r="F17" s="224"/>
      <c r="G17" s="228"/>
      <c r="H17" s="228"/>
      <c r="I17" s="228"/>
      <c r="J17" s="224"/>
      <c r="K17" s="224"/>
      <c r="L17" s="228"/>
      <c r="M17" s="228"/>
      <c r="N17" s="106"/>
    </row>
    <row r="18" spans="1:14" x14ac:dyDescent="0.25">
      <c r="A18" s="184" t="s">
        <v>313</v>
      </c>
      <c r="F18" s="224"/>
      <c r="G18" s="228"/>
      <c r="H18" s="228"/>
      <c r="I18" s="228"/>
      <c r="J18" s="224"/>
      <c r="K18" s="224"/>
      <c r="L18" s="228"/>
      <c r="M18" s="228"/>
      <c r="N18" s="106"/>
    </row>
    <row r="19" spans="1:14" x14ac:dyDescent="0.25">
      <c r="A19" s="184" t="s">
        <v>314</v>
      </c>
      <c r="F19" s="224"/>
      <c r="G19" s="228"/>
      <c r="H19" s="228"/>
      <c r="I19" s="228"/>
      <c r="J19" s="224"/>
      <c r="K19" s="224"/>
      <c r="L19" s="228"/>
      <c r="M19" s="228"/>
      <c r="N19" s="106"/>
    </row>
    <row r="20" spans="1:14" x14ac:dyDescent="0.25">
      <c r="A20" s="184"/>
      <c r="F20" s="224"/>
      <c r="G20" s="228"/>
      <c r="H20" s="228"/>
      <c r="I20" s="228"/>
      <c r="J20" s="224"/>
      <c r="K20" s="224"/>
      <c r="L20" s="228"/>
      <c r="M20" s="228"/>
      <c r="N20" s="106"/>
    </row>
    <row r="21" spans="1:14" x14ac:dyDescent="0.25">
      <c r="A21" s="184" t="s">
        <v>315</v>
      </c>
      <c r="F21" s="224"/>
      <c r="G21" s="228"/>
      <c r="H21" s="228"/>
      <c r="I21" s="228"/>
      <c r="J21" s="224"/>
      <c r="K21" s="224"/>
      <c r="L21" s="228"/>
      <c r="M21" s="228"/>
      <c r="N21" s="106"/>
    </row>
    <row r="22" spans="1:14" x14ac:dyDescent="0.25">
      <c r="A22" s="184" t="s">
        <v>316</v>
      </c>
      <c r="F22" s="224"/>
      <c r="G22" s="228"/>
      <c r="H22" s="228"/>
      <c r="I22" s="228"/>
      <c r="J22" s="224"/>
      <c r="K22" s="224"/>
      <c r="L22" s="228"/>
      <c r="M22" s="228"/>
      <c r="N22" s="106"/>
    </row>
    <row r="23" spans="1:14" x14ac:dyDescent="0.25">
      <c r="A23" s="184" t="s">
        <v>317</v>
      </c>
      <c r="F23" s="224"/>
      <c r="G23" s="228"/>
      <c r="H23" s="228"/>
      <c r="I23" s="228"/>
      <c r="J23" s="224"/>
      <c r="K23" s="224"/>
      <c r="L23" s="228"/>
      <c r="M23" s="228"/>
      <c r="N23" s="106"/>
    </row>
    <row r="24" spans="1:14" x14ac:dyDescent="0.25">
      <c r="F24" s="224"/>
      <c r="G24" s="228"/>
      <c r="H24" s="228"/>
      <c r="I24" s="228"/>
      <c r="J24" s="224"/>
      <c r="K24" s="224"/>
      <c r="L24" s="228"/>
      <c r="M24" s="228"/>
      <c r="N24" s="106"/>
    </row>
    <row r="25" spans="1:14" x14ac:dyDescent="0.25">
      <c r="A25" s="184" t="s">
        <v>318</v>
      </c>
      <c r="F25" s="224"/>
      <c r="G25" s="228"/>
      <c r="H25" s="228"/>
      <c r="I25" s="228"/>
      <c r="J25" s="224"/>
      <c r="K25" s="224"/>
      <c r="L25" s="228"/>
      <c r="M25" s="228"/>
      <c r="N25" s="106"/>
    </row>
    <row r="26" spans="1:14" x14ac:dyDescent="0.25">
      <c r="A26" s="184" t="s">
        <v>319</v>
      </c>
      <c r="F26" s="224"/>
      <c r="G26" s="228"/>
      <c r="H26" s="228"/>
      <c r="I26" s="228"/>
      <c r="J26" s="224"/>
      <c r="K26" s="224"/>
      <c r="L26" s="228"/>
      <c r="M26" s="228"/>
      <c r="N26" s="106"/>
    </row>
    <row r="27" spans="1:14" x14ac:dyDescent="0.25">
      <c r="F27" s="4"/>
      <c r="G27" t="s">
        <v>386</v>
      </c>
      <c r="H27" t="s">
        <v>385</v>
      </c>
    </row>
    <row r="28" spans="1:14" x14ac:dyDescent="0.25">
      <c r="F28" s="240" t="s">
        <v>328</v>
      </c>
      <c r="G28" s="235"/>
      <c r="H28" s="228"/>
      <c r="I28" s="233">
        <v>400000</v>
      </c>
      <c r="J28" s="106"/>
    </row>
    <row r="29" spans="1:14" x14ac:dyDescent="0.25">
      <c r="F29" s="241" t="s">
        <v>329</v>
      </c>
      <c r="G29" s="236"/>
      <c r="H29" s="228">
        <v>4800000</v>
      </c>
      <c r="I29" s="234"/>
      <c r="J29" s="106"/>
    </row>
    <row r="30" spans="1:14" ht="19.5" x14ac:dyDescent="0.25">
      <c r="A30" s="695" t="s">
        <v>326</v>
      </c>
      <c r="B30" s="695"/>
      <c r="C30" s="695"/>
      <c r="D30" s="695"/>
      <c r="F30" s="240" t="s">
        <v>337</v>
      </c>
      <c r="G30" s="235"/>
      <c r="H30" s="228">
        <v>4210500</v>
      </c>
      <c r="I30" s="234"/>
      <c r="J30" s="106"/>
    </row>
    <row r="31" spans="1:14" x14ac:dyDescent="0.25">
      <c r="A31" s="696" t="s">
        <v>257</v>
      </c>
      <c r="B31" s="697" t="s">
        <v>327</v>
      </c>
      <c r="C31" s="697" t="s">
        <v>328</v>
      </c>
      <c r="D31" s="697" t="s">
        <v>329</v>
      </c>
      <c r="F31" s="241" t="s">
        <v>341</v>
      </c>
      <c r="G31" s="236"/>
      <c r="H31" s="228">
        <v>3750000</v>
      </c>
      <c r="I31" s="234"/>
      <c r="J31" s="106"/>
    </row>
    <row r="32" spans="1:14" x14ac:dyDescent="0.25">
      <c r="A32" s="696"/>
      <c r="B32" s="697"/>
      <c r="C32" s="697"/>
      <c r="D32" s="697"/>
      <c r="F32" s="240" t="s">
        <v>345</v>
      </c>
      <c r="G32" s="235"/>
      <c r="H32" s="228">
        <v>3356600</v>
      </c>
      <c r="I32" s="234"/>
      <c r="J32" s="106"/>
    </row>
    <row r="33" spans="1:10" x14ac:dyDescent="0.25">
      <c r="A33" s="229" t="s">
        <v>327</v>
      </c>
      <c r="B33" s="230" t="s">
        <v>330</v>
      </c>
      <c r="C33" s="230" t="s">
        <v>331</v>
      </c>
      <c r="D33" s="230" t="s">
        <v>331</v>
      </c>
      <c r="F33" s="241" t="s">
        <v>349</v>
      </c>
      <c r="G33" s="237">
        <f>I35-H33</f>
        <v>-62800</v>
      </c>
      <c r="H33" s="228">
        <v>3057300</v>
      </c>
      <c r="I33" s="234">
        <f>H33+G33</f>
        <v>2994500</v>
      </c>
      <c r="J33" s="106"/>
    </row>
    <row r="34" spans="1:10" x14ac:dyDescent="0.25">
      <c r="A34" s="231" t="s">
        <v>328</v>
      </c>
      <c r="B34" s="232" t="s">
        <v>332</v>
      </c>
      <c r="C34" s="232" t="s">
        <v>333</v>
      </c>
      <c r="D34" s="232" t="s">
        <v>331</v>
      </c>
      <c r="F34" s="240" t="s">
        <v>353</v>
      </c>
      <c r="G34" s="239">
        <f>I35-H34</f>
        <v>187500</v>
      </c>
      <c r="H34" s="228">
        <v>2807000</v>
      </c>
      <c r="I34" s="234">
        <f>H34+G34</f>
        <v>2994500</v>
      </c>
      <c r="J34" s="106"/>
    </row>
    <row r="35" spans="1:10" x14ac:dyDescent="0.25">
      <c r="A35" s="229" t="s">
        <v>329</v>
      </c>
      <c r="B35" s="230" t="s">
        <v>334</v>
      </c>
      <c r="C35" s="230" t="s">
        <v>335</v>
      </c>
      <c r="D35" s="230" t="s">
        <v>336</v>
      </c>
      <c r="F35" s="241" t="s">
        <v>357</v>
      </c>
      <c r="G35" s="238">
        <v>400000</v>
      </c>
      <c r="H35" s="228">
        <v>2594500</v>
      </c>
      <c r="I35" s="234">
        <f>H35+G35</f>
        <v>2994500</v>
      </c>
      <c r="J35" s="106"/>
    </row>
    <row r="36" spans="1:10" x14ac:dyDescent="0.25">
      <c r="A36" s="231" t="s">
        <v>337</v>
      </c>
      <c r="B36" s="232" t="s">
        <v>338</v>
      </c>
      <c r="C36" s="232" t="s">
        <v>339</v>
      </c>
      <c r="D36" s="232" t="s">
        <v>340</v>
      </c>
      <c r="F36" s="240" t="s">
        <v>361</v>
      </c>
      <c r="G36" s="238">
        <v>594500</v>
      </c>
      <c r="H36" s="228">
        <v>2400000</v>
      </c>
      <c r="I36" s="234">
        <f t="shared" ref="I36:I38" si="12">H36+G36</f>
        <v>2994500</v>
      </c>
      <c r="J36" s="106"/>
    </row>
    <row r="37" spans="1:10" x14ac:dyDescent="0.25">
      <c r="A37" s="229" t="s">
        <v>341</v>
      </c>
      <c r="B37" s="230" t="s">
        <v>342</v>
      </c>
      <c r="C37" s="230" t="s">
        <v>343</v>
      </c>
      <c r="D37" s="230" t="s">
        <v>344</v>
      </c>
      <c r="F37" s="241" t="s">
        <v>365</v>
      </c>
      <c r="G37" s="238">
        <v>752210</v>
      </c>
      <c r="H37" s="228">
        <v>2242290</v>
      </c>
      <c r="I37" s="234">
        <f t="shared" si="12"/>
        <v>2994500</v>
      </c>
      <c r="J37" s="106"/>
    </row>
    <row r="38" spans="1:10" x14ac:dyDescent="0.25">
      <c r="A38" s="231" t="s">
        <v>345</v>
      </c>
      <c r="B38" s="232" t="s">
        <v>346</v>
      </c>
      <c r="C38" s="232" t="s">
        <v>347</v>
      </c>
      <c r="D38" s="232" t="s">
        <v>348</v>
      </c>
      <c r="F38" s="240" t="s">
        <v>369</v>
      </c>
      <c r="G38" s="238">
        <v>889300</v>
      </c>
      <c r="H38" s="228">
        <v>2105200</v>
      </c>
      <c r="I38" s="234">
        <f t="shared" si="12"/>
        <v>2994500</v>
      </c>
      <c r="J38" s="106"/>
    </row>
    <row r="39" spans="1:10" x14ac:dyDescent="0.25">
      <c r="A39" s="229" t="s">
        <v>349</v>
      </c>
      <c r="B39" s="230" t="s">
        <v>350</v>
      </c>
      <c r="C39" s="230" t="s">
        <v>351</v>
      </c>
      <c r="D39" s="230" t="s">
        <v>352</v>
      </c>
    </row>
    <row r="40" spans="1:10" x14ac:dyDescent="0.25">
      <c r="A40" s="231" t="s">
        <v>353</v>
      </c>
      <c r="B40" s="232" t="s">
        <v>354</v>
      </c>
      <c r="C40" s="232" t="s">
        <v>355</v>
      </c>
      <c r="D40" s="232" t="s">
        <v>356</v>
      </c>
    </row>
    <row r="41" spans="1:10" x14ac:dyDescent="0.25">
      <c r="A41" s="229" t="s">
        <v>357</v>
      </c>
      <c r="B41" s="230" t="s">
        <v>358</v>
      </c>
      <c r="C41" s="230" t="s">
        <v>359</v>
      </c>
      <c r="D41" s="230" t="s">
        <v>360</v>
      </c>
    </row>
    <row r="42" spans="1:10" x14ac:dyDescent="0.25">
      <c r="A42" s="231" t="s">
        <v>361</v>
      </c>
      <c r="B42" s="232" t="s">
        <v>362</v>
      </c>
      <c r="C42" s="232" t="s">
        <v>363</v>
      </c>
      <c r="D42" s="232" t="s">
        <v>364</v>
      </c>
    </row>
    <row r="43" spans="1:10" x14ac:dyDescent="0.25">
      <c r="A43" s="229" t="s">
        <v>365</v>
      </c>
      <c r="B43" s="230" t="s">
        <v>366</v>
      </c>
      <c r="C43" s="230" t="s">
        <v>367</v>
      </c>
      <c r="D43" s="230" t="s">
        <v>368</v>
      </c>
    </row>
    <row r="44" spans="1:10" x14ac:dyDescent="0.25">
      <c r="A44" s="231" t="s">
        <v>369</v>
      </c>
      <c r="B44" s="232" t="s">
        <v>370</v>
      </c>
      <c r="C44" s="232" t="s">
        <v>371</v>
      </c>
      <c r="D44" s="232" t="s">
        <v>372</v>
      </c>
    </row>
    <row r="45" spans="1:10" x14ac:dyDescent="0.25">
      <c r="A45" s="229" t="s">
        <v>373</v>
      </c>
      <c r="B45" s="230" t="s">
        <v>374</v>
      </c>
      <c r="C45" s="230" t="s">
        <v>375</v>
      </c>
      <c r="D45" s="230" t="s">
        <v>376</v>
      </c>
    </row>
    <row r="46" spans="1:10" x14ac:dyDescent="0.25">
      <c r="A46" s="231" t="s">
        <v>377</v>
      </c>
      <c r="B46" s="232" t="s">
        <v>378</v>
      </c>
      <c r="C46" s="232" t="s">
        <v>379</v>
      </c>
      <c r="D46" s="232" t="s">
        <v>380</v>
      </c>
    </row>
    <row r="47" spans="1:10" x14ac:dyDescent="0.25">
      <c r="A47" s="229" t="s">
        <v>381</v>
      </c>
      <c r="B47" s="230" t="s">
        <v>382</v>
      </c>
      <c r="C47" s="230" t="s">
        <v>383</v>
      </c>
      <c r="D47" s="230" t="s">
        <v>384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428</v>
      </c>
      <c r="B1" s="48" t="s">
        <v>434</v>
      </c>
      <c r="C1" s="48" t="s">
        <v>429</v>
      </c>
      <c r="D1" s="282" t="s">
        <v>430</v>
      </c>
      <c r="E1" s="48" t="s">
        <v>431</v>
      </c>
      <c r="F1" s="48" t="s">
        <v>433</v>
      </c>
      <c r="G1" s="48" t="s">
        <v>432</v>
      </c>
    </row>
    <row r="2" spans="1:7" x14ac:dyDescent="0.25">
      <c r="A2" s="161">
        <v>0.4</v>
      </c>
      <c r="B2" s="160">
        <v>0</v>
      </c>
      <c r="C2" s="161">
        <f>B2*0.025</f>
        <v>0</v>
      </c>
      <c r="D2" s="283">
        <v>-0.375</v>
      </c>
      <c r="E2" s="161">
        <f>A2+C2+D2</f>
        <v>2.5000000000000022E-2</v>
      </c>
      <c r="F2" s="160">
        <v>32</v>
      </c>
      <c r="G2" s="281">
        <f>F2*E2</f>
        <v>0.80000000000000071</v>
      </c>
    </row>
    <row r="3" spans="1:7" x14ac:dyDescent="0.25">
      <c r="A3" s="161">
        <v>0.4</v>
      </c>
      <c r="B3" s="160">
        <v>1</v>
      </c>
      <c r="C3" s="161">
        <f t="shared" ref="C3:C17" si="0">B3*0.025</f>
        <v>2.5000000000000001E-2</v>
      </c>
      <c r="D3" s="283">
        <f>D2</f>
        <v>-0.375</v>
      </c>
      <c r="E3" s="161">
        <f t="shared" ref="E3:E17" si="1">A3+C3+D3</f>
        <v>5.0000000000000044E-2</v>
      </c>
      <c r="F3" s="160">
        <v>32</v>
      </c>
      <c r="G3" s="281">
        <f t="shared" ref="G3:G17" si="2">F3*E3</f>
        <v>1.6000000000000014</v>
      </c>
    </row>
    <row r="4" spans="1:7" x14ac:dyDescent="0.25">
      <c r="A4" s="161">
        <v>0.4</v>
      </c>
      <c r="B4" s="160">
        <v>2</v>
      </c>
      <c r="C4" s="161">
        <f t="shared" si="0"/>
        <v>0.05</v>
      </c>
      <c r="D4" s="283">
        <f t="shared" ref="D4:D17" si="3">D3</f>
        <v>-0.375</v>
      </c>
      <c r="E4" s="161">
        <f t="shared" si="1"/>
        <v>7.5000000000000011E-2</v>
      </c>
      <c r="F4" s="160">
        <v>32</v>
      </c>
      <c r="G4" s="281">
        <f t="shared" si="2"/>
        <v>2.4000000000000004</v>
      </c>
    </row>
    <row r="5" spans="1:7" x14ac:dyDescent="0.25">
      <c r="A5" s="161">
        <v>0.4</v>
      </c>
      <c r="B5" s="160">
        <v>3</v>
      </c>
      <c r="C5" s="161">
        <f t="shared" si="0"/>
        <v>7.5000000000000011E-2</v>
      </c>
      <c r="D5" s="283">
        <f t="shared" si="3"/>
        <v>-0.375</v>
      </c>
      <c r="E5" s="161">
        <f t="shared" si="1"/>
        <v>0.10000000000000003</v>
      </c>
      <c r="F5" s="160">
        <v>32</v>
      </c>
      <c r="G5" s="281">
        <f t="shared" si="2"/>
        <v>3.2000000000000011</v>
      </c>
    </row>
    <row r="6" spans="1:7" x14ac:dyDescent="0.25">
      <c r="A6" s="161">
        <v>0.4</v>
      </c>
      <c r="B6" s="160">
        <v>4</v>
      </c>
      <c r="C6" s="161">
        <f t="shared" si="0"/>
        <v>0.1</v>
      </c>
      <c r="D6" s="283">
        <f t="shared" si="3"/>
        <v>-0.375</v>
      </c>
      <c r="E6" s="161">
        <f t="shared" si="1"/>
        <v>0.125</v>
      </c>
      <c r="F6" s="160">
        <v>32</v>
      </c>
      <c r="G6" s="281">
        <f t="shared" si="2"/>
        <v>4</v>
      </c>
    </row>
    <row r="7" spans="1:7" x14ac:dyDescent="0.25">
      <c r="A7" s="161">
        <v>0.4</v>
      </c>
      <c r="B7" s="160">
        <v>5</v>
      </c>
      <c r="C7" s="161">
        <f t="shared" si="0"/>
        <v>0.125</v>
      </c>
      <c r="D7" s="283">
        <f t="shared" si="3"/>
        <v>-0.375</v>
      </c>
      <c r="E7" s="161">
        <f t="shared" si="1"/>
        <v>0.15000000000000002</v>
      </c>
      <c r="F7" s="160">
        <v>32</v>
      </c>
      <c r="G7" s="281">
        <f t="shared" si="2"/>
        <v>4.8000000000000007</v>
      </c>
    </row>
    <row r="8" spans="1:7" x14ac:dyDescent="0.25">
      <c r="A8" s="161">
        <v>0.4</v>
      </c>
      <c r="B8" s="160">
        <v>6</v>
      </c>
      <c r="C8" s="161">
        <f t="shared" si="0"/>
        <v>0.15000000000000002</v>
      </c>
      <c r="D8" s="283">
        <f t="shared" si="3"/>
        <v>-0.375</v>
      </c>
      <c r="E8" s="161">
        <f t="shared" si="1"/>
        <v>0.17500000000000004</v>
      </c>
      <c r="F8" s="160">
        <v>32</v>
      </c>
      <c r="G8" s="281">
        <f t="shared" si="2"/>
        <v>5.6000000000000014</v>
      </c>
    </row>
    <row r="9" spans="1:7" x14ac:dyDescent="0.25">
      <c r="A9" s="161">
        <v>0.4</v>
      </c>
      <c r="B9" s="160">
        <v>7</v>
      </c>
      <c r="C9" s="161">
        <f t="shared" si="0"/>
        <v>0.17500000000000002</v>
      </c>
      <c r="D9" s="283">
        <f t="shared" si="3"/>
        <v>-0.375</v>
      </c>
      <c r="E9" s="161">
        <f t="shared" si="1"/>
        <v>0.20000000000000007</v>
      </c>
      <c r="F9" s="160">
        <v>32</v>
      </c>
      <c r="G9" s="281">
        <f t="shared" si="2"/>
        <v>6.4000000000000021</v>
      </c>
    </row>
    <row r="10" spans="1:7" x14ac:dyDescent="0.25">
      <c r="A10" s="161">
        <v>0.4</v>
      </c>
      <c r="B10" s="160">
        <v>8</v>
      </c>
      <c r="C10" s="161">
        <f t="shared" si="0"/>
        <v>0.2</v>
      </c>
      <c r="D10" s="283">
        <f t="shared" si="3"/>
        <v>-0.375</v>
      </c>
      <c r="E10" s="161">
        <f t="shared" si="1"/>
        <v>0.22500000000000009</v>
      </c>
      <c r="F10" s="160">
        <v>32</v>
      </c>
      <c r="G10" s="281">
        <f t="shared" si="2"/>
        <v>7.2000000000000028</v>
      </c>
    </row>
    <row r="11" spans="1:7" x14ac:dyDescent="0.25">
      <c r="A11" s="161">
        <v>0.4</v>
      </c>
      <c r="B11" s="160">
        <v>9</v>
      </c>
      <c r="C11" s="161">
        <f t="shared" si="0"/>
        <v>0.22500000000000001</v>
      </c>
      <c r="D11" s="283">
        <f t="shared" si="3"/>
        <v>-0.375</v>
      </c>
      <c r="E11" s="161">
        <f t="shared" si="1"/>
        <v>0.25</v>
      </c>
      <c r="F11" s="160">
        <v>32</v>
      </c>
      <c r="G11" s="281">
        <f t="shared" si="2"/>
        <v>8</v>
      </c>
    </row>
    <row r="12" spans="1:7" x14ac:dyDescent="0.25">
      <c r="A12" s="161">
        <v>0.4</v>
      </c>
      <c r="B12" s="160">
        <v>10</v>
      </c>
      <c r="C12" s="161">
        <f t="shared" si="0"/>
        <v>0.25</v>
      </c>
      <c r="D12" s="283">
        <f t="shared" si="3"/>
        <v>-0.375</v>
      </c>
      <c r="E12" s="161">
        <f t="shared" si="1"/>
        <v>0.27500000000000002</v>
      </c>
      <c r="F12" s="160">
        <v>32</v>
      </c>
      <c r="G12" s="281">
        <f t="shared" si="2"/>
        <v>8.8000000000000007</v>
      </c>
    </row>
    <row r="13" spans="1:7" x14ac:dyDescent="0.25">
      <c r="A13" s="161">
        <v>0.4</v>
      </c>
      <c r="B13" s="160">
        <v>11</v>
      </c>
      <c r="C13" s="161">
        <f t="shared" si="0"/>
        <v>0.27500000000000002</v>
      </c>
      <c r="D13" s="283">
        <f t="shared" si="3"/>
        <v>-0.375</v>
      </c>
      <c r="E13" s="161">
        <f t="shared" si="1"/>
        <v>0.30000000000000004</v>
      </c>
      <c r="F13" s="160">
        <v>32</v>
      </c>
      <c r="G13" s="281">
        <f t="shared" si="2"/>
        <v>9.6000000000000014</v>
      </c>
    </row>
    <row r="14" spans="1:7" x14ac:dyDescent="0.25">
      <c r="A14" s="161">
        <v>0.4</v>
      </c>
      <c r="B14" s="160">
        <v>12</v>
      </c>
      <c r="C14" s="161">
        <f t="shared" si="0"/>
        <v>0.30000000000000004</v>
      </c>
      <c r="D14" s="283">
        <f t="shared" si="3"/>
        <v>-0.375</v>
      </c>
      <c r="E14" s="161">
        <f t="shared" si="1"/>
        <v>0.32500000000000007</v>
      </c>
      <c r="F14" s="160">
        <v>32</v>
      </c>
      <c r="G14" s="281">
        <f t="shared" si="2"/>
        <v>10.400000000000002</v>
      </c>
    </row>
    <row r="15" spans="1:7" x14ac:dyDescent="0.25">
      <c r="A15" s="161">
        <v>0.4</v>
      </c>
      <c r="B15" s="160">
        <v>13</v>
      </c>
      <c r="C15" s="161">
        <f t="shared" si="0"/>
        <v>0.32500000000000001</v>
      </c>
      <c r="D15" s="283">
        <f t="shared" si="3"/>
        <v>-0.375</v>
      </c>
      <c r="E15" s="161">
        <f t="shared" si="1"/>
        <v>0.35000000000000009</v>
      </c>
      <c r="F15" s="160">
        <v>32</v>
      </c>
      <c r="G15" s="281">
        <f t="shared" si="2"/>
        <v>11.200000000000003</v>
      </c>
    </row>
    <row r="16" spans="1:7" x14ac:dyDescent="0.25">
      <c r="A16" s="161">
        <v>0.4</v>
      </c>
      <c r="B16" s="160">
        <v>14</v>
      </c>
      <c r="C16" s="161">
        <f t="shared" si="0"/>
        <v>0.35000000000000003</v>
      </c>
      <c r="D16" s="283">
        <f t="shared" si="3"/>
        <v>-0.375</v>
      </c>
      <c r="E16" s="161">
        <f t="shared" si="1"/>
        <v>0.375</v>
      </c>
      <c r="F16" s="160">
        <v>32</v>
      </c>
      <c r="G16" s="281">
        <f t="shared" si="2"/>
        <v>12</v>
      </c>
    </row>
    <row r="17" spans="1:7" x14ac:dyDescent="0.25">
      <c r="A17" s="161">
        <v>0.4</v>
      </c>
      <c r="B17" s="160">
        <v>15</v>
      </c>
      <c r="C17" s="161">
        <f t="shared" si="0"/>
        <v>0.375</v>
      </c>
      <c r="D17" s="283">
        <f t="shared" si="3"/>
        <v>-0.375</v>
      </c>
      <c r="E17" s="161">
        <f t="shared" si="1"/>
        <v>0.4</v>
      </c>
      <c r="F17" s="160">
        <v>32</v>
      </c>
      <c r="G17" s="281">
        <f t="shared" si="2"/>
        <v>12.8</v>
      </c>
    </row>
    <row r="18" spans="1:7" x14ac:dyDescent="0.25">
      <c r="A18" s="47"/>
      <c r="B18" s="280"/>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670</v>
      </c>
      <c r="D1" s="4" t="s">
        <v>402</v>
      </c>
      <c r="E1" s="4" t="s">
        <v>674</v>
      </c>
      <c r="F1" s="4" t="s">
        <v>675</v>
      </c>
      <c r="G1" s="4" t="s">
        <v>676</v>
      </c>
      <c r="H1" s="4" t="s">
        <v>17</v>
      </c>
      <c r="I1" s="4" t="s">
        <v>677</v>
      </c>
      <c r="K1" s="4" t="s">
        <v>402</v>
      </c>
      <c r="L1" s="4" t="s">
        <v>674</v>
      </c>
      <c r="M1" s="4" t="s">
        <v>675</v>
      </c>
      <c r="N1" s="4" t="s">
        <v>676</v>
      </c>
      <c r="O1" s="4" t="s">
        <v>17</v>
      </c>
      <c r="P1" s="4" t="s">
        <v>677</v>
      </c>
    </row>
    <row r="2" spans="1:16" x14ac:dyDescent="0.25">
      <c r="A2">
        <v>3.5</v>
      </c>
      <c r="B2" t="s">
        <v>671</v>
      </c>
      <c r="D2" s="481">
        <v>10</v>
      </c>
      <c r="E2" s="482">
        <f t="shared" ref="E2:E11" si="0">D2*$A$2</f>
        <v>35</v>
      </c>
      <c r="F2" s="482">
        <f t="shared" ref="F2:F11" si="1">D2*$A$3</f>
        <v>25</v>
      </c>
      <c r="G2" s="483">
        <f t="shared" ref="G2:G11" si="2">D2*$A$4</f>
        <v>0.33333333333333331</v>
      </c>
      <c r="H2" s="481">
        <f>48000*0.68</f>
        <v>32640.000000000004</v>
      </c>
      <c r="I2" s="484">
        <f t="shared" ref="I2:I11" si="3">H2/D2</f>
        <v>3264.0000000000005</v>
      </c>
      <c r="K2">
        <v>15</v>
      </c>
      <c r="L2" s="265">
        <f>K2*3.2</f>
        <v>48</v>
      </c>
      <c r="M2" s="265">
        <f>K2*$A$3</f>
        <v>37.5</v>
      </c>
      <c r="N2" s="405">
        <f>K2*$A$4</f>
        <v>0.5</v>
      </c>
      <c r="O2">
        <f>24000*3</f>
        <v>72000</v>
      </c>
      <c r="P2">
        <f>O2/K2</f>
        <v>4800</v>
      </c>
    </row>
    <row r="3" spans="1:16" x14ac:dyDescent="0.25">
      <c r="A3">
        <v>2.5</v>
      </c>
      <c r="B3" t="s">
        <v>673</v>
      </c>
      <c r="D3" s="481">
        <v>9</v>
      </c>
      <c r="E3" s="482">
        <f t="shared" si="0"/>
        <v>31.5</v>
      </c>
      <c r="F3" s="482">
        <f t="shared" si="1"/>
        <v>22.5</v>
      </c>
      <c r="G3" s="483">
        <f t="shared" si="2"/>
        <v>0.3</v>
      </c>
      <c r="H3" s="481">
        <f>36000*0.68</f>
        <v>24480</v>
      </c>
      <c r="I3" s="484">
        <f t="shared" si="3"/>
        <v>2720</v>
      </c>
      <c r="K3">
        <v>12</v>
      </c>
      <c r="L3" s="265">
        <f>K3*3.2</f>
        <v>38.400000000000006</v>
      </c>
      <c r="M3" s="265">
        <f>K3*$A$3</f>
        <v>30</v>
      </c>
      <c r="N3" s="405">
        <f>K3*$A$4</f>
        <v>0.4</v>
      </c>
      <c r="O3">
        <f>12000*3</f>
        <v>36000</v>
      </c>
      <c r="P3">
        <f>O3/K3</f>
        <v>3000</v>
      </c>
    </row>
    <row r="4" spans="1:16" x14ac:dyDescent="0.25">
      <c r="A4" s="480">
        <f>0.5/15</f>
        <v>3.3333333333333333E-2</v>
      </c>
      <c r="B4" t="s">
        <v>672</v>
      </c>
      <c r="D4" s="481">
        <v>8</v>
      </c>
      <c r="E4" s="482">
        <f t="shared" si="0"/>
        <v>28</v>
      </c>
      <c r="F4" s="482">
        <f t="shared" si="1"/>
        <v>20</v>
      </c>
      <c r="G4" s="483">
        <f t="shared" si="2"/>
        <v>0.26666666666666666</v>
      </c>
      <c r="H4" s="481">
        <f>24000*0.68</f>
        <v>16320.000000000002</v>
      </c>
      <c r="I4" s="484">
        <f t="shared" si="3"/>
        <v>2040.0000000000002</v>
      </c>
    </row>
    <row r="5" spans="1:16" x14ac:dyDescent="0.25">
      <c r="D5" s="481">
        <v>7</v>
      </c>
      <c r="E5" s="482">
        <f t="shared" si="0"/>
        <v>24.5</v>
      </c>
      <c r="F5" s="482">
        <f t="shared" si="1"/>
        <v>17.5</v>
      </c>
      <c r="G5" s="483">
        <f t="shared" si="2"/>
        <v>0.23333333333333334</v>
      </c>
      <c r="H5" s="481">
        <f>18000*0.68</f>
        <v>12240</v>
      </c>
      <c r="I5" s="484">
        <f t="shared" si="3"/>
        <v>1748.5714285714287</v>
      </c>
    </row>
    <row r="6" spans="1:16" x14ac:dyDescent="0.25">
      <c r="D6" s="481">
        <v>6</v>
      </c>
      <c r="E6" s="482">
        <f t="shared" si="0"/>
        <v>21</v>
      </c>
      <c r="F6" s="482">
        <f t="shared" si="1"/>
        <v>15</v>
      </c>
      <c r="G6" s="483">
        <f t="shared" si="2"/>
        <v>0.2</v>
      </c>
      <c r="H6" s="481">
        <f>12000*0.68</f>
        <v>8160.0000000000009</v>
      </c>
      <c r="I6" s="484">
        <f t="shared" si="3"/>
        <v>1360.0000000000002</v>
      </c>
    </row>
    <row r="7" spans="1:16" x14ac:dyDescent="0.25">
      <c r="D7" s="481">
        <v>5</v>
      </c>
      <c r="E7" s="482">
        <f t="shared" si="0"/>
        <v>17.5</v>
      </c>
      <c r="F7" s="482">
        <f t="shared" si="1"/>
        <v>12.5</v>
      </c>
      <c r="G7" s="483">
        <f t="shared" si="2"/>
        <v>0.16666666666666666</v>
      </c>
      <c r="H7" s="481">
        <f>24000*0.68</f>
        <v>16320.000000000002</v>
      </c>
      <c r="I7" s="484">
        <f t="shared" si="3"/>
        <v>3264.0000000000005</v>
      </c>
      <c r="L7" s="265"/>
    </row>
    <row r="8" spans="1:16" x14ac:dyDescent="0.25">
      <c r="D8" s="481">
        <v>4</v>
      </c>
      <c r="E8" s="482">
        <f t="shared" si="0"/>
        <v>14</v>
      </c>
      <c r="F8" s="482">
        <f t="shared" si="1"/>
        <v>10</v>
      </c>
      <c r="G8" s="483">
        <f t="shared" si="2"/>
        <v>0.13333333333333333</v>
      </c>
      <c r="H8" s="481">
        <f>12000*0.68</f>
        <v>8160.0000000000009</v>
      </c>
      <c r="I8" s="484">
        <f t="shared" si="3"/>
        <v>2040.0000000000002</v>
      </c>
    </row>
    <row r="9" spans="1:16" x14ac:dyDescent="0.25">
      <c r="D9" s="481">
        <v>3</v>
      </c>
      <c r="E9" s="482">
        <f t="shared" si="0"/>
        <v>10.5</v>
      </c>
      <c r="F9" s="482">
        <f t="shared" si="1"/>
        <v>7.5</v>
      </c>
      <c r="G9" s="483">
        <f t="shared" si="2"/>
        <v>0.1</v>
      </c>
      <c r="H9" s="481">
        <f>6000*0.68</f>
        <v>4080.0000000000005</v>
      </c>
      <c r="I9" s="484">
        <f t="shared" si="3"/>
        <v>1360.0000000000002</v>
      </c>
    </row>
    <row r="10" spans="1:16" x14ac:dyDescent="0.25">
      <c r="D10" s="481">
        <v>2</v>
      </c>
      <c r="E10" s="482">
        <f t="shared" si="0"/>
        <v>7</v>
      </c>
      <c r="F10" s="482">
        <f t="shared" si="1"/>
        <v>5</v>
      </c>
      <c r="G10" s="483">
        <f t="shared" si="2"/>
        <v>6.6666666666666666E-2</v>
      </c>
      <c r="H10" s="481">
        <f>3000*0.68</f>
        <v>2040.0000000000002</v>
      </c>
      <c r="I10" s="484">
        <f t="shared" si="3"/>
        <v>1020.0000000000001</v>
      </c>
    </row>
    <row r="11" spans="1:16" x14ac:dyDescent="0.25">
      <c r="D11" s="481">
        <v>1</v>
      </c>
      <c r="E11" s="482">
        <f t="shared" si="0"/>
        <v>3.5</v>
      </c>
      <c r="F11" s="482">
        <f t="shared" si="1"/>
        <v>2.5</v>
      </c>
      <c r="G11" s="483">
        <f t="shared" si="2"/>
        <v>3.3333333333333333E-2</v>
      </c>
      <c r="H11" s="481">
        <f>1500*0.68</f>
        <v>1020.0000000000001</v>
      </c>
      <c r="I11" s="484">
        <f t="shared" si="3"/>
        <v>1020.0000000000001</v>
      </c>
    </row>
  </sheetData>
  <sortState ref="D2:I11">
    <sortCondition descending="1" ref="D2:D1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8"/>
  <sheetViews>
    <sheetView workbookViewId="0">
      <selection activeCell="L10" sqref="L10"/>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79" bestFit="1" customWidth="1"/>
    <col min="23" max="24" width="5.5703125" bestFit="1" customWidth="1"/>
    <col min="25" max="26" width="4.5703125" bestFit="1" customWidth="1"/>
  </cols>
  <sheetData>
    <row r="1" spans="1:26" x14ac:dyDescent="0.25">
      <c r="A1" s="290">
        <v>41900</v>
      </c>
      <c r="E1" s="350" t="s">
        <v>515</v>
      </c>
      <c r="F1" s="351" t="s">
        <v>516</v>
      </c>
      <c r="G1" s="10"/>
      <c r="H1" s="10"/>
      <c r="I1" s="352" t="s">
        <v>515</v>
      </c>
      <c r="J1" s="353" t="s">
        <v>516</v>
      </c>
      <c r="K1" s="9"/>
      <c r="P1" s="350" t="s">
        <v>515</v>
      </c>
      <c r="Q1" s="351" t="s">
        <v>516</v>
      </c>
      <c r="R1" s="350"/>
      <c r="S1" s="351"/>
      <c r="W1" s="350" t="s">
        <v>515</v>
      </c>
      <c r="X1" s="351" t="s">
        <v>516</v>
      </c>
      <c r="Y1" s="350"/>
      <c r="Z1" s="351"/>
    </row>
    <row r="2" spans="1:26" x14ac:dyDescent="0.25">
      <c r="A2" s="349" t="s">
        <v>179</v>
      </c>
      <c r="B2" s="349" t="s">
        <v>517</v>
      </c>
      <c r="C2" s="349" t="s">
        <v>518</v>
      </c>
      <c r="D2" s="349" t="s">
        <v>187</v>
      </c>
      <c r="E2" s="350" t="s">
        <v>175</v>
      </c>
      <c r="F2" s="351" t="s">
        <v>175</v>
      </c>
      <c r="G2" s="10" t="s">
        <v>183</v>
      </c>
      <c r="H2" s="10" t="s">
        <v>183</v>
      </c>
      <c r="I2" s="352" t="s">
        <v>519</v>
      </c>
      <c r="J2" s="353" t="s">
        <v>519</v>
      </c>
      <c r="K2" s="9"/>
      <c r="P2" s="350" t="s">
        <v>175</v>
      </c>
      <c r="Q2" s="351" t="s">
        <v>175</v>
      </c>
      <c r="R2" s="350" t="s">
        <v>183</v>
      </c>
      <c r="S2" s="351" t="s">
        <v>183</v>
      </c>
      <c r="W2" s="350" t="s">
        <v>175</v>
      </c>
      <c r="X2" s="351" t="s">
        <v>175</v>
      </c>
      <c r="Y2" s="350" t="s">
        <v>183</v>
      </c>
      <c r="Z2" s="351" t="s">
        <v>183</v>
      </c>
    </row>
    <row r="3" spans="1:26" x14ac:dyDescent="0.25">
      <c r="A3" s="359" t="str">
        <f>PLANTILLA!D5</f>
        <v>D. Gehmacher</v>
      </c>
      <c r="B3" s="165">
        <f>PLANTILLA!E5</f>
        <v>33</v>
      </c>
      <c r="C3" s="165">
        <f>PLANTILLA!H5</f>
        <v>6</v>
      </c>
      <c r="D3" s="361">
        <f>PLANTILLA!I5</f>
        <v>21.6</v>
      </c>
      <c r="E3" s="354">
        <f>D3</f>
        <v>21.6</v>
      </c>
      <c r="F3" s="354">
        <f>E3+0.1</f>
        <v>21.700000000000003</v>
      </c>
      <c r="G3" s="354">
        <f>C3</f>
        <v>6</v>
      </c>
      <c r="H3" s="354">
        <f t="shared" ref="H3" si="0">G3+0.99</f>
        <v>6.99</v>
      </c>
      <c r="I3" s="358">
        <f t="shared" ref="I3:J3" si="1">G3*G3*E3</f>
        <v>777.6</v>
      </c>
      <c r="J3" s="358">
        <f t="shared" si="1"/>
        <v>1060.2641700000001</v>
      </c>
      <c r="K3" s="355"/>
      <c r="N3" s="4" t="s">
        <v>519</v>
      </c>
      <c r="O3" t="str">
        <f>A3</f>
        <v>D. Gehmacher</v>
      </c>
      <c r="P3" s="356">
        <f>E3</f>
        <v>21.6</v>
      </c>
      <c r="Q3" s="356">
        <f t="shared" ref="Q3:S3" si="2">F3</f>
        <v>21.700000000000003</v>
      </c>
      <c r="R3" s="356">
        <f t="shared" si="2"/>
        <v>6</v>
      </c>
      <c r="S3" s="356">
        <f t="shared" si="2"/>
        <v>6.99</v>
      </c>
      <c r="U3" s="4" t="s">
        <v>519</v>
      </c>
      <c r="V3" s="179" t="str">
        <f>O3</f>
        <v>D. Gehmacher</v>
      </c>
      <c r="W3" s="356">
        <f>P3</f>
        <v>21.6</v>
      </c>
      <c r="X3" s="356">
        <f t="shared" ref="X3:Z3" si="3">Q3</f>
        <v>21.700000000000003</v>
      </c>
      <c r="Y3" s="356">
        <f t="shared" si="3"/>
        <v>6</v>
      </c>
      <c r="Z3" s="356">
        <f t="shared" si="3"/>
        <v>6.99</v>
      </c>
    </row>
    <row r="4" spans="1:26" x14ac:dyDescent="0.25">
      <c r="A4" s="359" t="str">
        <f>PLANTILLA!D6</f>
        <v>T. Hammond</v>
      </c>
      <c r="B4" s="165">
        <f>PLANTILLA!E6</f>
        <v>37</v>
      </c>
      <c r="C4" s="165">
        <f>PLANTILLA!H6</f>
        <v>3</v>
      </c>
      <c r="D4" s="361">
        <f>PLANTILLA!I6</f>
        <v>8.3000000000000007</v>
      </c>
      <c r="E4" s="354">
        <f t="shared" ref="E4:E22" si="4">D4</f>
        <v>8.3000000000000007</v>
      </c>
      <c r="F4" s="354">
        <f t="shared" ref="F4:F22" si="5">E4+0.1</f>
        <v>8.4</v>
      </c>
      <c r="G4" s="354">
        <f t="shared" ref="G4:G22" si="6">C4</f>
        <v>3</v>
      </c>
      <c r="H4" s="354">
        <f t="shared" ref="H4:H22" si="7">G4+0.99</f>
        <v>3.99</v>
      </c>
      <c r="I4" s="358">
        <f t="shared" ref="I4:I22" si="8">G4*G4*E4</f>
        <v>74.7</v>
      </c>
      <c r="J4" s="358">
        <f t="shared" ref="J4:J22" si="9">H4*H4*F4</f>
        <v>133.72884000000002</v>
      </c>
      <c r="K4" s="355"/>
      <c r="O4" t="str">
        <f>A7</f>
        <v>E. Toney</v>
      </c>
      <c r="P4" s="356">
        <f>E7</f>
        <v>16</v>
      </c>
      <c r="Q4" s="356">
        <f t="shared" ref="Q4:S4" si="10">F7</f>
        <v>16.100000000000001</v>
      </c>
      <c r="R4" s="356">
        <f t="shared" si="10"/>
        <v>4</v>
      </c>
      <c r="S4" s="356">
        <f t="shared" si="10"/>
        <v>4.99</v>
      </c>
      <c r="V4" s="179" t="str">
        <f t="shared" ref="V4:V13" si="11">O4</f>
        <v>E. Toney</v>
      </c>
      <c r="W4" s="356">
        <f t="shared" ref="W4:W13" si="12">P4</f>
        <v>16</v>
      </c>
      <c r="X4" s="356">
        <f t="shared" ref="X4:X13" si="13">Q4</f>
        <v>16.100000000000001</v>
      </c>
      <c r="Y4" s="356">
        <f t="shared" ref="Y4:Y13" si="14">R4</f>
        <v>4</v>
      </c>
      <c r="Z4" s="356">
        <f t="shared" ref="Z4:Z13" si="15">S4</f>
        <v>4.99</v>
      </c>
    </row>
    <row r="5" spans="1:26" x14ac:dyDescent="0.25">
      <c r="A5" s="359" t="str">
        <f>PLANTILLA!D7</f>
        <v>B. Pinczehelyi</v>
      </c>
      <c r="B5" s="165">
        <f>PLANTILLA!E7</f>
        <v>33</v>
      </c>
      <c r="C5" s="165">
        <f>PLANTILLA!H7</f>
        <v>2</v>
      </c>
      <c r="D5" s="361">
        <f>PLANTILLA!I7</f>
        <v>17</v>
      </c>
      <c r="E5" s="354">
        <f t="shared" si="4"/>
        <v>17</v>
      </c>
      <c r="F5" s="354">
        <f t="shared" si="5"/>
        <v>17.100000000000001</v>
      </c>
      <c r="G5" s="354">
        <f t="shared" si="6"/>
        <v>2</v>
      </c>
      <c r="H5" s="354">
        <f t="shared" si="7"/>
        <v>2.99</v>
      </c>
      <c r="I5" s="358">
        <f t="shared" si="8"/>
        <v>68</v>
      </c>
      <c r="J5" s="358">
        <f t="shared" si="9"/>
        <v>152.87571000000003</v>
      </c>
      <c r="K5" s="355"/>
      <c r="L5" s="178"/>
      <c r="O5" t="str">
        <f>A15</f>
        <v>E. Gross</v>
      </c>
      <c r="P5" s="356">
        <f>E15</f>
        <v>12</v>
      </c>
      <c r="Q5" s="356">
        <f t="shared" ref="Q5:S5" si="16">F15</f>
        <v>12.1</v>
      </c>
      <c r="R5" s="356">
        <f t="shared" si="16"/>
        <v>3</v>
      </c>
      <c r="S5" s="356">
        <f t="shared" si="16"/>
        <v>3.99</v>
      </c>
      <c r="V5" s="179" t="str">
        <f t="shared" si="11"/>
        <v>E. Gross</v>
      </c>
      <c r="W5" s="356">
        <f t="shared" si="12"/>
        <v>12</v>
      </c>
      <c r="X5" s="356">
        <f t="shared" si="13"/>
        <v>12.1</v>
      </c>
      <c r="Y5" s="356">
        <f t="shared" si="14"/>
        <v>3</v>
      </c>
      <c r="Z5" s="356">
        <f t="shared" si="15"/>
        <v>3.99</v>
      </c>
    </row>
    <row r="6" spans="1:26" x14ac:dyDescent="0.25">
      <c r="A6" s="359" t="str">
        <f>PLANTILLA!D8</f>
        <v>D. Toh</v>
      </c>
      <c r="B6" s="165">
        <f>PLANTILLA!E8</f>
        <v>34</v>
      </c>
      <c r="C6" s="165">
        <f>PLANTILLA!H8</f>
        <v>4</v>
      </c>
      <c r="D6" s="361">
        <f>PLANTILLA!I8</f>
        <v>9</v>
      </c>
      <c r="E6" s="354">
        <f t="shared" si="4"/>
        <v>9</v>
      </c>
      <c r="F6" s="354">
        <f t="shared" si="5"/>
        <v>9.1</v>
      </c>
      <c r="G6" s="354">
        <f t="shared" si="6"/>
        <v>4</v>
      </c>
      <c r="H6" s="354">
        <f t="shared" si="7"/>
        <v>4.99</v>
      </c>
      <c r="I6" s="358">
        <f t="shared" si="8"/>
        <v>144</v>
      </c>
      <c r="J6" s="358">
        <f t="shared" si="9"/>
        <v>226.59091000000001</v>
      </c>
      <c r="K6" s="355"/>
      <c r="O6" t="str">
        <f>A5</f>
        <v>B. Pinczehelyi</v>
      </c>
      <c r="P6" s="356">
        <f>E5</f>
        <v>17</v>
      </c>
      <c r="Q6" s="356">
        <f t="shared" ref="Q6:S6" si="17">F5</f>
        <v>17.100000000000001</v>
      </c>
      <c r="R6" s="356">
        <f t="shared" si="17"/>
        <v>2</v>
      </c>
      <c r="S6" s="356">
        <f t="shared" si="17"/>
        <v>2.99</v>
      </c>
      <c r="V6" s="179" t="str">
        <f t="shared" si="11"/>
        <v>B. Pinczehelyi</v>
      </c>
      <c r="W6" s="356">
        <f t="shared" si="12"/>
        <v>17</v>
      </c>
      <c r="X6" s="356">
        <f t="shared" si="13"/>
        <v>17.100000000000001</v>
      </c>
      <c r="Y6" s="356">
        <f t="shared" si="14"/>
        <v>2</v>
      </c>
      <c r="Z6" s="356">
        <f t="shared" si="15"/>
        <v>2.99</v>
      </c>
    </row>
    <row r="7" spans="1:26" x14ac:dyDescent="0.25">
      <c r="A7" s="359" t="str">
        <f>PLANTILLA!D9</f>
        <v>E. Toney</v>
      </c>
      <c r="B7" s="165">
        <f>PLANTILLA!E9</f>
        <v>34</v>
      </c>
      <c r="C7" s="165">
        <f>PLANTILLA!H9</f>
        <v>4</v>
      </c>
      <c r="D7" s="361">
        <f>PLANTILLA!I9</f>
        <v>16</v>
      </c>
      <c r="E7" s="354">
        <f t="shared" si="4"/>
        <v>16</v>
      </c>
      <c r="F7" s="354">
        <f t="shared" si="5"/>
        <v>16.100000000000001</v>
      </c>
      <c r="G7" s="354">
        <f t="shared" si="6"/>
        <v>4</v>
      </c>
      <c r="H7" s="354">
        <f t="shared" si="7"/>
        <v>4.99</v>
      </c>
      <c r="I7" s="358">
        <f t="shared" si="8"/>
        <v>256</v>
      </c>
      <c r="J7" s="358">
        <f t="shared" si="9"/>
        <v>400.89161000000007</v>
      </c>
      <c r="K7" s="355"/>
      <c r="O7" t="str">
        <f>A10</f>
        <v>E. Romweber</v>
      </c>
      <c r="P7" s="356">
        <f>E10</f>
        <v>15</v>
      </c>
      <c r="Q7" s="356">
        <f t="shared" ref="Q7:S7" si="18">F10</f>
        <v>15.1</v>
      </c>
      <c r="R7" s="356">
        <f t="shared" si="18"/>
        <v>0</v>
      </c>
      <c r="S7" s="356">
        <f t="shared" si="18"/>
        <v>0.99</v>
      </c>
      <c r="V7" s="179" t="str">
        <f t="shared" si="11"/>
        <v>E. Romweber</v>
      </c>
      <c r="W7" s="356">
        <f t="shared" si="12"/>
        <v>15</v>
      </c>
      <c r="X7" s="356">
        <f t="shared" si="13"/>
        <v>15.1</v>
      </c>
      <c r="Y7" s="356">
        <f t="shared" si="14"/>
        <v>0</v>
      </c>
      <c r="Z7" s="356">
        <f t="shared" si="15"/>
        <v>0.99</v>
      </c>
    </row>
    <row r="8" spans="1:26" x14ac:dyDescent="0.25">
      <c r="A8" s="359" t="str">
        <f>PLANTILLA!D10</f>
        <v>B. Bartolache</v>
      </c>
      <c r="B8" s="165">
        <f>PLANTILLA!E10</f>
        <v>34</v>
      </c>
      <c r="C8" s="165">
        <f>PLANTILLA!H10</f>
        <v>3</v>
      </c>
      <c r="D8" s="361">
        <f>PLANTILLA!I10</f>
        <v>11</v>
      </c>
      <c r="E8" s="354">
        <f t="shared" si="4"/>
        <v>11</v>
      </c>
      <c r="F8" s="354">
        <f t="shared" si="5"/>
        <v>11.1</v>
      </c>
      <c r="G8" s="354">
        <f t="shared" si="6"/>
        <v>3</v>
      </c>
      <c r="H8" s="354">
        <f t="shared" si="7"/>
        <v>3.99</v>
      </c>
      <c r="I8" s="358">
        <f t="shared" si="8"/>
        <v>99</v>
      </c>
      <c r="J8" s="358">
        <f t="shared" si="9"/>
        <v>176.71311</v>
      </c>
      <c r="K8" s="355"/>
      <c r="O8" t="str">
        <f>A13</f>
        <v>S. Buschelman</v>
      </c>
      <c r="P8" s="356">
        <f>E13</f>
        <v>13</v>
      </c>
      <c r="Q8" s="356">
        <f t="shared" ref="Q8:S8" si="19">F13</f>
        <v>13.1</v>
      </c>
      <c r="R8" s="356">
        <f t="shared" si="19"/>
        <v>3</v>
      </c>
      <c r="S8" s="356">
        <f t="shared" si="19"/>
        <v>3.99</v>
      </c>
      <c r="V8" s="179" t="str">
        <f t="shared" si="11"/>
        <v>S. Buschelman</v>
      </c>
      <c r="W8" s="356">
        <f t="shared" si="12"/>
        <v>13</v>
      </c>
      <c r="X8" s="356">
        <f t="shared" si="13"/>
        <v>13.1</v>
      </c>
      <c r="Y8" s="356">
        <f t="shared" si="14"/>
        <v>3</v>
      </c>
      <c r="Z8" s="356">
        <f t="shared" si="15"/>
        <v>3.99</v>
      </c>
    </row>
    <row r="9" spans="1:26" x14ac:dyDescent="0.25">
      <c r="A9" s="359" t="str">
        <f>PLANTILLA!D11</f>
        <v>F. Lasprilla</v>
      </c>
      <c r="B9" s="165">
        <f>PLANTILLA!E11</f>
        <v>30</v>
      </c>
      <c r="C9" s="165">
        <f>PLANTILLA!H11</f>
        <v>4</v>
      </c>
      <c r="D9" s="361">
        <f>PLANTILLA!I11</f>
        <v>5.5</v>
      </c>
      <c r="E9" s="354">
        <f t="shared" si="4"/>
        <v>5.5</v>
      </c>
      <c r="F9" s="354">
        <f t="shared" si="5"/>
        <v>5.6</v>
      </c>
      <c r="G9" s="354">
        <f t="shared" si="6"/>
        <v>4</v>
      </c>
      <c r="H9" s="354">
        <f t="shared" si="7"/>
        <v>4.99</v>
      </c>
      <c r="I9" s="358">
        <f t="shared" si="8"/>
        <v>88</v>
      </c>
      <c r="J9" s="358">
        <f t="shared" si="9"/>
        <v>139.44056</v>
      </c>
      <c r="K9" s="355"/>
      <c r="O9" t="str">
        <f>A16</f>
        <v>L. Bauman</v>
      </c>
      <c r="P9" s="356">
        <f>E16</f>
        <v>10.3</v>
      </c>
      <c r="Q9" s="356">
        <f t="shared" ref="Q9:S9" si="20">F16</f>
        <v>10.4</v>
      </c>
      <c r="R9" s="356">
        <f t="shared" si="20"/>
        <v>0</v>
      </c>
      <c r="S9" s="356">
        <f t="shared" si="20"/>
        <v>0.99</v>
      </c>
      <c r="V9" s="179" t="str">
        <f t="shared" si="11"/>
        <v>L. Bauman</v>
      </c>
      <c r="W9" s="356">
        <f t="shared" si="12"/>
        <v>10.3</v>
      </c>
      <c r="X9" s="356">
        <f t="shared" si="13"/>
        <v>10.4</v>
      </c>
      <c r="Y9" s="356">
        <f t="shared" si="14"/>
        <v>0</v>
      </c>
      <c r="Z9" s="356">
        <f t="shared" si="15"/>
        <v>0.99</v>
      </c>
    </row>
    <row r="10" spans="1:26" x14ac:dyDescent="0.25">
      <c r="A10" s="359" t="str">
        <f>PLANTILLA!D12</f>
        <v>E. Romweber</v>
      </c>
      <c r="B10" s="165">
        <f>PLANTILLA!E12</f>
        <v>34</v>
      </c>
      <c r="C10" s="165">
        <f>PLANTILLA!H12</f>
        <v>0</v>
      </c>
      <c r="D10" s="361">
        <f>PLANTILLA!I12</f>
        <v>15</v>
      </c>
      <c r="E10" s="354">
        <f t="shared" si="4"/>
        <v>15</v>
      </c>
      <c r="F10" s="354">
        <f t="shared" si="5"/>
        <v>15.1</v>
      </c>
      <c r="G10" s="354">
        <f t="shared" si="6"/>
        <v>0</v>
      </c>
      <c r="H10" s="354">
        <f t="shared" si="7"/>
        <v>0.99</v>
      </c>
      <c r="I10" s="358">
        <f t="shared" si="8"/>
        <v>0</v>
      </c>
      <c r="J10" s="358">
        <f t="shared" si="9"/>
        <v>14.79951</v>
      </c>
      <c r="K10" s="355"/>
      <c r="O10" t="str">
        <f>A14</f>
        <v>C. Rojas</v>
      </c>
      <c r="P10" s="356">
        <f>E14</f>
        <v>13.2</v>
      </c>
      <c r="Q10" s="356">
        <f t="shared" ref="Q10:S10" si="21">F14</f>
        <v>13.299999999999999</v>
      </c>
      <c r="R10" s="356">
        <f t="shared" si="21"/>
        <v>4</v>
      </c>
      <c r="S10" s="356">
        <f t="shared" si="21"/>
        <v>4.99</v>
      </c>
      <c r="V10" s="179" t="str">
        <f t="shared" si="11"/>
        <v>C. Rojas</v>
      </c>
      <c r="W10" s="356">
        <f t="shared" si="12"/>
        <v>13.2</v>
      </c>
      <c r="X10" s="356">
        <f t="shared" si="13"/>
        <v>13.299999999999999</v>
      </c>
      <c r="Y10" s="356">
        <f t="shared" si="14"/>
        <v>4</v>
      </c>
      <c r="Z10" s="356">
        <f t="shared" si="15"/>
        <v>4.99</v>
      </c>
    </row>
    <row r="11" spans="1:26" x14ac:dyDescent="0.25">
      <c r="A11" s="359" t="str">
        <f>PLANTILLA!D13</f>
        <v>K. Helms</v>
      </c>
      <c r="B11" s="165">
        <f>PLANTILLA!E13</f>
        <v>33</v>
      </c>
      <c r="C11" s="165">
        <f>PLANTILLA!H13</f>
        <v>2</v>
      </c>
      <c r="D11" s="361">
        <f>PLANTILLA!I13</f>
        <v>12.1</v>
      </c>
      <c r="E11" s="354">
        <f t="shared" si="4"/>
        <v>12.1</v>
      </c>
      <c r="F11" s="354">
        <f t="shared" si="5"/>
        <v>12.2</v>
      </c>
      <c r="G11" s="354">
        <f t="shared" si="6"/>
        <v>2</v>
      </c>
      <c r="H11" s="354">
        <f t="shared" si="7"/>
        <v>2.99</v>
      </c>
      <c r="I11" s="358">
        <f t="shared" si="8"/>
        <v>48.4</v>
      </c>
      <c r="J11" s="358">
        <f t="shared" si="9"/>
        <v>109.06922</v>
      </c>
      <c r="K11" s="355"/>
      <c r="O11" t="str">
        <f>A11</f>
        <v>K. Helms</v>
      </c>
      <c r="P11" s="356">
        <f>E11</f>
        <v>12.1</v>
      </c>
      <c r="Q11" s="356">
        <f t="shared" ref="Q11:S11" si="22">F11</f>
        <v>12.2</v>
      </c>
      <c r="R11" s="356">
        <f t="shared" si="22"/>
        <v>2</v>
      </c>
      <c r="S11" s="356">
        <f t="shared" si="22"/>
        <v>2.99</v>
      </c>
      <c r="V11" s="179" t="str">
        <f t="shared" si="11"/>
        <v>K. Helms</v>
      </c>
      <c r="W11" s="356">
        <f t="shared" si="12"/>
        <v>12.1</v>
      </c>
      <c r="X11" s="356">
        <f t="shared" si="13"/>
        <v>12.2</v>
      </c>
      <c r="Y11" s="356">
        <f t="shared" si="14"/>
        <v>2</v>
      </c>
      <c r="Z11" s="356">
        <f t="shared" si="15"/>
        <v>2.99</v>
      </c>
    </row>
    <row r="12" spans="1:26" x14ac:dyDescent="0.25">
      <c r="A12" s="359" t="str">
        <f>PLANTILLA!D14</f>
        <v>S. Zobbe</v>
      </c>
      <c r="B12" s="165">
        <f>PLANTILLA!E14</f>
        <v>30</v>
      </c>
      <c r="C12" s="165">
        <f>PLANTILLA!H14</f>
        <v>2</v>
      </c>
      <c r="D12" s="361">
        <f>PLANTILLA!I14</f>
        <v>11.4</v>
      </c>
      <c r="E12" s="354">
        <f t="shared" si="4"/>
        <v>11.4</v>
      </c>
      <c r="F12" s="354">
        <f t="shared" si="5"/>
        <v>11.5</v>
      </c>
      <c r="G12" s="354">
        <f t="shared" si="6"/>
        <v>2</v>
      </c>
      <c r="H12" s="354">
        <f t="shared" si="7"/>
        <v>2.99</v>
      </c>
      <c r="I12" s="358">
        <f t="shared" si="8"/>
        <v>45.6</v>
      </c>
      <c r="J12" s="358">
        <f t="shared" si="9"/>
        <v>102.81115000000001</v>
      </c>
      <c r="K12" s="355"/>
      <c r="O12" t="str">
        <f>A21</f>
        <v>L. Calosso</v>
      </c>
      <c r="P12" s="356">
        <f>E21</f>
        <v>13.3</v>
      </c>
      <c r="Q12" s="356">
        <f t="shared" ref="Q12:S12" si="23">F21</f>
        <v>13.4</v>
      </c>
      <c r="R12" s="356">
        <f t="shared" si="23"/>
        <v>3</v>
      </c>
      <c r="S12" s="356">
        <f t="shared" si="23"/>
        <v>3.99</v>
      </c>
      <c r="V12" s="179" t="str">
        <f t="shared" si="11"/>
        <v>L. Calosso</v>
      </c>
      <c r="W12" s="356">
        <f t="shared" si="12"/>
        <v>13.3</v>
      </c>
      <c r="X12" s="356">
        <f t="shared" si="13"/>
        <v>13.4</v>
      </c>
      <c r="Y12" s="356">
        <f t="shared" si="14"/>
        <v>3</v>
      </c>
      <c r="Z12" s="356">
        <f t="shared" si="15"/>
        <v>3.99</v>
      </c>
    </row>
    <row r="13" spans="1:26" x14ac:dyDescent="0.25">
      <c r="A13" s="359" t="str">
        <f>PLANTILLA!D15</f>
        <v>S. Buschelman</v>
      </c>
      <c r="B13" s="165">
        <f>PLANTILLA!E15</f>
        <v>32</v>
      </c>
      <c r="C13" s="165">
        <f>PLANTILLA!H15</f>
        <v>3</v>
      </c>
      <c r="D13" s="361">
        <f>PLANTILLA!I15</f>
        <v>13</v>
      </c>
      <c r="E13" s="354">
        <f t="shared" si="4"/>
        <v>13</v>
      </c>
      <c r="F13" s="354">
        <f t="shared" si="5"/>
        <v>13.1</v>
      </c>
      <c r="G13" s="354">
        <f t="shared" si="6"/>
        <v>3</v>
      </c>
      <c r="H13" s="354">
        <f t="shared" si="7"/>
        <v>3.99</v>
      </c>
      <c r="I13" s="358">
        <f t="shared" si="8"/>
        <v>117</v>
      </c>
      <c r="J13" s="358">
        <f t="shared" si="9"/>
        <v>208.55331000000001</v>
      </c>
      <c r="K13" s="355"/>
      <c r="O13" t="str">
        <f>A20</f>
        <v>J. Limon</v>
      </c>
      <c r="P13" s="356">
        <f>E20</f>
        <v>13</v>
      </c>
      <c r="Q13" s="356">
        <f t="shared" ref="Q13:S13" si="24">F20</f>
        <v>13.1</v>
      </c>
      <c r="R13" s="356">
        <f t="shared" si="24"/>
        <v>3</v>
      </c>
      <c r="S13" s="356">
        <f t="shared" si="24"/>
        <v>3.99</v>
      </c>
      <c r="V13" s="179" t="str">
        <f t="shared" si="11"/>
        <v>J. Limon</v>
      </c>
      <c r="W13" s="356">
        <f t="shared" si="12"/>
        <v>13</v>
      </c>
      <c r="X13" s="356">
        <f t="shared" si="13"/>
        <v>13.1</v>
      </c>
      <c r="Y13" s="356">
        <f t="shared" si="14"/>
        <v>3</v>
      </c>
      <c r="Z13" s="356">
        <f t="shared" si="15"/>
        <v>3.99</v>
      </c>
    </row>
    <row r="14" spans="1:26" x14ac:dyDescent="0.25">
      <c r="A14" s="359" t="str">
        <f>PLANTILLA!D16</f>
        <v>C. Rojas</v>
      </c>
      <c r="B14" s="165">
        <f>PLANTILLA!E16</f>
        <v>35</v>
      </c>
      <c r="C14" s="165">
        <f>PLANTILLA!H16</f>
        <v>4</v>
      </c>
      <c r="D14" s="361">
        <f>PLANTILLA!I16</f>
        <v>13.2</v>
      </c>
      <c r="E14" s="354">
        <f t="shared" si="4"/>
        <v>13.2</v>
      </c>
      <c r="F14" s="354">
        <f t="shared" si="5"/>
        <v>13.299999999999999</v>
      </c>
      <c r="G14" s="354">
        <f t="shared" si="6"/>
        <v>4</v>
      </c>
      <c r="H14" s="354">
        <f t="shared" si="7"/>
        <v>4.99</v>
      </c>
      <c r="I14" s="358">
        <f t="shared" si="8"/>
        <v>211.2</v>
      </c>
      <c r="J14" s="358">
        <f t="shared" si="9"/>
        <v>331.17133000000001</v>
      </c>
      <c r="K14" s="355"/>
      <c r="P14" s="159">
        <f>SUM(P4:P13)/10</f>
        <v>13.489999999999998</v>
      </c>
      <c r="Q14" s="159">
        <f>SUM(Q4:Q13)/10</f>
        <v>13.59</v>
      </c>
      <c r="R14" s="159"/>
      <c r="S14" s="159"/>
      <c r="W14" s="159">
        <f>SUM(W4:W13)/10</f>
        <v>13.489999999999998</v>
      </c>
      <c r="X14" s="159">
        <f>SUM(X4:X13)/10</f>
        <v>13.59</v>
      </c>
      <c r="Y14" s="159"/>
      <c r="Z14" s="159"/>
    </row>
    <row r="15" spans="1:26" x14ac:dyDescent="0.25">
      <c r="A15" s="359" t="str">
        <f>PLANTILLA!D17</f>
        <v>E. Gross</v>
      </c>
      <c r="B15" s="165">
        <f>PLANTILLA!E17</f>
        <v>33</v>
      </c>
      <c r="C15" s="165">
        <f>PLANTILLA!H17</f>
        <v>3</v>
      </c>
      <c r="D15" s="361">
        <f>PLANTILLA!I17</f>
        <v>12</v>
      </c>
      <c r="E15" s="354">
        <f t="shared" si="4"/>
        <v>12</v>
      </c>
      <c r="F15" s="354">
        <f t="shared" si="5"/>
        <v>12.1</v>
      </c>
      <c r="G15" s="354">
        <f t="shared" si="6"/>
        <v>3</v>
      </c>
      <c r="H15" s="354">
        <f t="shared" si="7"/>
        <v>3.99</v>
      </c>
      <c r="I15" s="358">
        <f t="shared" si="8"/>
        <v>108</v>
      </c>
      <c r="J15" s="358">
        <f t="shared" si="9"/>
        <v>192.63321000000002</v>
      </c>
      <c r="K15" s="355"/>
    </row>
    <row r="16" spans="1:26" x14ac:dyDescent="0.25">
      <c r="A16" s="359" t="str">
        <f>PLANTILLA!D18</f>
        <v>L. Bauman</v>
      </c>
      <c r="B16" s="165">
        <f>PLANTILLA!E18</f>
        <v>33</v>
      </c>
      <c r="C16" s="165">
        <f>PLANTILLA!H18</f>
        <v>0</v>
      </c>
      <c r="D16" s="361">
        <f>PLANTILLA!I18</f>
        <v>10.3</v>
      </c>
      <c r="E16" s="354">
        <f t="shared" si="4"/>
        <v>10.3</v>
      </c>
      <c r="F16" s="354">
        <f t="shared" si="5"/>
        <v>10.4</v>
      </c>
      <c r="G16" s="354">
        <f t="shared" si="6"/>
        <v>0</v>
      </c>
      <c r="H16" s="354">
        <f t="shared" si="7"/>
        <v>0.99</v>
      </c>
      <c r="I16" s="358">
        <f t="shared" si="8"/>
        <v>0</v>
      </c>
      <c r="J16" s="358">
        <f t="shared" si="9"/>
        <v>10.19304</v>
      </c>
      <c r="K16" s="355"/>
      <c r="L16" s="184" t="s">
        <v>520</v>
      </c>
      <c r="O16" t="s">
        <v>521</v>
      </c>
      <c r="P16" s="265">
        <f>SUM(P3:P13)</f>
        <v>156.5</v>
      </c>
      <c r="Q16" s="265">
        <f>SUM(Q3:Q13)</f>
        <v>157.6</v>
      </c>
      <c r="R16" s="265"/>
      <c r="V16" s="179" t="s">
        <v>521</v>
      </c>
      <c r="W16" s="265">
        <f>SUM(W3:W13)</f>
        <v>156.5</v>
      </c>
      <c r="X16" s="265">
        <f>SUM(X3:X13)</f>
        <v>157.6</v>
      </c>
      <c r="Y16" s="265"/>
    </row>
    <row r="17" spans="1:25" x14ac:dyDescent="0.25">
      <c r="A17" s="359" t="str">
        <f>PLANTILLA!D19</f>
        <v>W. Gelifini</v>
      </c>
      <c r="B17" s="165">
        <f>PLANTILLA!E19</f>
        <v>32</v>
      </c>
      <c r="C17" s="165">
        <f>PLANTILLA!H19</f>
        <v>2</v>
      </c>
      <c r="D17" s="361">
        <f>PLANTILLA!I19</f>
        <v>4.5</v>
      </c>
      <c r="E17" s="354">
        <f t="shared" si="4"/>
        <v>4.5</v>
      </c>
      <c r="F17" s="354">
        <f t="shared" si="5"/>
        <v>4.5999999999999996</v>
      </c>
      <c r="G17" s="354">
        <f t="shared" si="6"/>
        <v>2</v>
      </c>
      <c r="H17" s="354">
        <f t="shared" si="7"/>
        <v>2.99</v>
      </c>
      <c r="I17" s="358">
        <f t="shared" si="8"/>
        <v>18</v>
      </c>
      <c r="J17" s="358">
        <f t="shared" si="9"/>
        <v>41.124459999999999</v>
      </c>
      <c r="K17" s="355"/>
      <c r="O17" s="318" t="s">
        <v>870</v>
      </c>
      <c r="P17" s="159">
        <f>P16/16.5</f>
        <v>9.4848484848484844</v>
      </c>
      <c r="Q17" s="159">
        <f>Q16/16.5</f>
        <v>9.5515151515151508</v>
      </c>
      <c r="R17" s="159"/>
      <c r="V17" s="179" t="s">
        <v>522</v>
      </c>
      <c r="W17" s="159">
        <f>W16/17</f>
        <v>9.2058823529411757</v>
      </c>
      <c r="X17" s="159">
        <f>X16/17</f>
        <v>9.2705882352941167</v>
      </c>
      <c r="Y17" s="159"/>
    </row>
    <row r="18" spans="1:25" x14ac:dyDescent="0.25">
      <c r="A18" s="359" t="e">
        <f>PLANTILLA!#REF!</f>
        <v>#REF!</v>
      </c>
      <c r="B18" s="165" t="e">
        <f>PLANTILLA!#REF!</f>
        <v>#REF!</v>
      </c>
      <c r="C18" s="165" t="e">
        <f>PLANTILLA!#REF!</f>
        <v>#REF!</v>
      </c>
      <c r="D18" s="361" t="e">
        <f>PLANTILLA!#REF!</f>
        <v>#REF!</v>
      </c>
      <c r="E18" s="354" t="e">
        <f t="shared" ref="E18" si="25">D18</f>
        <v>#REF!</v>
      </c>
      <c r="F18" s="354" t="e">
        <f t="shared" ref="F18" si="26">E18+0.1</f>
        <v>#REF!</v>
      </c>
      <c r="G18" s="354" t="e">
        <f t="shared" ref="G18" si="27">C18</f>
        <v>#REF!</v>
      </c>
      <c r="H18" s="354" t="e">
        <f t="shared" ref="H18" si="28">G18+0.99</f>
        <v>#REF!</v>
      </c>
      <c r="I18" s="358" t="e">
        <f t="shared" ref="I18" si="29">G18*G18*E18</f>
        <v>#REF!</v>
      </c>
      <c r="J18" s="358" t="e">
        <f t="shared" ref="J18" si="30">H18*H18*F18</f>
        <v>#REF!</v>
      </c>
      <c r="K18" s="355"/>
      <c r="L18" s="184" t="s">
        <v>523</v>
      </c>
      <c r="O18" s="246" t="s">
        <v>524</v>
      </c>
      <c r="P18" s="265">
        <f>R3^2</f>
        <v>36</v>
      </c>
      <c r="Q18" s="265">
        <f>S3^2</f>
        <v>48.860100000000003</v>
      </c>
      <c r="R18" s="265"/>
      <c r="V18" s="179" t="s">
        <v>524</v>
      </c>
      <c r="W18" s="265">
        <f>Y3^2</f>
        <v>36</v>
      </c>
      <c r="X18" s="265">
        <f>Z3^2</f>
        <v>48.860100000000003</v>
      </c>
      <c r="Y18" s="265"/>
    </row>
    <row r="19" spans="1:25" x14ac:dyDescent="0.25">
      <c r="A19" s="359" t="str">
        <f>PLANTILLA!D20</f>
        <v>G. Kerschl</v>
      </c>
      <c r="B19" s="165">
        <f>PLANTILLA!E20</f>
        <v>31</v>
      </c>
      <c r="C19" s="165">
        <f>PLANTILLA!H20</f>
        <v>1</v>
      </c>
      <c r="D19" s="361">
        <f>PLANTILLA!I20</f>
        <v>11.5</v>
      </c>
      <c r="E19" s="354">
        <f t="shared" ref="E19" si="31">D19</f>
        <v>11.5</v>
      </c>
      <c r="F19" s="354">
        <f t="shared" ref="F19" si="32">E19+0.1</f>
        <v>11.6</v>
      </c>
      <c r="G19" s="354">
        <f t="shared" ref="G19" si="33">C19</f>
        <v>1</v>
      </c>
      <c r="H19" s="354">
        <f t="shared" ref="H19" si="34">G19+0.99</f>
        <v>1.99</v>
      </c>
      <c r="I19" s="358">
        <f t="shared" ref="I19" si="35">G19*G19*E19</f>
        <v>11.5</v>
      </c>
      <c r="J19" s="358">
        <f t="shared" ref="J19" si="36">H19*H19*F19</f>
        <v>45.937159999999999</v>
      </c>
      <c r="K19" s="355"/>
      <c r="L19" s="184" t="s">
        <v>525</v>
      </c>
      <c r="O19" s="246" t="s">
        <v>526</v>
      </c>
      <c r="P19" s="265">
        <f>P18*P3</f>
        <v>777.6</v>
      </c>
      <c r="Q19" s="265">
        <f>Q18*Q3</f>
        <v>1060.2641700000001</v>
      </c>
      <c r="R19" s="265"/>
      <c r="V19" s="179" t="s">
        <v>526</v>
      </c>
      <c r="W19" s="265">
        <f>W18*W3</f>
        <v>777.6</v>
      </c>
      <c r="X19" s="265">
        <f>X18*X3</f>
        <v>1060.2641700000001</v>
      </c>
      <c r="Y19" s="265"/>
    </row>
    <row r="20" spans="1:25" x14ac:dyDescent="0.25">
      <c r="A20" s="359" t="str">
        <f>PLANTILLA!D21</f>
        <v>J. Limon</v>
      </c>
      <c r="B20" s="165">
        <f>PLANTILLA!E21</f>
        <v>33</v>
      </c>
      <c r="C20" s="165">
        <f>PLANTILLA!H21</f>
        <v>3</v>
      </c>
      <c r="D20" s="361">
        <f>PLANTILLA!I21</f>
        <v>13</v>
      </c>
      <c r="E20" s="354">
        <f t="shared" si="4"/>
        <v>13</v>
      </c>
      <c r="F20" s="354">
        <f t="shared" si="5"/>
        <v>13.1</v>
      </c>
      <c r="G20" s="354">
        <f t="shared" si="6"/>
        <v>3</v>
      </c>
      <c r="H20" s="354">
        <f t="shared" si="7"/>
        <v>3.99</v>
      </c>
      <c r="I20" s="358">
        <f t="shared" si="8"/>
        <v>117</v>
      </c>
      <c r="J20" s="358">
        <f t="shared" si="9"/>
        <v>208.55331000000001</v>
      </c>
      <c r="K20" s="355"/>
      <c r="L20" s="184" t="s">
        <v>527</v>
      </c>
      <c r="O20" s="318" t="s">
        <v>871</v>
      </c>
      <c r="P20" s="159">
        <f>(P19^(2/3))/27</f>
        <v>3.131894112935091</v>
      </c>
      <c r="Q20" s="159">
        <f>(Q19^(2/3))/27</f>
        <v>3.8510482450710373</v>
      </c>
      <c r="R20" s="159"/>
      <c r="V20" s="179" t="s">
        <v>528</v>
      </c>
      <c r="W20" s="159">
        <f>(W19^(2/3))/30</f>
        <v>2.8187047016415816</v>
      </c>
      <c r="X20" s="159">
        <f>(X19^(2/3))/30</f>
        <v>3.4659434205639332</v>
      </c>
      <c r="Y20" s="159"/>
    </row>
    <row r="21" spans="1:25" x14ac:dyDescent="0.25">
      <c r="A21" s="359" t="str">
        <f>PLANTILLA!D22</f>
        <v>L. Calosso</v>
      </c>
      <c r="B21" s="165">
        <f>PLANTILLA!E22</f>
        <v>33</v>
      </c>
      <c r="C21" s="165">
        <f>PLANTILLA!H22</f>
        <v>3</v>
      </c>
      <c r="D21" s="361">
        <f>PLANTILLA!I22</f>
        <v>13.3</v>
      </c>
      <c r="E21" s="354">
        <f t="shared" si="4"/>
        <v>13.3</v>
      </c>
      <c r="F21" s="354">
        <f t="shared" si="5"/>
        <v>13.4</v>
      </c>
      <c r="G21" s="354">
        <f t="shared" si="6"/>
        <v>3</v>
      </c>
      <c r="H21" s="354">
        <f t="shared" si="7"/>
        <v>3.99</v>
      </c>
      <c r="I21" s="358">
        <f t="shared" si="8"/>
        <v>119.7</v>
      </c>
      <c r="J21" s="358">
        <f t="shared" si="9"/>
        <v>213.32934000000003</v>
      </c>
      <c r="K21" s="355"/>
      <c r="L21" s="184" t="s">
        <v>529</v>
      </c>
      <c r="O21" s="179" t="s">
        <v>530</v>
      </c>
      <c r="P21" s="671">
        <f>P17+P20</f>
        <v>12.616742597783576</v>
      </c>
      <c r="Q21" s="671">
        <f>Q17+Q20</f>
        <v>13.402563396586189</v>
      </c>
      <c r="V21" s="179" t="s">
        <v>530</v>
      </c>
      <c r="W21" s="671">
        <f>W17+W20</f>
        <v>12.024587054582756</v>
      </c>
      <c r="X21" s="671">
        <f>X17+X20</f>
        <v>12.73653165585805</v>
      </c>
    </row>
    <row r="22" spans="1:25" x14ac:dyDescent="0.25">
      <c r="A22" s="359" t="str">
        <f>PLANTILLA!D23</f>
        <v>P .Trivadi</v>
      </c>
      <c r="B22" s="165">
        <f>PLANTILLA!E23</f>
        <v>30</v>
      </c>
      <c r="C22" s="165">
        <f>PLANTILLA!H23</f>
        <v>5</v>
      </c>
      <c r="D22" s="361">
        <f>PLANTILLA!I23</f>
        <v>6.1</v>
      </c>
      <c r="E22" s="354">
        <f t="shared" si="4"/>
        <v>6.1</v>
      </c>
      <c r="F22" s="354">
        <f t="shared" si="5"/>
        <v>6.1999999999999993</v>
      </c>
      <c r="G22" s="354">
        <f t="shared" si="6"/>
        <v>5</v>
      </c>
      <c r="H22" s="354">
        <f t="shared" si="7"/>
        <v>5.99</v>
      </c>
      <c r="I22" s="358">
        <f t="shared" si="8"/>
        <v>152.5</v>
      </c>
      <c r="J22" s="358">
        <f t="shared" si="9"/>
        <v>222.45662000000002</v>
      </c>
      <c r="K22" s="355"/>
      <c r="L22" t="s">
        <v>531</v>
      </c>
    </row>
    <row r="23" spans="1:25" x14ac:dyDescent="0.25">
      <c r="A23" s="359"/>
      <c r="B23" s="165"/>
      <c r="C23" s="165"/>
      <c r="D23" s="361"/>
      <c r="E23" s="354"/>
      <c r="F23" s="354"/>
      <c r="G23" s="354"/>
      <c r="H23" s="354"/>
      <c r="I23" s="358"/>
      <c r="J23" s="358"/>
      <c r="K23" s="355"/>
      <c r="O23" s="290">
        <v>42576</v>
      </c>
      <c r="P23">
        <v>6.76</v>
      </c>
      <c r="Q23">
        <v>6.99</v>
      </c>
      <c r="R23" t="s">
        <v>829</v>
      </c>
      <c r="W23" s="159"/>
    </row>
    <row r="24" spans="1:25" x14ac:dyDescent="0.25">
      <c r="A24" s="359"/>
      <c r="B24" s="165"/>
      <c r="C24" s="165"/>
      <c r="D24" s="361"/>
      <c r="E24" s="354"/>
      <c r="F24" s="354"/>
      <c r="G24" s="354"/>
      <c r="H24" s="354"/>
      <c r="I24" s="358"/>
      <c r="J24" s="358"/>
    </row>
    <row r="25" spans="1:25" x14ac:dyDescent="0.25">
      <c r="A25" s="359"/>
      <c r="B25" s="165"/>
      <c r="C25" s="165"/>
      <c r="D25" s="361"/>
      <c r="V25"/>
    </row>
    <row r="26" spans="1:25" x14ac:dyDescent="0.25">
      <c r="A26" s="359"/>
      <c r="B26" s="165"/>
      <c r="C26" s="165"/>
      <c r="D26" s="361"/>
      <c r="V26"/>
    </row>
    <row r="27" spans="1:25" x14ac:dyDescent="0.25">
      <c r="A27" s="359"/>
      <c r="B27" s="165"/>
      <c r="C27" s="165"/>
      <c r="D27" s="361"/>
      <c r="V27"/>
    </row>
    <row r="28" spans="1:25" x14ac:dyDescent="0.25">
      <c r="A28" s="359"/>
      <c r="B28" s="165"/>
      <c r="C28" s="165"/>
      <c r="D28" s="361"/>
    </row>
  </sheetData>
  <conditionalFormatting sqref="I3:J24">
    <cfRule type="cellIs" dxfId="365" priority="1" operator="between">
      <formula>70</formula>
      <formula>100</formula>
    </cfRule>
    <cfRule type="cellIs" dxfId="364"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45"/>
  <sheetViews>
    <sheetView workbookViewId="0">
      <selection activeCell="N17" sqref="N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17" bestFit="1" customWidth="1"/>
    <col min="14" max="14" width="21.5703125" style="417" bestFit="1" customWidth="1"/>
    <col min="15" max="15" width="14" style="466" bestFit="1" customWidth="1"/>
    <col min="16" max="16" width="13" style="417" bestFit="1" customWidth="1"/>
    <col min="17" max="17" width="10.42578125" style="417" bestFit="1" customWidth="1"/>
    <col min="18" max="18" width="10.28515625" style="417" bestFit="1" customWidth="1"/>
    <col min="19" max="19" width="21" style="417" bestFit="1" customWidth="1"/>
    <col min="20" max="20" width="12" style="417" bestFit="1" customWidth="1"/>
    <col min="21" max="21" width="16.85546875" style="417" bestFit="1" customWidth="1"/>
    <col min="22" max="22" width="16.7109375" bestFit="1" customWidth="1"/>
  </cols>
  <sheetData>
    <row r="1" spans="1:22" x14ac:dyDescent="0.25">
      <c r="A1" s="299" t="s">
        <v>413</v>
      </c>
      <c r="B1" s="299" t="s">
        <v>276</v>
      </c>
      <c r="C1" s="300" t="s">
        <v>455</v>
      </c>
      <c r="D1" s="301" t="s">
        <v>179</v>
      </c>
      <c r="E1" s="299" t="s">
        <v>180</v>
      </c>
      <c r="F1" s="299" t="s">
        <v>182</v>
      </c>
      <c r="G1" s="299" t="s">
        <v>183</v>
      </c>
      <c r="H1" s="299" t="s">
        <v>175</v>
      </c>
      <c r="I1" s="302" t="s">
        <v>291</v>
      </c>
      <c r="J1" s="302" t="s">
        <v>292</v>
      </c>
      <c r="K1" s="299" t="s">
        <v>181</v>
      </c>
      <c r="L1" s="299" t="s">
        <v>209</v>
      </c>
      <c r="M1" s="418" t="s">
        <v>594</v>
      </c>
      <c r="N1" s="418" t="s">
        <v>595</v>
      </c>
      <c r="O1" s="418" t="s">
        <v>662</v>
      </c>
      <c r="P1" s="418" t="s">
        <v>592</v>
      </c>
      <c r="Q1" s="418" t="s">
        <v>598</v>
      </c>
      <c r="R1" s="418" t="s">
        <v>599</v>
      </c>
      <c r="S1" s="418" t="s">
        <v>593</v>
      </c>
      <c r="T1" s="418" t="s">
        <v>537</v>
      </c>
      <c r="U1" s="418" t="s">
        <v>596</v>
      </c>
      <c r="V1" s="418" t="s">
        <v>597</v>
      </c>
    </row>
    <row r="2" spans="1:22" x14ac:dyDescent="0.25">
      <c r="A2" s="298"/>
      <c r="B2" s="298" t="s">
        <v>435</v>
      </c>
      <c r="C2" s="298"/>
      <c r="D2" s="294" t="s">
        <v>388</v>
      </c>
      <c r="E2" s="210">
        <v>42</v>
      </c>
      <c r="F2" s="262" t="s">
        <v>502</v>
      </c>
      <c r="G2" s="371">
        <v>3</v>
      </c>
      <c r="H2" s="214">
        <v>16.004000000000001</v>
      </c>
      <c r="I2" s="303">
        <f>(G2)*(G2)*(H2)</f>
        <v>144.036</v>
      </c>
      <c r="J2" s="303">
        <f>(G2+1)*(G2+1)*H2</f>
        <v>256.06400000000002</v>
      </c>
      <c r="K2" s="295">
        <v>0</v>
      </c>
      <c r="L2" s="295">
        <v>300</v>
      </c>
      <c r="M2" s="419">
        <v>41576</v>
      </c>
      <c r="N2" s="419">
        <v>41731</v>
      </c>
      <c r="O2" s="419">
        <v>42305</v>
      </c>
      <c r="P2" s="228">
        <v>772000</v>
      </c>
      <c r="Q2" s="228">
        <f>((N2-M2)/7)*L2</f>
        <v>6642.8571428571431</v>
      </c>
      <c r="R2" s="228">
        <f ca="1">((TODAY()-N2)/7)*L2</f>
        <v>73714.28571428571</v>
      </c>
      <c r="S2" s="228">
        <v>2068800</v>
      </c>
      <c r="T2" s="228">
        <f ca="1">S2+Q2+P2+R2</f>
        <v>2921157.1428571432</v>
      </c>
      <c r="U2" s="233">
        <f ca="1">T2/((O2-N2)/112)</f>
        <v>569981.88153310108</v>
      </c>
      <c r="V2" s="163">
        <f>(O2-N2)/112</f>
        <v>5.125</v>
      </c>
    </row>
    <row r="3" spans="1:22" x14ac:dyDescent="0.25">
      <c r="A3" s="299" t="s">
        <v>413</v>
      </c>
      <c r="B3" s="299" t="s">
        <v>276</v>
      </c>
      <c r="C3" s="300" t="s">
        <v>455</v>
      </c>
      <c r="D3" s="301" t="s">
        <v>179</v>
      </c>
      <c r="E3" s="299" t="s">
        <v>180</v>
      </c>
      <c r="F3" s="299" t="s">
        <v>182</v>
      </c>
      <c r="G3" s="299" t="s">
        <v>183</v>
      </c>
      <c r="H3" s="299" t="s">
        <v>175</v>
      </c>
      <c r="I3" s="302" t="s">
        <v>291</v>
      </c>
      <c r="J3" s="302" t="s">
        <v>292</v>
      </c>
      <c r="K3" s="299" t="s">
        <v>181</v>
      </c>
      <c r="L3" s="299" t="s">
        <v>209</v>
      </c>
      <c r="M3" s="418" t="s">
        <v>594</v>
      </c>
      <c r="N3" s="418" t="s">
        <v>595</v>
      </c>
      <c r="O3" s="418" t="s">
        <v>662</v>
      </c>
      <c r="P3" s="418" t="s">
        <v>592</v>
      </c>
      <c r="Q3" s="418" t="s">
        <v>598</v>
      </c>
      <c r="R3" s="418" t="s">
        <v>599</v>
      </c>
      <c r="S3" s="418" t="s">
        <v>593</v>
      </c>
      <c r="T3" s="418" t="s">
        <v>537</v>
      </c>
      <c r="U3" s="418" t="s">
        <v>596</v>
      </c>
      <c r="V3" s="418" t="s">
        <v>597</v>
      </c>
    </row>
    <row r="4" spans="1:22" x14ac:dyDescent="0.25">
      <c r="A4" s="298"/>
      <c r="B4" s="298" t="s">
        <v>435</v>
      </c>
      <c r="C4" s="298"/>
      <c r="D4" s="294" t="s">
        <v>542</v>
      </c>
      <c r="E4" s="210">
        <v>44</v>
      </c>
      <c r="F4" s="262" t="s">
        <v>502</v>
      </c>
      <c r="G4" s="371">
        <v>5</v>
      </c>
      <c r="H4" s="214">
        <v>16.109000000000002</v>
      </c>
      <c r="I4" s="303">
        <f t="shared" ref="I4" si="0">(G4)*(G4)*(H4)</f>
        <v>402.72500000000002</v>
      </c>
      <c r="J4" s="303">
        <f t="shared" ref="J4" si="1">(G4+1)*(G4+1)*H4</f>
        <v>579.92400000000009</v>
      </c>
      <c r="K4" s="295">
        <v>0</v>
      </c>
      <c r="L4" s="295">
        <v>300</v>
      </c>
      <c r="M4" s="419">
        <v>41976</v>
      </c>
      <c r="N4" s="419">
        <v>42305</v>
      </c>
      <c r="O4" s="419">
        <v>42908</v>
      </c>
      <c r="P4" s="228">
        <v>1052640</v>
      </c>
      <c r="Q4" s="228">
        <f>((N4-M4)/7)*L4</f>
        <v>14100</v>
      </c>
      <c r="R4" s="228">
        <f ca="1">((TODAY()-N4)/7)*L4</f>
        <v>49114.285714285717</v>
      </c>
      <c r="S4" s="228">
        <v>2059800</v>
      </c>
      <c r="T4" s="228">
        <f>S4+Q4+P4</f>
        <v>3126540</v>
      </c>
      <c r="U4" s="233">
        <f>T4/((O4-N4)/112)</f>
        <v>580717.21393034828</v>
      </c>
      <c r="V4" s="163">
        <f ca="1">(A7-N4)/112</f>
        <v>10.232142857142858</v>
      </c>
    </row>
    <row r="5" spans="1:22" x14ac:dyDescent="0.25">
      <c r="M5" s="466"/>
      <c r="N5" s="466"/>
      <c r="O5" s="620"/>
      <c r="P5" s="466"/>
      <c r="Q5" s="466"/>
      <c r="R5" s="466"/>
      <c r="S5" s="466"/>
      <c r="T5" s="466"/>
      <c r="U5" s="466"/>
    </row>
    <row r="6" spans="1:22" x14ac:dyDescent="0.25">
      <c r="M6" s="466"/>
      <c r="N6" s="466"/>
      <c r="P6" s="466"/>
      <c r="Q6" s="466"/>
      <c r="R6" s="466"/>
      <c r="S6" s="466"/>
      <c r="T6" s="466"/>
      <c r="U6" s="466"/>
    </row>
    <row r="7" spans="1:22" x14ac:dyDescent="0.25">
      <c r="A7" s="177">
        <f ca="1">TODAY()</f>
        <v>43451</v>
      </c>
    </row>
    <row r="8" spans="1:22" x14ac:dyDescent="0.25">
      <c r="A8" s="177">
        <v>41757</v>
      </c>
    </row>
    <row r="9" spans="1:22" x14ac:dyDescent="0.25">
      <c r="A9" s="179">
        <f ca="1">A7-A8</f>
        <v>1694</v>
      </c>
    </row>
    <row r="10" spans="1:22" x14ac:dyDescent="0.25">
      <c r="A10" s="416">
        <f ca="1">A9/112</f>
        <v>15.125</v>
      </c>
    </row>
    <row r="12" spans="1:22" x14ac:dyDescent="0.25">
      <c r="A12" s="299" t="s">
        <v>413</v>
      </c>
      <c r="B12" s="299" t="s">
        <v>276</v>
      </c>
      <c r="C12" s="300" t="s">
        <v>455</v>
      </c>
      <c r="D12" s="301" t="s">
        <v>179</v>
      </c>
      <c r="E12" s="299" t="s">
        <v>180</v>
      </c>
      <c r="F12" s="299" t="s">
        <v>182</v>
      </c>
      <c r="G12" s="299" t="s">
        <v>183</v>
      </c>
      <c r="H12" s="299" t="s">
        <v>175</v>
      </c>
      <c r="I12" s="302" t="s">
        <v>291</v>
      </c>
      <c r="J12" s="302" t="s">
        <v>292</v>
      </c>
      <c r="K12" s="299" t="s">
        <v>181</v>
      </c>
      <c r="L12" s="299" t="s">
        <v>209</v>
      </c>
      <c r="M12" s="418" t="s">
        <v>594</v>
      </c>
      <c r="N12" s="418" t="s">
        <v>595</v>
      </c>
      <c r="O12" s="418" t="s">
        <v>662</v>
      </c>
      <c r="P12" s="418" t="s">
        <v>592</v>
      </c>
      <c r="Q12" s="418" t="s">
        <v>598</v>
      </c>
      <c r="R12" s="418" t="s">
        <v>599</v>
      </c>
      <c r="S12" s="418" t="s">
        <v>593</v>
      </c>
      <c r="T12" s="418" t="s">
        <v>537</v>
      </c>
      <c r="U12" s="418" t="s">
        <v>596</v>
      </c>
      <c r="V12" s="418" t="s">
        <v>597</v>
      </c>
    </row>
    <row r="13" spans="1:22" x14ac:dyDescent="0.25">
      <c r="D13" s="294" t="s">
        <v>843</v>
      </c>
      <c r="E13" s="210">
        <v>39</v>
      </c>
      <c r="F13" s="262"/>
      <c r="G13" s="371">
        <v>6</v>
      </c>
      <c r="H13" s="214">
        <v>13</v>
      </c>
      <c r="I13" s="303">
        <f t="shared" ref="I13" si="2">(G13)*(G13)*(H13)</f>
        <v>468</v>
      </c>
      <c r="J13" s="303">
        <f t="shared" ref="J13" si="3">(G13+1)*(G13+1)*H13</f>
        <v>637</v>
      </c>
      <c r="K13" s="295">
        <v>1130</v>
      </c>
      <c r="L13" s="295">
        <v>864</v>
      </c>
      <c r="M13" s="419">
        <v>42628</v>
      </c>
      <c r="N13" s="419">
        <f>O4</f>
        <v>42908</v>
      </c>
      <c r="O13" s="419">
        <f ca="1">TODAY()</f>
        <v>43451</v>
      </c>
      <c r="P13" s="622">
        <v>1800000</v>
      </c>
      <c r="Q13" s="228">
        <v>372</v>
      </c>
      <c r="R13" s="228">
        <f t="shared" ref="R13" ca="1" si="4">((TODAY()-N13)/7)*L13</f>
        <v>67021.71428571429</v>
      </c>
      <c r="S13" s="622">
        <v>2553000</v>
      </c>
      <c r="T13" s="228">
        <f t="shared" ref="T13" si="5">S13+Q13+P13</f>
        <v>4353372</v>
      </c>
      <c r="U13" s="233">
        <f t="shared" ref="U13" ca="1" si="6">T13/((O13-N13)/112)</f>
        <v>897933.08287292824</v>
      </c>
      <c r="V13" s="163">
        <v>7</v>
      </c>
    </row>
    <row r="16" spans="1:22" x14ac:dyDescent="0.25">
      <c r="N16" s="678"/>
    </row>
    <row r="17" spans="1:22" ht="18" x14ac:dyDescent="0.25">
      <c r="A17" s="607">
        <v>42908</v>
      </c>
      <c r="B17" s="290"/>
      <c r="C17">
        <v>112</v>
      </c>
      <c r="D17">
        <v>0</v>
      </c>
    </row>
    <row r="18" spans="1:22" x14ac:dyDescent="0.25">
      <c r="A18" s="290">
        <f ca="1">TODAY()</f>
        <v>43451</v>
      </c>
      <c r="B18" s="290"/>
      <c r="C18">
        <v>400</v>
      </c>
      <c r="D18">
        <v>1</v>
      </c>
    </row>
    <row r="19" spans="1:22" x14ac:dyDescent="0.25">
      <c r="A19">
        <f ca="1">A18-A17</f>
        <v>543</v>
      </c>
      <c r="C19">
        <f>C18-C17</f>
        <v>288</v>
      </c>
      <c r="D19" s="608">
        <f ca="1">(A19-C17)/C19</f>
        <v>1.4965277777777777</v>
      </c>
    </row>
    <row r="20" spans="1:22" x14ac:dyDescent="0.25">
      <c r="D20" t="s">
        <v>864</v>
      </c>
    </row>
    <row r="24" spans="1:22" x14ac:dyDescent="0.25">
      <c r="A24" s="299" t="s">
        <v>413</v>
      </c>
      <c r="B24" s="299" t="s">
        <v>276</v>
      </c>
      <c r="C24" s="300" t="s">
        <v>455</v>
      </c>
      <c r="D24" s="301" t="s">
        <v>179</v>
      </c>
      <c r="E24" s="299" t="s">
        <v>180</v>
      </c>
      <c r="F24" s="299" t="s">
        <v>182</v>
      </c>
      <c r="G24" s="299" t="s">
        <v>183</v>
      </c>
      <c r="H24" s="299" t="s">
        <v>175</v>
      </c>
      <c r="I24" s="302" t="s">
        <v>291</v>
      </c>
      <c r="J24" s="302" t="s">
        <v>292</v>
      </c>
      <c r="K24" s="299" t="s">
        <v>181</v>
      </c>
      <c r="L24" s="299" t="s">
        <v>209</v>
      </c>
      <c r="M24" s="418" t="s">
        <v>594</v>
      </c>
      <c r="N24" s="418" t="s">
        <v>595</v>
      </c>
      <c r="O24" s="418" t="s">
        <v>662</v>
      </c>
      <c r="P24" s="418" t="s">
        <v>592</v>
      </c>
      <c r="Q24" s="418" t="s">
        <v>598</v>
      </c>
      <c r="R24" s="418" t="s">
        <v>599</v>
      </c>
      <c r="S24" s="418" t="s">
        <v>593</v>
      </c>
      <c r="T24" s="418" t="s">
        <v>537</v>
      </c>
      <c r="U24" s="418" t="s">
        <v>596</v>
      </c>
      <c r="V24" s="418" t="s">
        <v>597</v>
      </c>
    </row>
    <row r="28" spans="1:22" ht="19.5" x14ac:dyDescent="0.25">
      <c r="A28" s="695" t="s">
        <v>326</v>
      </c>
      <c r="B28" s="695"/>
      <c r="C28" s="695"/>
      <c r="D28" s="695"/>
    </row>
    <row r="29" spans="1:22" x14ac:dyDescent="0.25">
      <c r="A29" s="696" t="s">
        <v>257</v>
      </c>
      <c r="B29" s="697" t="s">
        <v>327</v>
      </c>
      <c r="C29" s="697" t="s">
        <v>328</v>
      </c>
      <c r="D29" s="697" t="s">
        <v>329</v>
      </c>
    </row>
    <row r="30" spans="1:22" x14ac:dyDescent="0.25">
      <c r="A30" s="696"/>
      <c r="B30" s="697"/>
      <c r="C30" s="697"/>
      <c r="D30" s="697"/>
    </row>
    <row r="31" spans="1:22" x14ac:dyDescent="0.25">
      <c r="A31" s="229" t="s">
        <v>327</v>
      </c>
      <c r="B31" s="230" t="s">
        <v>330</v>
      </c>
      <c r="C31" s="230" t="s">
        <v>331</v>
      </c>
      <c r="D31" s="230" t="s">
        <v>331</v>
      </c>
    </row>
    <row r="32" spans="1:22" x14ac:dyDescent="0.25">
      <c r="A32" s="621" t="s">
        <v>328</v>
      </c>
      <c r="B32" s="232" t="s">
        <v>332</v>
      </c>
      <c r="C32" s="232" t="s">
        <v>333</v>
      </c>
      <c r="D32" s="232" t="s">
        <v>331</v>
      </c>
    </row>
    <row r="33" spans="1:4" x14ac:dyDescent="0.25">
      <c r="A33" s="229" t="s">
        <v>329</v>
      </c>
      <c r="B33" s="230" t="s">
        <v>334</v>
      </c>
      <c r="C33" s="230" t="s">
        <v>335</v>
      </c>
      <c r="D33" s="230" t="s">
        <v>336</v>
      </c>
    </row>
    <row r="34" spans="1:4" x14ac:dyDescent="0.25">
      <c r="A34" s="621" t="s">
        <v>337</v>
      </c>
      <c r="B34" s="232" t="s">
        <v>338</v>
      </c>
      <c r="C34" s="232" t="s">
        <v>339</v>
      </c>
      <c r="D34" s="232" t="s">
        <v>340</v>
      </c>
    </row>
    <row r="35" spans="1:4" x14ac:dyDescent="0.25">
      <c r="A35" s="229" t="s">
        <v>341</v>
      </c>
      <c r="B35" s="230" t="s">
        <v>342</v>
      </c>
      <c r="C35" s="230" t="s">
        <v>343</v>
      </c>
      <c r="D35" s="230" t="s">
        <v>344</v>
      </c>
    </row>
    <row r="36" spans="1:4" x14ac:dyDescent="0.25">
      <c r="A36" s="621" t="s">
        <v>345</v>
      </c>
      <c r="B36" s="232" t="s">
        <v>346</v>
      </c>
      <c r="C36" s="232" t="s">
        <v>347</v>
      </c>
      <c r="D36" s="232" t="s">
        <v>348</v>
      </c>
    </row>
    <row r="37" spans="1:4" x14ac:dyDescent="0.25">
      <c r="A37" s="229" t="s">
        <v>349</v>
      </c>
      <c r="B37" s="230" t="s">
        <v>350</v>
      </c>
      <c r="C37" s="230" t="s">
        <v>351</v>
      </c>
      <c r="D37" s="230" t="s">
        <v>352</v>
      </c>
    </row>
    <row r="38" spans="1:4" x14ac:dyDescent="0.25">
      <c r="A38" s="621" t="s">
        <v>353</v>
      </c>
      <c r="B38" s="232" t="s">
        <v>354</v>
      </c>
      <c r="C38" s="232" t="s">
        <v>355</v>
      </c>
      <c r="D38" s="232" t="s">
        <v>356</v>
      </c>
    </row>
    <row r="39" spans="1:4" x14ac:dyDescent="0.25">
      <c r="A39" s="229" t="s">
        <v>357</v>
      </c>
      <c r="B39" s="230" t="s">
        <v>358</v>
      </c>
      <c r="C39" s="230" t="s">
        <v>359</v>
      </c>
      <c r="D39" s="230" t="s">
        <v>360</v>
      </c>
    </row>
    <row r="40" spans="1:4" x14ac:dyDescent="0.25">
      <c r="A40" s="621" t="s">
        <v>361</v>
      </c>
      <c r="B40" s="232" t="s">
        <v>362</v>
      </c>
      <c r="C40" s="232" t="s">
        <v>363</v>
      </c>
      <c r="D40" s="232" t="s">
        <v>364</v>
      </c>
    </row>
    <row r="41" spans="1:4" x14ac:dyDescent="0.25">
      <c r="A41" s="229" t="s">
        <v>365</v>
      </c>
      <c r="B41" s="230" t="s">
        <v>366</v>
      </c>
      <c r="C41" s="230" t="s">
        <v>367</v>
      </c>
      <c r="D41" s="230" t="s">
        <v>368</v>
      </c>
    </row>
    <row r="42" spans="1:4" x14ac:dyDescent="0.25">
      <c r="A42" s="621" t="s">
        <v>369</v>
      </c>
      <c r="B42" s="232" t="s">
        <v>370</v>
      </c>
      <c r="C42" s="232" t="s">
        <v>371</v>
      </c>
      <c r="D42" s="232" t="s">
        <v>372</v>
      </c>
    </row>
    <row r="43" spans="1:4" x14ac:dyDescent="0.25">
      <c r="A43" s="229" t="s">
        <v>373</v>
      </c>
      <c r="B43" s="230" t="s">
        <v>374</v>
      </c>
      <c r="C43" s="230" t="s">
        <v>375</v>
      </c>
      <c r="D43" s="230" t="s">
        <v>376</v>
      </c>
    </row>
    <row r="44" spans="1:4" x14ac:dyDescent="0.25">
      <c r="A44" s="621" t="s">
        <v>377</v>
      </c>
      <c r="B44" s="232" t="s">
        <v>378</v>
      </c>
      <c r="C44" s="232" t="s">
        <v>379</v>
      </c>
      <c r="D44" s="232" t="s">
        <v>380</v>
      </c>
    </row>
    <row r="45" spans="1:4" x14ac:dyDescent="0.25">
      <c r="A45" s="229" t="s">
        <v>381</v>
      </c>
      <c r="B45" s="230" t="s">
        <v>382</v>
      </c>
      <c r="C45" s="230" t="s">
        <v>383</v>
      </c>
      <c r="D45" s="230" t="s">
        <v>384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39997558519241921"/>
    <pageSetUpPr fitToPage="1"/>
  </sheetPr>
  <dimension ref="A1:AU37"/>
  <sheetViews>
    <sheetView tabSelected="1" zoomScaleNormal="100" workbookViewId="0">
      <pane xSplit="30" ySplit="4" topLeftCell="AE5" activePane="bottomRight" state="frozen"/>
      <selection pane="topRight" activeCell="T1" sqref="T1"/>
      <selection pane="bottomLeft" activeCell="A4" sqref="A4"/>
      <selection pane="bottomRight" activeCell="D12" sqref="D12"/>
    </sheetView>
  </sheetViews>
  <sheetFormatPr baseColWidth="10" defaultColWidth="11.42578125" defaultRowHeight="15" x14ac:dyDescent="0.25"/>
  <cols>
    <col min="1" max="1" width="4.7109375" bestFit="1" customWidth="1"/>
    <col min="2" max="2" width="5.42578125" bestFit="1" customWidth="1"/>
    <col min="3" max="3" width="5" style="218" bestFit="1" customWidth="1"/>
    <col min="4" max="4" width="13.7109375" style="179" bestFit="1" customWidth="1"/>
    <col min="5" max="5" width="5.5703125" bestFit="1" customWidth="1"/>
    <col min="6" max="6" width="5" bestFit="1" customWidth="1"/>
    <col min="7" max="7" width="4.5703125" style="217" bestFit="1" customWidth="1"/>
    <col min="8" max="8" width="3.7109375" style="4" bestFit="1" customWidth="1"/>
    <col min="9" max="10" width="4.5703125" bestFit="1" customWidth="1"/>
    <col min="11" max="11" width="4.7109375" style="284" bestFit="1" customWidth="1"/>
    <col min="12" max="12" width="4.7109375" bestFit="1" customWidth="1"/>
    <col min="13" max="13" width="4.28515625" style="284" bestFit="1" customWidth="1"/>
    <col min="14" max="14" width="5" style="444" bestFit="1" customWidth="1"/>
    <col min="15" max="15" width="10.42578125" style="673" bestFit="1" customWidth="1"/>
    <col min="16" max="16" width="4.5703125" style="673" bestFit="1" customWidth="1"/>
    <col min="17" max="17" width="4.140625" style="415" bestFit="1" customWidth="1"/>
    <col min="18" max="19" width="5.7109375" style="487" bestFit="1" customWidth="1"/>
    <col min="20" max="20" width="12" bestFit="1" customWidth="1"/>
    <col min="21" max="21" width="10.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7" s="249" customFormat="1" x14ac:dyDescent="0.25">
      <c r="C1" s="630">
        <f ca="1">AVERAGE(C5,C8,C9,C10,C11,C12,C13,C14,C15,C16,C17,C18,C19,C21,C23)</f>
        <v>0.86250000000000004</v>
      </c>
      <c r="D1" s="345">
        <f ca="1">TODAY()</f>
        <v>43451</v>
      </c>
      <c r="E1" s="688">
        <v>41471</v>
      </c>
      <c r="F1" s="688"/>
      <c r="G1" s="688"/>
      <c r="H1" s="251"/>
      <c r="I1" s="251"/>
      <c r="J1" s="251"/>
      <c r="K1" s="252"/>
      <c r="L1" s="251"/>
      <c r="M1" s="252"/>
      <c r="N1" s="252"/>
      <c r="O1" s="252"/>
      <c r="P1" s="252"/>
      <c r="Q1" s="630"/>
      <c r="R1" s="252"/>
      <c r="S1" s="252"/>
      <c r="T1" s="251"/>
      <c r="U1" s="251"/>
      <c r="V1" s="251"/>
      <c r="W1" s="251"/>
      <c r="X1" s="310"/>
      <c r="Y1" s="251"/>
      <c r="Z1" s="251"/>
      <c r="AA1" s="251"/>
      <c r="AB1" s="251"/>
      <c r="AC1" s="251"/>
      <c r="AD1" s="251"/>
      <c r="AE1" s="310"/>
      <c r="AH1" s="310"/>
      <c r="AI1" s="310"/>
      <c r="AJ1" s="251"/>
      <c r="AK1" s="310"/>
      <c r="AL1" s="310"/>
      <c r="AM1" s="310"/>
      <c r="AN1" s="310"/>
      <c r="AO1" s="251"/>
      <c r="AP1" s="251"/>
      <c r="AQ1" s="251"/>
    </row>
    <row r="2" spans="1:47" s="3" customFormat="1" x14ac:dyDescent="0.25">
      <c r="A2" s="3">
        <v>16</v>
      </c>
      <c r="B2" s="285"/>
      <c r="C2" s="286"/>
      <c r="D2" s="314"/>
      <c r="E2" s="297"/>
      <c r="F2" s="297"/>
      <c r="I2" s="347">
        <f>AVERAGE(I5:I23)</f>
        <v>11.778947368421052</v>
      </c>
      <c r="J2" s="297"/>
      <c r="K2" s="297"/>
      <c r="M2" s="347">
        <f>AVERAGE(M5:M23)</f>
        <v>6.8894736842105253</v>
      </c>
      <c r="N2" s="297"/>
      <c r="O2" s="297"/>
      <c r="P2" s="297"/>
      <c r="Q2" s="347">
        <f>AVERAGE(Q5:Q23)</f>
        <v>5.1052631578947372</v>
      </c>
      <c r="R2" s="501">
        <f>AVERAGE(R5:R23)</f>
        <v>0.84849786316978149</v>
      </c>
      <c r="S2" s="501">
        <f>AVERAGE(S5:S23)</f>
        <v>0.92915925999609317</v>
      </c>
      <c r="T2" s="348">
        <f>AVERAGE(T5:T23)</f>
        <v>52454.73684210526</v>
      </c>
      <c r="U2" s="348"/>
      <c r="V2" s="348">
        <f>AVERAGE(V5:V23)</f>
        <v>10674.421052631578</v>
      </c>
      <c r="W2" s="293"/>
      <c r="X2" s="346">
        <f>(X5+X6)/2</f>
        <v>12.808333333333334</v>
      </c>
      <c r="Y2" s="346">
        <f>AVERAGE(Y5:Y11)</f>
        <v>11.433603729603732</v>
      </c>
      <c r="Z2" s="346">
        <f>AVERAGE(Z12:Z19)</f>
        <v>12.558440476190476</v>
      </c>
      <c r="AA2" s="346">
        <f>AVERAGE(AA12:AA14)</f>
        <v>12.957222222222223</v>
      </c>
      <c r="AB2" s="346">
        <f>AVERAGE(AB6:AB23)</f>
        <v>9.8095987654320975</v>
      </c>
      <c r="AC2" s="346">
        <f>AVERAGE(AC21:AC23)</f>
        <v>8.7614999999999998</v>
      </c>
      <c r="AD2" s="346">
        <f>AVERAGE(AD5:AD23)</f>
        <v>15.291637426900584</v>
      </c>
      <c r="AE2" s="293"/>
      <c r="AH2" s="293"/>
      <c r="AI2" s="293"/>
      <c r="AJ2" s="293"/>
      <c r="AK2" s="293"/>
      <c r="AL2" s="293"/>
      <c r="AM2" s="293"/>
      <c r="AN2" s="293"/>
    </row>
    <row r="3" spans="1:47" s="253" customFormat="1" x14ac:dyDescent="0.25">
      <c r="A3" s="298"/>
      <c r="B3" s="298" t="s">
        <v>848</v>
      </c>
      <c r="C3" s="298"/>
      <c r="D3" s="294" t="s">
        <v>843</v>
      </c>
      <c r="E3" s="210">
        <v>41</v>
      </c>
      <c r="F3" s="211">
        <v>101</v>
      </c>
      <c r="G3" s="262"/>
      <c r="H3" s="371">
        <v>6</v>
      </c>
      <c r="I3" s="214">
        <v>13.2</v>
      </c>
      <c r="J3" s="214"/>
      <c r="K3" s="303">
        <f>(H3)*(H3)*(I3)</f>
        <v>475.2</v>
      </c>
      <c r="L3" s="303">
        <f>(H3+1)*(H3+1)*I3</f>
        <v>646.79999999999995</v>
      </c>
      <c r="M3" s="262">
        <v>2</v>
      </c>
      <c r="N3" s="262"/>
      <c r="O3" s="262"/>
      <c r="P3" s="262"/>
      <c r="Q3" s="262"/>
      <c r="R3" s="623"/>
      <c r="S3" s="623"/>
      <c r="T3" s="295">
        <v>110</v>
      </c>
      <c r="U3" s="262"/>
      <c r="V3" s="295">
        <v>324</v>
      </c>
      <c r="W3" s="316"/>
      <c r="X3" s="307">
        <v>0</v>
      </c>
      <c r="Y3" s="214">
        <v>7</v>
      </c>
      <c r="Z3" s="213">
        <v>0</v>
      </c>
      <c r="AA3" s="214">
        <v>0</v>
      </c>
      <c r="AB3" s="213">
        <v>2</v>
      </c>
      <c r="AC3" s="214">
        <v>0</v>
      </c>
      <c r="AD3" s="213">
        <v>6</v>
      </c>
      <c r="AE3" s="324"/>
      <c r="AH3" s="324"/>
      <c r="AI3" s="324"/>
      <c r="AJ3" s="324"/>
      <c r="AK3" s="324"/>
      <c r="AL3" s="324"/>
      <c r="AM3" s="324"/>
      <c r="AN3" s="324"/>
      <c r="AO3" s="262"/>
      <c r="AP3" s="262"/>
      <c r="AQ3" s="262"/>
    </row>
    <row r="4" spans="1:47" x14ac:dyDescent="0.25">
      <c r="A4" s="299" t="s">
        <v>413</v>
      </c>
      <c r="B4" s="299" t="s">
        <v>276</v>
      </c>
      <c r="C4" s="300" t="s">
        <v>642</v>
      </c>
      <c r="D4" s="301" t="s">
        <v>179</v>
      </c>
      <c r="E4" s="299" t="s">
        <v>180</v>
      </c>
      <c r="F4" s="299" t="s">
        <v>62</v>
      </c>
      <c r="G4" s="299" t="s">
        <v>182</v>
      </c>
      <c r="H4" s="299" t="s">
        <v>183</v>
      </c>
      <c r="I4" s="299" t="s">
        <v>175</v>
      </c>
      <c r="J4" s="299" t="s">
        <v>705</v>
      </c>
      <c r="K4" s="302" t="s">
        <v>643</v>
      </c>
      <c r="L4" s="302" t="s">
        <v>644</v>
      </c>
      <c r="M4" s="299" t="s">
        <v>184</v>
      </c>
      <c r="N4" s="299" t="s">
        <v>615</v>
      </c>
      <c r="O4" s="299" t="s">
        <v>873</v>
      </c>
      <c r="P4" s="299" t="s">
        <v>695</v>
      </c>
      <c r="Q4" s="299" t="s">
        <v>590</v>
      </c>
      <c r="R4" s="490" t="s">
        <v>693</v>
      </c>
      <c r="S4" s="490" t="s">
        <v>694</v>
      </c>
      <c r="T4" s="299" t="s">
        <v>181</v>
      </c>
      <c r="U4" s="299" t="s">
        <v>604</v>
      </c>
      <c r="V4" s="299" t="s">
        <v>209</v>
      </c>
      <c r="W4" s="299" t="s">
        <v>453</v>
      </c>
      <c r="X4" s="299" t="s">
        <v>297</v>
      </c>
      <c r="Y4" s="299" t="s">
        <v>185</v>
      </c>
      <c r="Z4" s="299" t="s">
        <v>186</v>
      </c>
      <c r="AA4" s="299" t="s">
        <v>187</v>
      </c>
      <c r="AB4" s="299" t="s">
        <v>188</v>
      </c>
      <c r="AC4" s="299" t="s">
        <v>189</v>
      </c>
      <c r="AD4" s="299" t="s">
        <v>182</v>
      </c>
      <c r="AE4" s="299" t="s">
        <v>479</v>
      </c>
      <c r="AF4" s="344" t="s">
        <v>816</v>
      </c>
      <c r="AG4" s="344" t="s">
        <v>817</v>
      </c>
      <c r="AH4" s="344" t="s">
        <v>826</v>
      </c>
      <c r="AI4" s="344" t="s">
        <v>827</v>
      </c>
      <c r="AJ4" s="344" t="s">
        <v>509</v>
      </c>
      <c r="AK4" s="344" t="s">
        <v>510</v>
      </c>
      <c r="AL4" s="344" t="s">
        <v>511</v>
      </c>
      <c r="AM4" s="344" t="s">
        <v>588</v>
      </c>
      <c r="AN4" s="344" t="s">
        <v>589</v>
      </c>
      <c r="AO4" s="299" t="s">
        <v>798</v>
      </c>
      <c r="AP4" s="299" t="s">
        <v>799</v>
      </c>
      <c r="AQ4" s="299" t="s">
        <v>800</v>
      </c>
      <c r="AR4" s="418" t="s">
        <v>851</v>
      </c>
    </row>
    <row r="5" spans="1:47" x14ac:dyDescent="0.25">
      <c r="A5" s="384" t="s">
        <v>403</v>
      </c>
      <c r="B5" s="384" t="s">
        <v>1</v>
      </c>
      <c r="C5" s="385">
        <f ca="1">((34*112)-(E5*112)-(F5))/112</f>
        <v>0.6696428571428571</v>
      </c>
      <c r="D5" s="657" t="s">
        <v>782</v>
      </c>
      <c r="E5" s="387">
        <v>33</v>
      </c>
      <c r="F5" s="394">
        <f ca="1">-42406+$D$1-112-112-112-112-112-112-112-112-112</f>
        <v>37</v>
      </c>
      <c r="G5" s="388"/>
      <c r="H5" s="684">
        <v>6</v>
      </c>
      <c r="I5" s="308">
        <v>21.6</v>
      </c>
      <c r="J5" s="486">
        <f>LOG(I5+1)*4/3</f>
        <v>1.8054779188632013</v>
      </c>
      <c r="K5" s="303">
        <f t="shared" ref="K5" si="0">(H5)*(H5)*(I5)</f>
        <v>777.6</v>
      </c>
      <c r="L5" s="303">
        <f t="shared" ref="L5" si="1">(H5+1)*(H5+1)*I5</f>
        <v>1058.4000000000001</v>
      </c>
      <c r="M5" s="389">
        <v>7</v>
      </c>
      <c r="N5" s="445">
        <f>M5*10+19</f>
        <v>89</v>
      </c>
      <c r="O5" s="675">
        <v>42468</v>
      </c>
      <c r="P5" s="676">
        <f ca="1">IF((TODAY()-O5)&gt;335,1,((TODAY()-O5)^0.64)/(336^0.64))</f>
        <v>1</v>
      </c>
      <c r="Q5" s="445">
        <v>6</v>
      </c>
      <c r="R5" s="500">
        <f>(Q5/7)^0.5</f>
        <v>0.92582009977255142</v>
      </c>
      <c r="S5" s="500">
        <f>IF(Q5=7,1,((Q5+0.99)/7)^0.5)</f>
        <v>0.99928545900129484</v>
      </c>
      <c r="T5" s="687">
        <v>55890</v>
      </c>
      <c r="U5" s="626">
        <f t="shared" ref="U5:U23" si="2">T5-AR5</f>
        <v>-12730</v>
      </c>
      <c r="V5" s="324">
        <v>24576</v>
      </c>
      <c r="W5" s="316">
        <f t="shared" ref="W5:W24" si="3">T5/V5</f>
        <v>2.274169921875</v>
      </c>
      <c r="X5" s="485">
        <f>16+12/18</f>
        <v>16.666666666666668</v>
      </c>
      <c r="Y5" s="486">
        <f>10.53+0.11+0.11+0.11+0.11+0.11+1/11+1/11*0.16+1/11+1/11+1/11+1/11+1/11+1/11+1/11+1/11+1/11+1/13</f>
        <v>12.080559440559444</v>
      </c>
      <c r="Z5" s="485">
        <f>2+0.01+0.01+0.01+0.01+0.01+0.01+0.01</f>
        <v>2.0699999999999985</v>
      </c>
      <c r="AA5" s="486">
        <f>1.94+0.03+0.03+0.03+0.03+0.03+0.03+0.02+0.01</f>
        <v>2.149999999999999</v>
      </c>
      <c r="AB5" s="485">
        <f>0.6+0.04+0.04+0.04+0.04+0.04+0.04+0.03+0.03+0.02+0.02+0.02+0.02+0.02+0.02+0.01+0.01</f>
        <v>1.0400000000000003</v>
      </c>
      <c r="AC5" s="486">
        <f>0+0.05+0.05*37/90+0.04+0.02+0.01</f>
        <v>0.14055555555555557</v>
      </c>
      <c r="AD5" s="485">
        <f>18+0.2</f>
        <v>18.2</v>
      </c>
      <c r="AE5" s="324">
        <v>1503</v>
      </c>
      <c r="AF5" s="603">
        <f ca="1">(Z5+P5+J5)*(Q5/7)^0.5</f>
        <v>4.5138154532807988</v>
      </c>
      <c r="AG5" s="603">
        <f ca="1">(Z5+P5+J5)*(IF(Q5=7, (Q5/7)^0.5, ((Q5+1)/7)^0.5))</f>
        <v>4.8754779188631998</v>
      </c>
      <c r="AH5" s="316">
        <f ca="1">(((Y5+P5+J5)+(AB5+P5+J5)*2)/8)*(Q5/7)^0.5</f>
        <v>2.6127792617935932</v>
      </c>
      <c r="AI5" s="316">
        <f ca="1">(1.66*(AC5+J5+P5)+0.55*(AD5+J5+P5)-7.6)*(Q5/7)^0.5</f>
        <v>8.187423784829857</v>
      </c>
      <c r="AJ5" s="316">
        <f ca="1">((AD5+J5+P5)*0.7+(AC5+J5+P5)*0.3)*(Q5/7)^0.5</f>
        <v>14.431354665394331</v>
      </c>
      <c r="AK5" s="316">
        <f ca="1">(0.5*(AC5+P5+J5)+ 0.3*(AD5+P5+J5))/10</f>
        <v>0.77746601128683379</v>
      </c>
      <c r="AL5" s="316">
        <f ca="1">(0.4*(Y5+P5+J5)+0.3*(AD5+P5+J5))/10</f>
        <v>1.2256058319428018</v>
      </c>
      <c r="AM5" s="311">
        <f ca="1">(AD5+P5+(LOG(I5)*4/3))*(Q5/7)^0.5</f>
        <v>19.423031389009534</v>
      </c>
      <c r="AN5" s="311">
        <f ca="1">(AD5+P5+(LOG(I5)*4/3))*(IF(Q5=7, (Q5/7)^0.5, ((Q5+1)/7)^0.5))</f>
        <v>20.979271668201239</v>
      </c>
      <c r="AO5" s="445">
        <v>2</v>
      </c>
      <c r="AP5" s="445">
        <v>2</v>
      </c>
      <c r="AQ5" s="590">
        <f>IF(AO5=4,IF(AP5=0,0.137+0.0697,0.137+0.02),IF(AO5=3,IF(AP5=0,0.0958+0.0697,0.0958+0.02),IF(AO5=2,IF(AP5=0,0.0415+0.0697,0.0415+0.02),IF(AO5=1,IF(AP5=0,0.0294+0.0697,0.0294+0.02),IF(AO5=0,IF(AP5=0,0.0063+0.0697,0.0063+0.02))))))</f>
        <v>6.1499999999999999E-2</v>
      </c>
      <c r="AR5" s="324">
        <v>68620</v>
      </c>
      <c r="AS5">
        <v>77260</v>
      </c>
      <c r="AT5" s="390">
        <f>AS5-T5</f>
        <v>21370</v>
      </c>
      <c r="AU5" s="403"/>
    </row>
    <row r="6" spans="1:47" s="263" customFormat="1" x14ac:dyDescent="0.25">
      <c r="A6" s="384" t="s">
        <v>484</v>
      </c>
      <c r="B6" s="384" t="s">
        <v>1</v>
      </c>
      <c r="C6" s="385">
        <f ca="1">((34*112)-(E6*112)-(F6))/112</f>
        <v>-3.4107142857142856</v>
      </c>
      <c r="D6" s="657" t="s">
        <v>267</v>
      </c>
      <c r="E6" s="387">
        <v>37</v>
      </c>
      <c r="F6" s="394">
        <f ca="1">82-41471+$D$1-112-112-112-112-112-112-112-112-112-112-112-112-112-112-112-112-112-112</f>
        <v>46</v>
      </c>
      <c r="G6" s="388" t="s">
        <v>502</v>
      </c>
      <c r="H6" s="371">
        <v>3</v>
      </c>
      <c r="I6" s="308">
        <v>8.3000000000000007</v>
      </c>
      <c r="J6" s="486">
        <f t="shared" ref="J6:J23" si="4">LOG(I6+1)*4/3</f>
        <v>1.2913105980719135</v>
      </c>
      <c r="K6" s="303">
        <f t="shared" ref="K6:K23" si="5">(H6)*(H6)*(I6)</f>
        <v>74.7</v>
      </c>
      <c r="L6" s="303">
        <f t="shared" ref="L6:L23" si="6">(H6+1)*(H6+1)*I6</f>
        <v>132.80000000000001</v>
      </c>
      <c r="M6" s="389">
        <v>4.9000000000000004</v>
      </c>
      <c r="N6" s="445">
        <f t="shared" ref="N6:N23" si="7">M6*10+19</f>
        <v>68</v>
      </c>
      <c r="O6" s="445" t="s">
        <v>557</v>
      </c>
      <c r="P6" s="676">
        <v>1.5</v>
      </c>
      <c r="Q6" s="445">
        <v>5</v>
      </c>
      <c r="R6" s="500">
        <f t="shared" ref="R6:R23" si="8">(Q6/7)^0.5</f>
        <v>0.84515425472851657</v>
      </c>
      <c r="S6" s="500">
        <f t="shared" ref="S6:S23" si="9">IF(Q6=7,1,((Q6+0.99)/7)^0.5)</f>
        <v>0.92504826128926143</v>
      </c>
      <c r="T6" s="324">
        <v>3260</v>
      </c>
      <c r="U6" s="626">
        <f t="shared" si="2"/>
        <v>-130</v>
      </c>
      <c r="V6" s="324">
        <v>640</v>
      </c>
      <c r="W6" s="316">
        <f t="shared" si="3"/>
        <v>5.09375</v>
      </c>
      <c r="X6" s="485">
        <v>8.9499999999999993</v>
      </c>
      <c r="Y6" s="486">
        <v>8.9499999999999993</v>
      </c>
      <c r="Z6" s="485">
        <v>2.95</v>
      </c>
      <c r="AA6" s="486">
        <v>2.95</v>
      </c>
      <c r="AB6" s="485">
        <v>3.95</v>
      </c>
      <c r="AC6" s="486">
        <v>0.95</v>
      </c>
      <c r="AD6" s="485">
        <f>11.8+0.67+0.5*1.25+0.35+0.35+0.35+0.35*8/90+0.35*80/90+0.35+0.35*75/90+0.35+0.3</f>
        <v>15.778888888888888</v>
      </c>
      <c r="AE6" s="324">
        <v>688</v>
      </c>
      <c r="AF6" s="603">
        <f t="shared" ref="AF6:AF23" si="10">(Z6+P6+J6)*(Q6/7)^0.5</f>
        <v>4.8522930796784021</v>
      </c>
      <c r="AG6" s="603">
        <f t="shared" ref="AG6:AG23" si="11">(Z6+P6+J6)*(IF(Q6=7, (Q6/7)^0.5, ((Q6+1)/7)^0.5))</f>
        <v>5.3154207507321463</v>
      </c>
      <c r="AH6" s="316">
        <f t="shared" ref="AH6:AH23" si="12">(((Y6+P6+J6)+(AB6+P6+J6)*2)/8)*(Q6/7)^0.5</f>
        <v>2.6647641596079175</v>
      </c>
      <c r="AI6" s="316">
        <f t="shared" ref="AI6:AI23" si="13">(1.66*(AC6+J6+P6)+0.55*(AD6+J6+P6)-7.6)*(Q6/7)^0.5</f>
        <v>7.4577977597899761</v>
      </c>
      <c r="AJ6" s="316">
        <f t="shared" ref="AJ6:AJ23" si="14">((AD6+J6+P6)*0.7+(AC6+J6+P6)*0.3)*(Q6/7)^0.5</f>
        <v>11.934873546359977</v>
      </c>
      <c r="AK6" s="316">
        <f t="shared" ref="AK6:AK23" si="15">(0.5*(AC6+P6+J6)+ 0.3*(AD6+P6+J6))/10</f>
        <v>0.7441715145124197</v>
      </c>
      <c r="AL6" s="316">
        <f t="shared" ref="AL6:AL23" si="16">(0.4*(Y6+P6+J6)+0.3*(AD6+P6+J6))/10</f>
        <v>1.0267584085317005</v>
      </c>
      <c r="AM6" s="311">
        <f t="shared" ref="AM6:AM23" si="17">(AD6+P6+(LOG(I6)*4/3))*(Q6/7)^0.5</f>
        <v>15.639010141691609</v>
      </c>
      <c r="AN6" s="311">
        <f t="shared" ref="AN6:AN23" si="18">(AD6+P6+(LOG(I6)*4/3))*(IF(Q6=7, (Q6/7)^0.5, ((Q6+1)/7)^0.5))</f>
        <v>17.131677263313115</v>
      </c>
      <c r="AO6" s="445">
        <v>4</v>
      </c>
      <c r="AP6" s="445">
        <v>3</v>
      </c>
      <c r="AQ6" s="590">
        <f t="shared" ref="AQ6:AQ23" si="19">IF(AO6=4,IF(AP6=0,0.137+0.0697,0.137+0.02),IF(AO6=3,IF(AP6=0,0.0958+0.0697,0.0958+0.02),IF(AO6=2,IF(AP6=0,0.0415+0.0697,0.0415+0.02),IF(AO6=1,IF(AP6=0,0.0294+0.0697,0.0294+0.02),IF(AO6=0,IF(AP6=0,0.0063+0.0697,0.0063+0.02))))))</f>
        <v>0.157</v>
      </c>
      <c r="AR6" s="324">
        <v>3390</v>
      </c>
      <c r="AS6" s="263">
        <v>2940</v>
      </c>
      <c r="AT6" s="390">
        <f t="shared" ref="AT6:AT22" si="20">AS6-T6</f>
        <v>-320</v>
      </c>
      <c r="AU6" s="403"/>
    </row>
    <row r="7" spans="1:47" s="248" customFormat="1" x14ac:dyDescent="0.25">
      <c r="A7" s="384" t="s">
        <v>582</v>
      </c>
      <c r="B7" s="384" t="s">
        <v>2</v>
      </c>
      <c r="C7" s="385">
        <f t="shared" ref="C7:C23" ca="1" si="21">((34*112)-(E7*112)-(F7))/112</f>
        <v>0.5625</v>
      </c>
      <c r="D7" s="657" t="s">
        <v>855</v>
      </c>
      <c r="E7" s="387">
        <v>33</v>
      </c>
      <c r="F7" s="394">
        <f ca="1">82-41471+$D$1-112-112-112-112-112-112-112-112-112-112-112+3-112-112-112-112-112-112-112</f>
        <v>49</v>
      </c>
      <c r="G7" s="388" t="s">
        <v>502</v>
      </c>
      <c r="H7" s="393">
        <v>2</v>
      </c>
      <c r="I7" s="308">
        <v>17</v>
      </c>
      <c r="J7" s="486">
        <f t="shared" si="4"/>
        <v>1.6736966734710748</v>
      </c>
      <c r="K7" s="303">
        <f>(H7)*(H7)*(I7)</f>
        <v>68</v>
      </c>
      <c r="L7" s="303">
        <f>(H7+1)*(H7+1)*I7</f>
        <v>153</v>
      </c>
      <c r="M7" s="389">
        <v>7</v>
      </c>
      <c r="N7" s="445">
        <f>M7*10+19</f>
        <v>89</v>
      </c>
      <c r="O7" s="675">
        <v>42716</v>
      </c>
      <c r="P7" s="676">
        <f ca="1">IF((TODAY()-O7)&gt;335,1,((TODAY()-O7)^0.64)/(336^0.64))</f>
        <v>1</v>
      </c>
      <c r="Q7" s="445">
        <v>5</v>
      </c>
      <c r="R7" s="500">
        <f>(Q7/7)^0.5</f>
        <v>0.84515425472851657</v>
      </c>
      <c r="S7" s="500">
        <f>IF(Q7=7,1,((Q7+0.99)/7)^0.5)</f>
        <v>0.92504826128926143</v>
      </c>
      <c r="T7" s="324">
        <v>85980</v>
      </c>
      <c r="U7" s="626">
        <f t="shared" si="2"/>
        <v>18300</v>
      </c>
      <c r="V7" s="324">
        <v>18768</v>
      </c>
      <c r="W7" s="316">
        <f>T7/V7</f>
        <v>4.5812020460358056</v>
      </c>
      <c r="X7" s="485">
        <v>0</v>
      </c>
      <c r="Y7" s="486">
        <f>14+1/20+1/20+1/20+1/20+1/20+1/20</f>
        <v>14.300000000000004</v>
      </c>
      <c r="Z7" s="485">
        <f>9+1/9*0.5+1/9*0.16+0.1*0.5+0.1*0.5+0.1*0.5+0.01+0.1*0.5+0.1*0.16+0.01+0.01+0.1*0.5+0.01</f>
        <v>9.3793333333333351</v>
      </c>
      <c r="AA7" s="486">
        <v>13.95</v>
      </c>
      <c r="AB7" s="485">
        <f>8.45+0.15+0.15+0.02+0.12+0.12+0.11+0.01+0.08+0.07+0.07+0.07</f>
        <v>9.4199999999999982</v>
      </c>
      <c r="AC7" s="486">
        <v>0.95</v>
      </c>
      <c r="AD7" s="485">
        <v>11.25</v>
      </c>
      <c r="AE7" s="324">
        <v>1843</v>
      </c>
      <c r="AF7" s="603">
        <f t="shared" ca="1" si="10"/>
        <v>10.186669592621227</v>
      </c>
      <c r="AG7" s="603">
        <f t="shared" ca="1" si="11"/>
        <v>11.158937443461214</v>
      </c>
      <c r="AH7" s="316">
        <f t="shared" ca="1" si="12"/>
        <v>4.3484337950019656</v>
      </c>
      <c r="AI7" s="316">
        <f t="shared" ca="1" si="13"/>
        <v>5.1329341988598491</v>
      </c>
      <c r="AJ7" s="316">
        <f t="shared" ca="1" si="14"/>
        <v>9.1561448380222537</v>
      </c>
      <c r="AK7" s="316">
        <f t="shared" ca="1" si="15"/>
        <v>0.59889573387768602</v>
      </c>
      <c r="AL7" s="316">
        <f t="shared" ca="1" si="16"/>
        <v>1.0966587671429753</v>
      </c>
      <c r="AM7" s="311">
        <f t="shared" ca="1" si="17"/>
        <v>11.739698475262944</v>
      </c>
      <c r="AN7" s="311">
        <f t="shared" ca="1" si="18"/>
        <v>12.860195346421037</v>
      </c>
      <c r="AO7" s="445">
        <v>1</v>
      </c>
      <c r="AP7" s="445">
        <v>2</v>
      </c>
      <c r="AQ7" s="590">
        <f>IF(AO7=4,IF(AP7=0,0.137+0.0697,0.137+0.02),IF(AO7=3,IF(AP7=0,0.0958+0.0697,0.0958+0.02),IF(AO7=2,IF(AP7=0,0.0415+0.0697,0.0415+0.02),IF(AO7=1,IF(AP7=0,0.0294+0.0697,0.0294+0.02),IF(AO7=0,IF(AP7=0,0.0063+0.0697,0.0063+0.02))))))</f>
        <v>4.9399999999999999E-2</v>
      </c>
      <c r="AR7" s="324">
        <v>67680</v>
      </c>
      <c r="AS7" s="248">
        <v>143470</v>
      </c>
      <c r="AT7" s="390">
        <f t="shared" si="20"/>
        <v>57490</v>
      </c>
      <c r="AU7" s="403"/>
    </row>
    <row r="8" spans="1:47" s="254" customFormat="1" x14ac:dyDescent="0.25">
      <c r="A8" s="305" t="s">
        <v>412</v>
      </c>
      <c r="B8" s="260" t="s">
        <v>2</v>
      </c>
      <c r="C8" s="385">
        <f t="shared" ca="1" si="21"/>
        <v>-0.8392857142857143</v>
      </c>
      <c r="D8" s="658" t="s">
        <v>275</v>
      </c>
      <c r="E8" s="210">
        <v>34</v>
      </c>
      <c r="F8" s="211">
        <f ca="1">18-41471+$D$1-112-112-112-112-112-112-112-112-112-112-112-112-112-112-112-112-112</f>
        <v>94</v>
      </c>
      <c r="G8" s="262" t="s">
        <v>502</v>
      </c>
      <c r="H8" s="393">
        <v>4</v>
      </c>
      <c r="I8" s="214">
        <v>9</v>
      </c>
      <c r="J8" s="486">
        <f t="shared" si="4"/>
        <v>1.3333333333333333</v>
      </c>
      <c r="K8" s="303">
        <f t="shared" si="5"/>
        <v>144</v>
      </c>
      <c r="L8" s="303">
        <f t="shared" si="6"/>
        <v>225</v>
      </c>
      <c r="M8" s="296">
        <v>6.5</v>
      </c>
      <c r="N8" s="445">
        <f t="shared" si="7"/>
        <v>84</v>
      </c>
      <c r="O8" s="445" t="s">
        <v>557</v>
      </c>
      <c r="P8" s="676">
        <v>1.5</v>
      </c>
      <c r="Q8" s="446">
        <v>2</v>
      </c>
      <c r="R8" s="500">
        <f t="shared" si="8"/>
        <v>0.53452248382484879</v>
      </c>
      <c r="S8" s="500">
        <f t="shared" si="9"/>
        <v>0.65356167049702141</v>
      </c>
      <c r="T8" s="627">
        <v>2020</v>
      </c>
      <c r="U8" s="626">
        <f t="shared" si="2"/>
        <v>-830</v>
      </c>
      <c r="V8" s="627">
        <v>1960</v>
      </c>
      <c r="W8" s="316">
        <f t="shared" si="3"/>
        <v>1.0306122448979591</v>
      </c>
      <c r="X8" s="485">
        <v>0</v>
      </c>
      <c r="Y8" s="486">
        <v>10.95</v>
      </c>
      <c r="Z8" s="485">
        <v>5.95</v>
      </c>
      <c r="AA8" s="486">
        <v>5.95</v>
      </c>
      <c r="AB8" s="485">
        <f>3.88+0.33+(0.33/3)+(0.33/3)+0.31+0.31+0.04+0.3+0.28+0.28+0.28+0.25+0.25+0.2+0.15+0.15+0.02+0.12+0.12+0.11+0.11*35/90+0.08</f>
        <v>7.7227777777777789</v>
      </c>
      <c r="AC8" s="486">
        <v>2.99</v>
      </c>
      <c r="AD8" s="485">
        <v>16</v>
      </c>
      <c r="AE8" s="324">
        <v>984</v>
      </c>
      <c r="AF8" s="603">
        <f t="shared" si="10"/>
        <v>4.6948891495949221</v>
      </c>
      <c r="AG8" s="603">
        <f t="shared" si="11"/>
        <v>5.750041407718399</v>
      </c>
      <c r="AH8" s="316">
        <f t="shared" si="12"/>
        <v>2.3315573787504449</v>
      </c>
      <c r="AI8" s="316">
        <f t="shared" si="13"/>
        <v>6.6414774963560017</v>
      </c>
      <c r="AJ8" s="316">
        <f t="shared" si="14"/>
        <v>7.9805988576662665</v>
      </c>
      <c r="AK8" s="316">
        <f t="shared" si="15"/>
        <v>0.85616666666666652</v>
      </c>
      <c r="AL8" s="316">
        <f t="shared" si="16"/>
        <v>1.1163333333333334</v>
      </c>
      <c r="AM8" s="311">
        <f t="shared" si="17"/>
        <v>10.034228902023875</v>
      </c>
      <c r="AN8" s="311">
        <f t="shared" si="18"/>
        <v>12.289370386122995</v>
      </c>
      <c r="AO8" s="446">
        <v>2</v>
      </c>
      <c r="AP8" s="446">
        <v>3</v>
      </c>
      <c r="AQ8" s="590">
        <f t="shared" si="19"/>
        <v>6.1499999999999999E-2</v>
      </c>
      <c r="AR8" s="627">
        <v>2850</v>
      </c>
      <c r="AS8" s="254">
        <v>3590</v>
      </c>
      <c r="AT8" s="390">
        <f t="shared" si="20"/>
        <v>1570</v>
      </c>
      <c r="AU8" s="403"/>
    </row>
    <row r="9" spans="1:47" s="246" customFormat="1" x14ac:dyDescent="0.25">
      <c r="A9" s="384" t="s">
        <v>504</v>
      </c>
      <c r="B9" s="384" t="s">
        <v>2</v>
      </c>
      <c r="C9" s="385">
        <f t="shared" ca="1" si="21"/>
        <v>-0.42857142857142855</v>
      </c>
      <c r="D9" s="657" t="s">
        <v>269</v>
      </c>
      <c r="E9" s="387">
        <v>34</v>
      </c>
      <c r="F9" s="394">
        <f ca="1">84-41471+$D$1-112-112-112-112-112-112-112-112-112-112-112-112-112-112-112-112-112-112</f>
        <v>48</v>
      </c>
      <c r="G9" s="388"/>
      <c r="H9" s="393">
        <v>4</v>
      </c>
      <c r="I9" s="308">
        <v>16</v>
      </c>
      <c r="J9" s="486">
        <f t="shared" si="4"/>
        <v>1.6405985618376986</v>
      </c>
      <c r="K9" s="303">
        <f t="shared" si="5"/>
        <v>256</v>
      </c>
      <c r="L9" s="303">
        <f t="shared" si="6"/>
        <v>400</v>
      </c>
      <c r="M9" s="389">
        <v>6.5</v>
      </c>
      <c r="N9" s="445">
        <f t="shared" si="7"/>
        <v>84</v>
      </c>
      <c r="O9" s="445" t="s">
        <v>557</v>
      </c>
      <c r="P9" s="676">
        <v>1.5</v>
      </c>
      <c r="Q9" s="445">
        <v>5</v>
      </c>
      <c r="R9" s="500">
        <f t="shared" si="8"/>
        <v>0.84515425472851657</v>
      </c>
      <c r="S9" s="500">
        <f t="shared" si="9"/>
        <v>0.92504826128926143</v>
      </c>
      <c r="T9" s="324">
        <v>24920</v>
      </c>
      <c r="U9" s="626">
        <f t="shared" si="2"/>
        <v>-3150</v>
      </c>
      <c r="V9" s="324">
        <v>8330</v>
      </c>
      <c r="W9" s="316">
        <f t="shared" si="3"/>
        <v>2.9915966386554622</v>
      </c>
      <c r="X9" s="485">
        <v>0</v>
      </c>
      <c r="Y9" s="486">
        <f>9.9+0.14+0.14+0.14+0.14+0.13+0.13+0.13+0.12+0.12+0.09+0.09+0.09+0.09+0.08+0.08+0.08+0.08+0.08+0.07+0.07+0.07+0.07+0.07</f>
        <v>12.200000000000005</v>
      </c>
      <c r="Z9" s="485">
        <v>12.95</v>
      </c>
      <c r="AA9" s="486">
        <f>8.8+0.14+0.14+0.14+0.13+0.12*0.5+0.12*0.5+0.12*0.5+0.12*0.5+0.12*0.5+0.12*0.5+0.11+0.11*0.5</f>
        <v>9.8750000000000053</v>
      </c>
      <c r="AB9" s="485">
        <f>4.57+0.36+0.36+0.36+0.36+0.25+0.25+0.25+0.25+0.25+0.25+0.25+0.25+0.2+0.2+0.15+0.15+0.14+0.12+0.12+0.11+0.11+0.08+0.07+0.07+0.07</f>
        <v>9.6</v>
      </c>
      <c r="AC9" s="486">
        <v>2.99</v>
      </c>
      <c r="AD9" s="485">
        <f>10.7+0.5+0.5*77/90+0.5+0.45+0.45+0.4+0.35+0.35+0.3+0.35+0.3+0.3+0.3+0.25+0.25+0.2+0.2+0.2+0.2+0.2</f>
        <v>17.177777777777774</v>
      </c>
      <c r="AE9" s="324">
        <v>1773</v>
      </c>
      <c r="AF9" s="603">
        <f t="shared" si="10"/>
        <v>13.59903783566568</v>
      </c>
      <c r="AG9" s="603">
        <f t="shared" si="11"/>
        <v>14.89699956592065</v>
      </c>
      <c r="AH9" s="316">
        <f t="shared" si="12"/>
        <v>4.3125892886586996</v>
      </c>
      <c r="AI9" s="316">
        <f t="shared" si="13"/>
        <v>11.622477302219586</v>
      </c>
      <c r="AJ9" s="316">
        <f t="shared" si="14"/>
        <v>13.574903986391762</v>
      </c>
      <c r="AK9" s="316">
        <f t="shared" si="15"/>
        <v>0.91608121828034916</v>
      </c>
      <c r="AL9" s="316">
        <f t="shared" si="16"/>
        <v>1.2231752326619723</v>
      </c>
      <c r="AM9" s="311">
        <f t="shared" si="17"/>
        <v>17.142492859823001</v>
      </c>
      <c r="AN9" s="311">
        <f t="shared" si="18"/>
        <v>18.778660062392603</v>
      </c>
      <c r="AO9" s="445">
        <v>2</v>
      </c>
      <c r="AP9" s="445">
        <v>3</v>
      </c>
      <c r="AQ9" s="590">
        <f t="shared" si="19"/>
        <v>6.1499999999999999E-2</v>
      </c>
      <c r="AR9" s="324">
        <v>28070</v>
      </c>
      <c r="AS9" s="246">
        <v>61010</v>
      </c>
      <c r="AT9" s="390">
        <f t="shared" si="20"/>
        <v>36090</v>
      </c>
      <c r="AU9" s="403"/>
    </row>
    <row r="10" spans="1:47" s="247" customFormat="1" x14ac:dyDescent="0.25">
      <c r="A10" s="384" t="s">
        <v>405</v>
      </c>
      <c r="B10" s="260" t="s">
        <v>2</v>
      </c>
      <c r="C10" s="385">
        <f t="shared" ca="1" si="21"/>
        <v>-0.29464285714285715</v>
      </c>
      <c r="D10" s="657" t="s">
        <v>273</v>
      </c>
      <c r="E10" s="210">
        <v>34</v>
      </c>
      <c r="F10" s="211">
        <f ca="1">69-41471+$D$1-112-112-112-112-112-112-112-112-112-112-112-112-112-112-112-112-112-112</f>
        <v>33</v>
      </c>
      <c r="G10" s="262"/>
      <c r="H10" s="371">
        <v>3</v>
      </c>
      <c r="I10" s="214">
        <v>11</v>
      </c>
      <c r="J10" s="486">
        <f t="shared" si="4"/>
        <v>1.4389083280634998</v>
      </c>
      <c r="K10" s="303">
        <f t="shared" si="5"/>
        <v>99</v>
      </c>
      <c r="L10" s="303">
        <f t="shared" si="6"/>
        <v>176</v>
      </c>
      <c r="M10" s="296">
        <v>6.5</v>
      </c>
      <c r="N10" s="445">
        <f t="shared" si="7"/>
        <v>84</v>
      </c>
      <c r="O10" s="445" t="s">
        <v>557</v>
      </c>
      <c r="P10" s="676">
        <v>1.5</v>
      </c>
      <c r="Q10" s="446">
        <v>5</v>
      </c>
      <c r="R10" s="500">
        <f t="shared" si="8"/>
        <v>0.84515425472851657</v>
      </c>
      <c r="S10" s="500">
        <f t="shared" si="9"/>
        <v>0.92504826128926143</v>
      </c>
      <c r="T10" s="324">
        <v>6720</v>
      </c>
      <c r="U10" s="626">
        <f t="shared" si="2"/>
        <v>550</v>
      </c>
      <c r="V10" s="627">
        <v>3170</v>
      </c>
      <c r="W10" s="316">
        <f t="shared" si="3"/>
        <v>2.1198738170347005</v>
      </c>
      <c r="X10" s="485">
        <v>0</v>
      </c>
      <c r="Y10" s="486">
        <v>11.95</v>
      </c>
      <c r="Z10" s="485">
        <v>6.95</v>
      </c>
      <c r="AA10" s="486">
        <f>6.18+0.2+0.2+0.2+0.15*0.5+0.15*0.5+0.15*0.5+0.15*0.5+0.14*0.5+0.14*0.5+0.14+0.14*0.5+0.14*0.5</f>
        <v>7.5000000000000018</v>
      </c>
      <c r="AB10" s="485">
        <v>8.9</v>
      </c>
      <c r="AC10" s="486">
        <v>3.9</v>
      </c>
      <c r="AD10" s="485">
        <v>16</v>
      </c>
      <c r="AE10" s="324">
        <v>1219</v>
      </c>
      <c r="AF10" s="603">
        <f t="shared" si="10"/>
        <v>8.3576529480831265</v>
      </c>
      <c r="AG10" s="603">
        <f t="shared" si="11"/>
        <v>9.1553500949293625</v>
      </c>
      <c r="AH10" s="316">
        <f t="shared" si="12"/>
        <v>4.0743539639166482</v>
      </c>
      <c r="AI10" s="316">
        <f t="shared" si="13"/>
        <v>11.9749799905477</v>
      </c>
      <c r="AJ10" s="316">
        <f t="shared" si="14"/>
        <v>12.938389008711688</v>
      </c>
      <c r="AK10" s="316">
        <f t="shared" si="15"/>
        <v>0.91011266624507992</v>
      </c>
      <c r="AL10" s="316">
        <f t="shared" si="16"/>
        <v>1.163723582964445</v>
      </c>
      <c r="AM10" s="311">
        <f t="shared" si="17"/>
        <v>15.963716069355213</v>
      </c>
      <c r="AN10" s="311">
        <f t="shared" si="18"/>
        <v>17.487374785587107</v>
      </c>
      <c r="AO10" s="446">
        <v>3</v>
      </c>
      <c r="AP10" s="446">
        <v>2</v>
      </c>
      <c r="AQ10" s="590">
        <f t="shared" si="19"/>
        <v>0.1158</v>
      </c>
      <c r="AR10" s="324">
        <v>6170</v>
      </c>
      <c r="AS10" s="247">
        <v>15560</v>
      </c>
      <c r="AT10" s="390">
        <f t="shared" si="20"/>
        <v>8840</v>
      </c>
      <c r="AU10" s="403"/>
    </row>
    <row r="11" spans="1:47" s="264" customFormat="1" x14ac:dyDescent="0.25">
      <c r="A11" s="304" t="s">
        <v>495</v>
      </c>
      <c r="B11" s="260" t="s">
        <v>2</v>
      </c>
      <c r="C11" s="385">
        <f t="shared" ca="1" si="21"/>
        <v>3.5</v>
      </c>
      <c r="D11" s="658" t="s">
        <v>567</v>
      </c>
      <c r="E11" s="210">
        <v>30</v>
      </c>
      <c r="F11" s="211">
        <f ca="1">75-41471+$D$1-24-112-10-112-112+6-112-112-112+45-112-112-112-112-112-112-112-112-112-112-112-112</f>
        <v>56</v>
      </c>
      <c r="G11" s="262"/>
      <c r="H11" s="393">
        <v>4</v>
      </c>
      <c r="I11" s="214">
        <v>5.5</v>
      </c>
      <c r="J11" s="486">
        <f t="shared" si="4"/>
        <v>1.0838844755238075</v>
      </c>
      <c r="K11" s="303">
        <f t="shared" si="5"/>
        <v>88</v>
      </c>
      <c r="L11" s="303">
        <f t="shared" si="6"/>
        <v>137.5</v>
      </c>
      <c r="M11" s="296">
        <v>7.9</v>
      </c>
      <c r="N11" s="445">
        <f t="shared" si="7"/>
        <v>98</v>
      </c>
      <c r="O11" s="445" t="s">
        <v>557</v>
      </c>
      <c r="P11" s="676">
        <v>1.5</v>
      </c>
      <c r="Q11" s="446">
        <v>5</v>
      </c>
      <c r="R11" s="500">
        <f t="shared" si="8"/>
        <v>0.84515425472851657</v>
      </c>
      <c r="S11" s="500">
        <f t="shared" si="9"/>
        <v>0.92504826128926143</v>
      </c>
      <c r="T11" s="627">
        <v>25780</v>
      </c>
      <c r="U11" s="626">
        <f t="shared" si="2"/>
        <v>-1810</v>
      </c>
      <c r="V11" s="627">
        <v>2270</v>
      </c>
      <c r="W11" s="316">
        <f t="shared" si="3"/>
        <v>11.3568281938326</v>
      </c>
      <c r="X11" s="485">
        <v>0</v>
      </c>
      <c r="Y11" s="486">
        <f>6.51+0.25+0.25+0.25+0.2+0.2+0.2+0.2+0.19+0.19+0.17+0.16+0.16+0.03+0.16+0.15*33/90+0.14+0.13+0.13*36/90+0.02+0.12*32/90+0.02+0.02+0.15*3/90</f>
        <v>9.6046666666666667</v>
      </c>
      <c r="Z11" s="485">
        <f>6.92+0.04+0.04+0.04+0.13+0.04+0.03+0.03+(0.25*30/90*0.5)+(0.25*60/90*0.16)+0.03+0.03+0.25*0.5*1/90+0.026+0.03+0.03+0.03+0.03+0.25*0.5+0.02+0.02+0.02+0.01+0.01+0.01</f>
        <v>7.7607222222222223</v>
      </c>
      <c r="AA11" s="486">
        <f>5.8+0.05+0.05+0.05+0.05+0.04+0.04+0.03+0.02+0.02+0.01</f>
        <v>6.1599999999999984</v>
      </c>
      <c r="AB11" s="485">
        <f>4.28+(0.4/3)+0.4+0.4+0.35+0.35+0.35+0.35+0.3+0.3+0.25+0.25+0.25+0.2+0.04+0.17+0.16+0.03+0.15+0.13+0.02</f>
        <v>8.8633333333333315</v>
      </c>
      <c r="AC11" s="486">
        <f>2.7+0.08+0.08+0.08+0.08+0.08+0.06+0.06+0.06*10/90+0.03</f>
        <v>3.2566666666666673</v>
      </c>
      <c r="AD11" s="485">
        <f>9+1*5/90+0.85+0.85*30/90+0.65+0.55+0.5+0.4+0.35+0.35+0.25+0.25*35/90</f>
        <v>13.33611111111111</v>
      </c>
      <c r="AE11" s="324">
        <v>1011</v>
      </c>
      <c r="AF11" s="603">
        <f t="shared" si="10"/>
        <v>8.7427883640931672</v>
      </c>
      <c r="AG11" s="603">
        <f t="shared" si="11"/>
        <v>9.5772448050150327</v>
      </c>
      <c r="AH11" s="316">
        <f t="shared" si="12"/>
        <v>3.7063169410897148</v>
      </c>
      <c r="AI11" s="316">
        <f t="shared" si="13"/>
        <v>9.1710329022980641</v>
      </c>
      <c r="AJ11" s="316">
        <f t="shared" si="14"/>
        <v>10.899246398047129</v>
      </c>
      <c r="AK11" s="316">
        <f t="shared" si="15"/>
        <v>0.76962742470857126</v>
      </c>
      <c r="AL11" s="316">
        <f t="shared" si="16"/>
        <v>0.96514191328666654</v>
      </c>
      <c r="AM11" s="311">
        <f t="shared" si="17"/>
        <v>13.373096665271651</v>
      </c>
      <c r="AN11" s="311">
        <f t="shared" si="18"/>
        <v>14.649493414532794</v>
      </c>
      <c r="AO11" s="446">
        <v>3</v>
      </c>
      <c r="AP11" s="446">
        <v>2</v>
      </c>
      <c r="AQ11" s="590">
        <f t="shared" si="19"/>
        <v>0.1158</v>
      </c>
      <c r="AR11" s="627">
        <v>27590</v>
      </c>
      <c r="AS11" s="264">
        <v>24340</v>
      </c>
      <c r="AT11" s="390">
        <f t="shared" si="20"/>
        <v>-1440</v>
      </c>
      <c r="AU11" s="403"/>
    </row>
    <row r="12" spans="1:47" s="264" customFormat="1" x14ac:dyDescent="0.25">
      <c r="A12" s="384" t="s">
        <v>408</v>
      </c>
      <c r="B12" s="384" t="s">
        <v>65</v>
      </c>
      <c r="C12" s="385">
        <f t="shared" ca="1" si="21"/>
        <v>-8.9285714285714288E-2</v>
      </c>
      <c r="D12" s="657" t="s">
        <v>815</v>
      </c>
      <c r="E12" s="387">
        <v>34</v>
      </c>
      <c r="F12" s="211">
        <f ca="1">46-41471+$D$1-112-112-112-112-112-112-112-112-112-112-112-112-112-112-112-112-112-112</f>
        <v>10</v>
      </c>
      <c r="G12" s="388" t="s">
        <v>271</v>
      </c>
      <c r="H12" s="371">
        <v>0</v>
      </c>
      <c r="I12" s="308">
        <v>15</v>
      </c>
      <c r="J12" s="486">
        <f t="shared" si="4"/>
        <v>1.6054933102078996</v>
      </c>
      <c r="K12" s="303">
        <f t="shared" si="5"/>
        <v>0</v>
      </c>
      <c r="L12" s="303">
        <f t="shared" si="6"/>
        <v>15</v>
      </c>
      <c r="M12" s="389">
        <v>6.5</v>
      </c>
      <c r="N12" s="445">
        <f t="shared" si="7"/>
        <v>84</v>
      </c>
      <c r="O12" s="445" t="s">
        <v>557</v>
      </c>
      <c r="P12" s="676">
        <v>1.5</v>
      </c>
      <c r="Q12" s="445">
        <v>6</v>
      </c>
      <c r="R12" s="500">
        <f t="shared" si="8"/>
        <v>0.92582009977255142</v>
      </c>
      <c r="S12" s="500">
        <f t="shared" si="9"/>
        <v>0.99928545900129484</v>
      </c>
      <c r="T12" s="324">
        <v>41260</v>
      </c>
      <c r="U12" s="626">
        <f t="shared" si="2"/>
        <v>-43460</v>
      </c>
      <c r="V12" s="324">
        <v>8370</v>
      </c>
      <c r="W12" s="316">
        <f t="shared" si="3"/>
        <v>4.9295101553166072</v>
      </c>
      <c r="X12" s="485">
        <v>0</v>
      </c>
      <c r="Y12" s="486">
        <v>11.95</v>
      </c>
      <c r="Z12" s="485">
        <f>9.9+0.17+(0.17/90*26)+0.17+0.15+0.15+0.15+0.13+0.13+(1/8)+0.13+0.13+0.13*0.5+0.11+0.11+0.11*0.5+0.11*0.5+0.1*0.5+0.1*0.5+0.1+0.1+0.1*0.5+0.09+0.09*0.5+0.09*0.5+0.09*0.5+0.09*0.5+0.09*0.5+0.09*0.5+0.09*0.5+0.09*0.5+0.07*0.5</f>
        <v>12.614111111111114</v>
      </c>
      <c r="AA12" s="486">
        <v>12.95</v>
      </c>
      <c r="AB12" s="485">
        <v>10.95</v>
      </c>
      <c r="AC12" s="486">
        <v>6.99</v>
      </c>
      <c r="AD12" s="485">
        <f>10.8+0.67+0.55+0.55+0.45+0.45+0.4+0.4+0.35+0.35+0.33+0.33+0.3+0.3+0.25+0.25+0.2+0.2+0.2+0.2</f>
        <v>17.529999999999998</v>
      </c>
      <c r="AE12" s="324">
        <v>2004</v>
      </c>
      <c r="AF12" s="603">
        <f t="shared" si="10"/>
        <v>14.553525733730609</v>
      </c>
      <c r="AG12" s="603">
        <f t="shared" si="11"/>
        <v>15.719604421319014</v>
      </c>
      <c r="AH12" s="316">
        <f t="shared" si="12"/>
        <v>4.9955493445249832</v>
      </c>
      <c r="AI12" s="316">
        <f t="shared" si="13"/>
        <v>18.986755838508749</v>
      </c>
      <c r="AJ12" s="316">
        <f t="shared" si="14"/>
        <v>16.177311319831688</v>
      </c>
      <c r="AK12" s="316">
        <f t="shared" si="15"/>
        <v>1.1238394648166321</v>
      </c>
      <c r="AL12" s="316">
        <f t="shared" si="16"/>
        <v>1.2212845317145529</v>
      </c>
      <c r="AM12" s="311">
        <f t="shared" si="17"/>
        <v>19.070155067739059</v>
      </c>
      <c r="AN12" s="311">
        <f t="shared" si="18"/>
        <v>20.598121678740906</v>
      </c>
      <c r="AO12" s="445">
        <v>1</v>
      </c>
      <c r="AP12" s="445">
        <v>2</v>
      </c>
      <c r="AQ12" s="590">
        <f t="shared" si="19"/>
        <v>4.9399999999999999E-2</v>
      </c>
      <c r="AR12" s="324">
        <v>84720</v>
      </c>
      <c r="AS12" s="264">
        <v>91970</v>
      </c>
      <c r="AT12" s="390">
        <f t="shared" si="20"/>
        <v>50710</v>
      </c>
      <c r="AU12" s="403"/>
    </row>
    <row r="13" spans="1:47" s="254" customFormat="1" x14ac:dyDescent="0.25">
      <c r="A13" s="384" t="s">
        <v>410</v>
      </c>
      <c r="B13" s="384" t="s">
        <v>65</v>
      </c>
      <c r="C13" s="385">
        <f t="shared" ca="1" si="21"/>
        <v>0.38392857142857145</v>
      </c>
      <c r="D13" s="657" t="s">
        <v>298</v>
      </c>
      <c r="E13" s="387">
        <v>33</v>
      </c>
      <c r="F13" s="394">
        <f ca="1">75-41471+$D$1-24-112-10-112-40-8-112-112-112-112-112-112-112-112-112-112-112-112-112-112-112</f>
        <v>69</v>
      </c>
      <c r="G13" s="388" t="s">
        <v>268</v>
      </c>
      <c r="H13" s="371">
        <v>2</v>
      </c>
      <c r="I13" s="308">
        <v>12.1</v>
      </c>
      <c r="J13" s="486">
        <f t="shared" si="4"/>
        <v>1.4896950608743522</v>
      </c>
      <c r="K13" s="303">
        <f t="shared" si="5"/>
        <v>48.4</v>
      </c>
      <c r="L13" s="303">
        <f t="shared" si="6"/>
        <v>108.89999999999999</v>
      </c>
      <c r="M13" s="389">
        <v>7</v>
      </c>
      <c r="N13" s="445">
        <f t="shared" si="7"/>
        <v>89</v>
      </c>
      <c r="O13" s="445" t="s">
        <v>557</v>
      </c>
      <c r="P13" s="676">
        <v>1.5</v>
      </c>
      <c r="Q13" s="445">
        <v>6</v>
      </c>
      <c r="R13" s="500">
        <f t="shared" si="8"/>
        <v>0.92582009977255142</v>
      </c>
      <c r="S13" s="500">
        <f t="shared" si="9"/>
        <v>0.99928545900129484</v>
      </c>
      <c r="T13" s="324">
        <v>42290</v>
      </c>
      <c r="U13" s="626">
        <f t="shared" si="2"/>
        <v>3580</v>
      </c>
      <c r="V13" s="324">
        <v>6850</v>
      </c>
      <c r="W13" s="316">
        <f t="shared" si="3"/>
        <v>6.1737226277372264</v>
      </c>
      <c r="X13" s="485">
        <v>0</v>
      </c>
      <c r="Y13" s="486">
        <f>7+0.11+0.11+1/33</f>
        <v>7.2503030303030309</v>
      </c>
      <c r="Z13" s="485">
        <f>10+0.1*0.5+0.1*0.5+0.1*0.5+0.1*0.5+0.1*0.5+0.1+0.1+0.1*0.5+0.1*0.5+0.1*0.5</f>
        <v>10.600000000000005</v>
      </c>
      <c r="AA13" s="486">
        <f>12+0.165+0.15+0.15+0.15+0.13+0.13+0.12+0.11+0.1+0.1+1/12+1/12</f>
        <v>13.471666666666668</v>
      </c>
      <c r="AB13" s="485">
        <f>6.1+0.33+0.3+0.3+0.25+0.25+0.25+0.25+0.25+0.2+0.2+0.2+0.2+0.15+0.13+0.13+0.13+0.12+0.12+0.11+0.1+0.08+0.07+0.07+0.07</f>
        <v>10.359999999999998</v>
      </c>
      <c r="AC13" s="486">
        <v>4.99</v>
      </c>
      <c r="AD13" s="485">
        <v>18</v>
      </c>
      <c r="AE13" s="324">
        <v>1620</v>
      </c>
      <c r="AF13" s="603">
        <f t="shared" si="10"/>
        <v>12.581612837137246</v>
      </c>
      <c r="AG13" s="603">
        <f t="shared" si="11"/>
        <v>13.589695060874357</v>
      </c>
      <c r="AH13" s="316">
        <f t="shared" si="12"/>
        <v>4.2749035101035293</v>
      </c>
      <c r="AI13" s="316">
        <f t="shared" si="13"/>
        <v>15.915427156734337</v>
      </c>
      <c r="AJ13" s="316">
        <f t="shared" si="14"/>
        <v>15.819205726041854</v>
      </c>
      <c r="AK13" s="316">
        <f t="shared" si="15"/>
        <v>1.0286756048699481</v>
      </c>
      <c r="AL13" s="316">
        <f t="shared" si="16"/>
        <v>1.0392907754733258</v>
      </c>
      <c r="AM13" s="311">
        <f t="shared" si="17"/>
        <v>19.390111225002933</v>
      </c>
      <c r="AN13" s="311">
        <f t="shared" si="18"/>
        <v>20.943713827088601</v>
      </c>
      <c r="AO13" s="445">
        <v>4</v>
      </c>
      <c r="AP13" s="445">
        <v>4</v>
      </c>
      <c r="AQ13" s="590">
        <f t="shared" si="19"/>
        <v>0.157</v>
      </c>
      <c r="AR13" s="324">
        <v>38710</v>
      </c>
      <c r="AS13" s="254">
        <v>56140</v>
      </c>
      <c r="AT13" s="390">
        <f t="shared" si="20"/>
        <v>13850</v>
      </c>
      <c r="AU13" s="403"/>
    </row>
    <row r="14" spans="1:47" s="263" customFormat="1" x14ac:dyDescent="0.25">
      <c r="A14" s="384" t="s">
        <v>409</v>
      </c>
      <c r="B14" s="384" t="s">
        <v>65</v>
      </c>
      <c r="C14" s="385">
        <f t="shared" ca="1" si="21"/>
        <v>3.25</v>
      </c>
      <c r="D14" s="657" t="s">
        <v>507</v>
      </c>
      <c r="E14" s="387">
        <v>30</v>
      </c>
      <c r="F14" s="211">
        <f ca="1">7-41471+$D$1-112-111-112+4-112-116-112-112-112-112-112-112-112-112-112-112-112-112</f>
        <v>84</v>
      </c>
      <c r="G14" s="388" t="s">
        <v>502</v>
      </c>
      <c r="H14" s="371">
        <v>2</v>
      </c>
      <c r="I14" s="308">
        <v>11.4</v>
      </c>
      <c r="J14" s="486">
        <f t="shared" si="4"/>
        <v>1.4578955802163136</v>
      </c>
      <c r="K14" s="303">
        <f t="shared" si="5"/>
        <v>45.6</v>
      </c>
      <c r="L14" s="303">
        <f t="shared" si="6"/>
        <v>102.60000000000001</v>
      </c>
      <c r="M14" s="389">
        <v>7.9</v>
      </c>
      <c r="N14" s="445">
        <f t="shared" si="7"/>
        <v>98</v>
      </c>
      <c r="O14" s="445" t="s">
        <v>557</v>
      </c>
      <c r="P14" s="676">
        <v>1.5</v>
      </c>
      <c r="Q14" s="445">
        <v>5</v>
      </c>
      <c r="R14" s="500">
        <f t="shared" si="8"/>
        <v>0.84515425472851657</v>
      </c>
      <c r="S14" s="500">
        <f t="shared" si="9"/>
        <v>0.92504826128926143</v>
      </c>
      <c r="T14" s="324">
        <v>170760</v>
      </c>
      <c r="U14" s="626">
        <f t="shared" si="2"/>
        <v>8780</v>
      </c>
      <c r="V14" s="324">
        <v>14170</v>
      </c>
      <c r="W14" s="316">
        <f t="shared" si="3"/>
        <v>12.050811573747353</v>
      </c>
      <c r="X14" s="485">
        <v>0</v>
      </c>
      <c r="Y14" s="486">
        <f>8+0.12+0.12+0.12</f>
        <v>8.3599999999999977</v>
      </c>
      <c r="Z14" s="485">
        <f>8.4+0.22+0.22+(0.22*75/90)+(0.05*15/90)+0.17+0.17+0.17+0.17+0.17+1/7+0.16+0.16+0.16+0.125+0.16+0.16+0.14+0.14+0.05*61/90+0.11+0.11*0.5+0.11+0.11+0.11+0.1+0.1+0.1*0.5+0.1*0.5+0.1+0.1*0.5+0.09*0.5</f>
        <v>12.253412698412699</v>
      </c>
      <c r="AA14" s="486">
        <f>10.6+0.21+0.2+0.18+0.17+0.17+0.03+0.15+0.15+0.14+0.13+0.12+0.11+0.09</f>
        <v>12.45</v>
      </c>
      <c r="AB14" s="485">
        <f>6+0.33+0.33+0.33+0.3+0.25+0.25+0.24+0.24+0.23+0.2+0.2+0.18+0.15+0.15+0.15+0.15+0.13+0.13+0.12+0.1+0.08</f>
        <v>10.24</v>
      </c>
      <c r="AC14" s="486">
        <f>4.7+0.33+0.33+(0.33*85/90)+0.33+0.32+0.3+0.3+0.27+0.21+0.15*0.5</f>
        <v>7.4766666666666666</v>
      </c>
      <c r="AD14" s="485">
        <v>16</v>
      </c>
      <c r="AE14" s="324">
        <v>1801</v>
      </c>
      <c r="AF14" s="603">
        <f t="shared" si="10"/>
        <v>12.855901911670417</v>
      </c>
      <c r="AG14" s="603">
        <f t="shared" si="11"/>
        <v>14.082934948191349</v>
      </c>
      <c r="AH14" s="316">
        <f t="shared" si="12"/>
        <v>3.9842353512947364</v>
      </c>
      <c r="AI14" s="316">
        <f t="shared" si="13"/>
        <v>17.028350392181874</v>
      </c>
      <c r="AJ14" s="316">
        <f t="shared" si="14"/>
        <v>13.86128668097794</v>
      </c>
      <c r="AK14" s="316">
        <f t="shared" si="15"/>
        <v>1.0904649797506383</v>
      </c>
      <c r="AL14" s="316">
        <f t="shared" si="16"/>
        <v>1.0214526906151418</v>
      </c>
      <c r="AM14" s="311">
        <f t="shared" si="17"/>
        <v>15.981196300349348</v>
      </c>
      <c r="AN14" s="311">
        <f t="shared" si="18"/>
        <v>17.506523419238885</v>
      </c>
      <c r="AO14" s="445">
        <v>3</v>
      </c>
      <c r="AP14" s="445">
        <v>2</v>
      </c>
      <c r="AQ14" s="590">
        <f t="shared" si="19"/>
        <v>0.1158</v>
      </c>
      <c r="AR14" s="324">
        <v>161980</v>
      </c>
      <c r="AS14" s="263">
        <v>134410</v>
      </c>
      <c r="AT14" s="390">
        <f t="shared" si="20"/>
        <v>-36350</v>
      </c>
      <c r="AU14" s="403"/>
    </row>
    <row r="15" spans="1:47" s="264" customFormat="1" x14ac:dyDescent="0.25">
      <c r="A15" s="384" t="s">
        <v>406</v>
      </c>
      <c r="B15" s="260" t="s">
        <v>64</v>
      </c>
      <c r="C15" s="385">
        <f t="shared" ca="1" si="21"/>
        <v>1.2767857142857142</v>
      </c>
      <c r="D15" s="658" t="s">
        <v>618</v>
      </c>
      <c r="E15" s="210">
        <v>32</v>
      </c>
      <c r="F15" s="211">
        <f ca="1">7-41471+$D$1-112-111-3-112-112-112-112-112-112-112-112-112-112-112-112-112-112-112</f>
        <v>81</v>
      </c>
      <c r="G15" s="388" t="s">
        <v>268</v>
      </c>
      <c r="H15" s="371">
        <v>3</v>
      </c>
      <c r="I15" s="214">
        <v>13</v>
      </c>
      <c r="J15" s="486">
        <f t="shared" si="4"/>
        <v>1.5281707142376506</v>
      </c>
      <c r="K15" s="303">
        <f t="shared" si="5"/>
        <v>117</v>
      </c>
      <c r="L15" s="303">
        <f t="shared" si="6"/>
        <v>208</v>
      </c>
      <c r="M15" s="296">
        <v>7.3</v>
      </c>
      <c r="N15" s="445">
        <f t="shared" si="7"/>
        <v>92</v>
      </c>
      <c r="O15" s="445" t="s">
        <v>557</v>
      </c>
      <c r="P15" s="676">
        <v>1.5</v>
      </c>
      <c r="Q15" s="446">
        <v>6</v>
      </c>
      <c r="R15" s="500">
        <f t="shared" si="8"/>
        <v>0.92582009977255142</v>
      </c>
      <c r="S15" s="500">
        <f t="shared" si="9"/>
        <v>0.99928545900129484</v>
      </c>
      <c r="T15" s="324">
        <v>119470</v>
      </c>
      <c r="U15" s="626">
        <f t="shared" si="2"/>
        <v>4550</v>
      </c>
      <c r="V15" s="627">
        <v>18040</v>
      </c>
      <c r="W15" s="316">
        <f t="shared" si="3"/>
        <v>6.6225055432372502</v>
      </c>
      <c r="X15" s="485">
        <v>0</v>
      </c>
      <c r="Y15" s="486">
        <f>5.6+0.26+0.26+0.26+(0.26*23/90)+(0.05*(90-23)/90)+0.26+0.26+0.23+0.23+0.22+0.15+0.15+0.14+0.13+0.13+0.13+0.12+0.12+0.12+0.02+0.1+0.1+0.1+0.01+0.1</f>
        <v>9.3036666666666648</v>
      </c>
      <c r="Z15" s="485">
        <v>14</v>
      </c>
      <c r="AA15" s="486">
        <f>11.58+0.17+(0.17/2)+0.17+0.15+0.03+0.15+0.14+0.13+0.12+0.11+0.11</f>
        <v>12.945</v>
      </c>
      <c r="AB15" s="485">
        <v>10</v>
      </c>
      <c r="AC15" s="486">
        <v>4.99</v>
      </c>
      <c r="AD15" s="485">
        <v>16</v>
      </c>
      <c r="AE15" s="324">
        <v>1943</v>
      </c>
      <c r="AF15" s="603">
        <f t="shared" si="10"/>
        <v>15.765022709599538</v>
      </c>
      <c r="AG15" s="603">
        <f t="shared" si="11"/>
        <v>17.02817071423765</v>
      </c>
      <c r="AH15" s="316">
        <f t="shared" si="12"/>
        <v>4.4425684419232967</v>
      </c>
      <c r="AI15" s="316">
        <f t="shared" si="13"/>
        <v>14.975748635435258</v>
      </c>
      <c r="AJ15" s="316">
        <f t="shared" si="14"/>
        <v>14.558679119595904</v>
      </c>
      <c r="AK15" s="316">
        <f t="shared" si="15"/>
        <v>0.97175365713901196</v>
      </c>
      <c r="AL15" s="316">
        <f t="shared" si="16"/>
        <v>1.0641186166633021</v>
      </c>
      <c r="AM15" s="311">
        <f t="shared" si="17"/>
        <v>17.576933273451232</v>
      </c>
      <c r="AN15" s="311">
        <f t="shared" si="18"/>
        <v>18.985257803075783</v>
      </c>
      <c r="AO15" s="446">
        <v>3</v>
      </c>
      <c r="AP15" s="446">
        <v>3</v>
      </c>
      <c r="AQ15" s="590">
        <f t="shared" si="19"/>
        <v>0.1158</v>
      </c>
      <c r="AR15" s="324">
        <v>114920</v>
      </c>
      <c r="AS15" s="264">
        <v>94320</v>
      </c>
      <c r="AT15" s="390">
        <f t="shared" si="20"/>
        <v>-25150</v>
      </c>
      <c r="AU15" s="403"/>
    </row>
    <row r="16" spans="1:47" x14ac:dyDescent="0.25">
      <c r="A16" s="305" t="s">
        <v>407</v>
      </c>
      <c r="B16" s="384" t="s">
        <v>64</v>
      </c>
      <c r="C16" s="385">
        <f t="shared" ca="1" si="21"/>
        <v>-1.0267857142857142</v>
      </c>
      <c r="D16" s="657" t="s">
        <v>285</v>
      </c>
      <c r="E16" s="387">
        <v>35</v>
      </c>
      <c r="F16" s="394">
        <f ca="1">33-41471+$D$1-112+6-112-112-112-112-112-112-112-112-112-112-112-112-112-112-112-112-112</f>
        <v>3</v>
      </c>
      <c r="G16" s="388" t="s">
        <v>268</v>
      </c>
      <c r="H16" s="393">
        <v>4</v>
      </c>
      <c r="I16" s="308">
        <v>13.2</v>
      </c>
      <c r="J16" s="486">
        <f t="shared" si="4"/>
        <v>1.5363844591774087</v>
      </c>
      <c r="K16" s="303">
        <f t="shared" si="5"/>
        <v>211.2</v>
      </c>
      <c r="L16" s="303">
        <f t="shared" si="6"/>
        <v>330</v>
      </c>
      <c r="M16" s="389">
        <v>6</v>
      </c>
      <c r="N16" s="445">
        <f t="shared" si="7"/>
        <v>79</v>
      </c>
      <c r="O16" s="445" t="s">
        <v>557</v>
      </c>
      <c r="P16" s="676">
        <v>1.5</v>
      </c>
      <c r="Q16" s="445">
        <v>6</v>
      </c>
      <c r="R16" s="500">
        <f t="shared" si="8"/>
        <v>0.92582009977255142</v>
      </c>
      <c r="S16" s="500">
        <f t="shared" si="9"/>
        <v>0.99928545900129484</v>
      </c>
      <c r="T16" s="324">
        <v>18910</v>
      </c>
      <c r="U16" s="626">
        <f t="shared" si="2"/>
        <v>-2330</v>
      </c>
      <c r="V16" s="324">
        <v>7440</v>
      </c>
      <c r="W16" s="316">
        <f t="shared" si="3"/>
        <v>2.5416666666666665</v>
      </c>
      <c r="X16" s="485">
        <v>0</v>
      </c>
      <c r="Y16" s="486">
        <f>5.25+0.25+0.25+0.25+0.24+0.24+0.24+0.24+0.23+0.22+0.17+(0.17*25/90)+0.16+0.16+0.03+0.15+0.14+0.14+0.13+0.02+0.11*33/90+0.01+0.01+0.01</f>
        <v>8.6275555555555581</v>
      </c>
      <c r="Z16" s="485">
        <v>13.95</v>
      </c>
      <c r="AA16" s="486">
        <v>9.9499999999999993</v>
      </c>
      <c r="AB16" s="485">
        <v>9.9499999999999993</v>
      </c>
      <c r="AC16" s="486">
        <v>2.95</v>
      </c>
      <c r="AD16" s="485">
        <f>10.7+0.5+0.5*80/90+0.5+0.45+0.45+0.45+0.45+0.35+0.3+0.3+0.25+0.25+0.25+0.25+0.25+0.2+0.2+0.2+0.2+0.2</f>
        <v>17.144444444444439</v>
      </c>
      <c r="AE16" s="324">
        <v>1557</v>
      </c>
      <c r="AF16" s="603">
        <f t="shared" si="10"/>
        <v>15.726336154770545</v>
      </c>
      <c r="AG16" s="603">
        <f t="shared" si="11"/>
        <v>16.986384459177408</v>
      </c>
      <c r="AH16" s="316">
        <f t="shared" si="12"/>
        <v>4.3556027024427255</v>
      </c>
      <c r="AI16" s="316">
        <f t="shared" si="13"/>
        <v>12.440109602775111</v>
      </c>
      <c r="AJ16" s="316">
        <f t="shared" si="14"/>
        <v>14.741366437512522</v>
      </c>
      <c r="AK16" s="316">
        <f t="shared" si="15"/>
        <v>0.90474409006752587</v>
      </c>
      <c r="AL16" s="316">
        <f t="shared" si="16"/>
        <v>1.0719824676979741</v>
      </c>
      <c r="AM16" s="311">
        <f t="shared" si="17"/>
        <v>18.64466790748137</v>
      </c>
      <c r="AN16" s="311">
        <f t="shared" si="18"/>
        <v>20.138543019385573</v>
      </c>
      <c r="AO16" s="445">
        <v>2</v>
      </c>
      <c r="AP16" s="445">
        <v>2</v>
      </c>
      <c r="AQ16" s="590">
        <f t="shared" si="19"/>
        <v>6.1499999999999999E-2</v>
      </c>
      <c r="AR16" s="324">
        <v>21240</v>
      </c>
      <c r="AS16">
        <v>16220</v>
      </c>
      <c r="AT16" s="390">
        <f t="shared" si="20"/>
        <v>-2690</v>
      </c>
      <c r="AU16" s="403"/>
    </row>
    <row r="17" spans="1:47" s="4" customFormat="1" x14ac:dyDescent="0.25">
      <c r="A17" s="384" t="s">
        <v>404</v>
      </c>
      <c r="B17" s="384" t="s">
        <v>64</v>
      </c>
      <c r="C17" s="385">
        <f t="shared" ca="1" si="21"/>
        <v>2.6785714285714284E-2</v>
      </c>
      <c r="D17" s="657" t="s">
        <v>272</v>
      </c>
      <c r="E17" s="387">
        <v>33</v>
      </c>
      <c r="F17" s="740">
        <f ca="1">33-41471+$D$1-112-112-112-112-112-112-112-112-112-112-112-112-112-112-112-112-112</f>
        <v>109</v>
      </c>
      <c r="G17" s="388"/>
      <c r="H17" s="371">
        <v>3</v>
      </c>
      <c r="I17" s="308">
        <v>12</v>
      </c>
      <c r="J17" s="486">
        <f t="shared" si="4"/>
        <v>1.4852578030757824</v>
      </c>
      <c r="K17" s="303">
        <f t="shared" si="5"/>
        <v>108</v>
      </c>
      <c r="L17" s="303">
        <f t="shared" si="6"/>
        <v>192</v>
      </c>
      <c r="M17" s="389">
        <v>7</v>
      </c>
      <c r="N17" s="445">
        <f t="shared" si="7"/>
        <v>89</v>
      </c>
      <c r="O17" s="445" t="s">
        <v>557</v>
      </c>
      <c r="P17" s="676">
        <v>1.5</v>
      </c>
      <c r="Q17" s="445">
        <v>5</v>
      </c>
      <c r="R17" s="500">
        <f t="shared" si="8"/>
        <v>0.84515425472851657</v>
      </c>
      <c r="S17" s="500">
        <f t="shared" si="9"/>
        <v>0.92504826128926143</v>
      </c>
      <c r="T17" s="324">
        <v>30180</v>
      </c>
      <c r="U17" s="626">
        <f t="shared" si="2"/>
        <v>-5660</v>
      </c>
      <c r="V17" s="324">
        <v>8710</v>
      </c>
      <c r="W17" s="316">
        <f t="shared" si="3"/>
        <v>3.4649827784156142</v>
      </c>
      <c r="X17" s="485">
        <v>0</v>
      </c>
      <c r="Y17" s="486">
        <f>7.5+0.2+0.2+0.2+0.2+0.2+0.16+0.16+0.14+0.14+0.13+0.13+0.12+0.12+0.12+0.12+0.11+0.1+0.1+0.1+0.1+0.1+0.1</f>
        <v>10.549999999999995</v>
      </c>
      <c r="Z17" s="485">
        <v>13</v>
      </c>
      <c r="AA17" s="486">
        <v>4.95</v>
      </c>
      <c r="AB17" s="485">
        <f>8.95+0.08+0.07+0.07+0.07</f>
        <v>9.24</v>
      </c>
      <c r="AC17" s="486">
        <v>1.95</v>
      </c>
      <c r="AD17" s="485">
        <f>11+0.5+0.5+0.5+0.45+0.4+0.4+0.4+0.35+0.33+0.33+0.3+0.3+0.3+0.2+0.2+0.2+0.2+0.2+0.2+0.2</f>
        <v>17.459999999999997</v>
      </c>
      <c r="AE17" s="324">
        <v>1533</v>
      </c>
      <c r="AF17" s="603">
        <f t="shared" si="10"/>
        <v>13.510008645201717</v>
      </c>
      <c r="AG17" s="603">
        <f t="shared" si="11"/>
        <v>14.799472974133577</v>
      </c>
      <c r="AH17" s="316">
        <f t="shared" si="12"/>
        <v>4.0129797519952293</v>
      </c>
      <c r="AI17" s="316">
        <f t="shared" si="13"/>
        <v>10.004445662322938</v>
      </c>
      <c r="AJ17" s="316">
        <f t="shared" si="14"/>
        <v>13.346893874039111</v>
      </c>
      <c r="AK17" s="316">
        <f t="shared" si="15"/>
        <v>0.8601206242460625</v>
      </c>
      <c r="AL17" s="316">
        <f t="shared" si="16"/>
        <v>1.1547680462153047</v>
      </c>
      <c r="AM17" s="311">
        <f t="shared" si="17"/>
        <v>17.240224165279837</v>
      </c>
      <c r="AN17" s="311">
        <f t="shared" si="18"/>
        <v>18.885719343538877</v>
      </c>
      <c r="AO17" s="445">
        <v>4</v>
      </c>
      <c r="AP17" s="445">
        <v>1</v>
      </c>
      <c r="AQ17" s="590">
        <f t="shared" si="19"/>
        <v>0.157</v>
      </c>
      <c r="AR17" s="324">
        <v>35840</v>
      </c>
      <c r="AS17" s="4">
        <v>32660</v>
      </c>
      <c r="AT17" s="390">
        <f t="shared" si="20"/>
        <v>2480</v>
      </c>
      <c r="AU17" s="403"/>
    </row>
    <row r="18" spans="1:47" s="263" customFormat="1" x14ac:dyDescent="0.25">
      <c r="A18" s="305" t="s">
        <v>411</v>
      </c>
      <c r="B18" s="260" t="s">
        <v>64</v>
      </c>
      <c r="C18" s="385">
        <f t="shared" ca="1" si="21"/>
        <v>0.25</v>
      </c>
      <c r="D18" s="658" t="s">
        <v>400</v>
      </c>
      <c r="E18" s="210">
        <v>33</v>
      </c>
      <c r="F18" s="211">
        <f ca="1">7-41471+$D$1-112-111-112-112-112-112-112-112-112-112-112-112-112-112-112-112-112</f>
        <v>84</v>
      </c>
      <c r="G18" s="262"/>
      <c r="H18" s="371">
        <v>0</v>
      </c>
      <c r="I18" s="214">
        <v>10.3</v>
      </c>
      <c r="J18" s="486">
        <f t="shared" si="4"/>
        <v>1.4041045913112262</v>
      </c>
      <c r="K18" s="303">
        <f t="shared" si="5"/>
        <v>0</v>
      </c>
      <c r="L18" s="303">
        <f t="shared" si="6"/>
        <v>10.3</v>
      </c>
      <c r="M18" s="296">
        <v>7</v>
      </c>
      <c r="N18" s="445">
        <f t="shared" si="7"/>
        <v>89</v>
      </c>
      <c r="O18" s="445" t="s">
        <v>557</v>
      </c>
      <c r="P18" s="676">
        <v>1.5</v>
      </c>
      <c r="Q18" s="446">
        <v>6</v>
      </c>
      <c r="R18" s="500">
        <f t="shared" si="8"/>
        <v>0.92582009977255142</v>
      </c>
      <c r="S18" s="500">
        <f t="shared" si="9"/>
        <v>0.99928545900129484</v>
      </c>
      <c r="T18" s="324">
        <v>36140</v>
      </c>
      <c r="U18" s="626">
        <f t="shared" si="2"/>
        <v>-1190</v>
      </c>
      <c r="V18" s="627">
        <v>15090</v>
      </c>
      <c r="W18" s="316">
        <f t="shared" si="3"/>
        <v>2.3949635520212063</v>
      </c>
      <c r="X18" s="485">
        <v>0</v>
      </c>
      <c r="Y18" s="486">
        <v>6</v>
      </c>
      <c r="Z18" s="485">
        <v>14.1</v>
      </c>
      <c r="AA18" s="486">
        <f>3.0625+0.06+0.06+0.06+0.05+0.05+0.05+0.04+0.03+0.03+0.02</f>
        <v>3.5124999999999993</v>
      </c>
      <c r="AB18" s="485">
        <f>4.21+0.4+0.4+0.4+0.33+0.33+0.33+0.15+0.33+0.3+0.25+0.2+0.22+0.15+0.15+0.15+0.02+0.15+0.14+0.13+0.11+0.08+0.07+0.07+0.07</f>
        <v>9.1400000000000041</v>
      </c>
      <c r="AC18" s="486">
        <v>6.95</v>
      </c>
      <c r="AD18" s="485">
        <v>17</v>
      </c>
      <c r="AE18" s="324">
        <v>1528</v>
      </c>
      <c r="AF18" s="603">
        <f t="shared" si="10"/>
        <v>15.742741809270658</v>
      </c>
      <c r="AG18" s="603">
        <f t="shared" si="11"/>
        <v>17.004104591311226</v>
      </c>
      <c r="AH18" s="316">
        <f t="shared" si="12"/>
        <v>3.818118403738826</v>
      </c>
      <c r="AI18" s="316">
        <f t="shared" si="13"/>
        <v>18.243350935153575</v>
      </c>
      <c r="AJ18" s="316">
        <f t="shared" si="14"/>
        <v>15.636272497796817</v>
      </c>
      <c r="AK18" s="316">
        <f t="shared" si="15"/>
        <v>1.0898283673048981</v>
      </c>
      <c r="AL18" s="316">
        <f t="shared" si="16"/>
        <v>0.95328732139178596</v>
      </c>
      <c r="AM18" s="311">
        <f t="shared" si="17"/>
        <v>18.37794525969873</v>
      </c>
      <c r="AN18" s="311">
        <f t="shared" si="18"/>
        <v>19.850449632940229</v>
      </c>
      <c r="AO18" s="446">
        <v>2</v>
      </c>
      <c r="AP18" s="446">
        <v>1</v>
      </c>
      <c r="AQ18" s="590">
        <f t="shared" si="19"/>
        <v>6.1499999999999999E-2</v>
      </c>
      <c r="AR18" s="324">
        <v>37330</v>
      </c>
      <c r="AS18" s="263">
        <v>38160</v>
      </c>
      <c r="AT18" s="390">
        <f t="shared" si="20"/>
        <v>2020</v>
      </c>
      <c r="AU18" s="403"/>
    </row>
    <row r="19" spans="1:47" s="264" customFormat="1" ht="14.25" customHeight="1" x14ac:dyDescent="0.25">
      <c r="A19" s="305" t="s">
        <v>505</v>
      </c>
      <c r="B19" s="260" t="s">
        <v>64</v>
      </c>
      <c r="C19" s="385">
        <f t="shared" ca="1" si="21"/>
        <v>1.6964285714285714</v>
      </c>
      <c r="D19" s="658" t="s">
        <v>414</v>
      </c>
      <c r="E19" s="210">
        <v>32</v>
      </c>
      <c r="F19" s="211">
        <f ca="1">59-41471+$D$1-325-112-112-112-112-112-112-112-112-112-112-112-112-112-112-112</f>
        <v>34</v>
      </c>
      <c r="G19" s="262"/>
      <c r="H19" s="371">
        <v>2</v>
      </c>
      <c r="I19" s="214">
        <v>4.5</v>
      </c>
      <c r="J19" s="486">
        <f t="shared" si="4"/>
        <v>0.98715025265899181</v>
      </c>
      <c r="K19" s="303">
        <f t="shared" si="5"/>
        <v>18</v>
      </c>
      <c r="L19" s="303">
        <f t="shared" si="6"/>
        <v>40.5</v>
      </c>
      <c r="M19" s="296">
        <v>6.8</v>
      </c>
      <c r="N19" s="445">
        <f t="shared" si="7"/>
        <v>87</v>
      </c>
      <c r="O19" s="445" t="s">
        <v>557</v>
      </c>
      <c r="P19" s="676">
        <v>1.5</v>
      </c>
      <c r="Q19" s="446">
        <v>5</v>
      </c>
      <c r="R19" s="500">
        <f t="shared" si="8"/>
        <v>0.84515425472851657</v>
      </c>
      <c r="S19" s="500">
        <f t="shared" si="9"/>
        <v>0.92504826128926143</v>
      </c>
      <c r="T19" s="324">
        <v>13060</v>
      </c>
      <c r="U19" s="626">
        <f t="shared" si="2"/>
        <v>-2270</v>
      </c>
      <c r="V19" s="627">
        <v>2190</v>
      </c>
      <c r="W19" s="316">
        <f t="shared" si="3"/>
        <v>5.9634703196347028</v>
      </c>
      <c r="X19" s="485">
        <v>0</v>
      </c>
      <c r="Y19" s="486">
        <f>4.45+0.06+0.2+0.06+0.06+(0.06*68/90)+0.06+0.06+0.06+0.04+(0.22*35/90)+0.04+0.04+0.04+0.04+0.04+0.04*0.5+0.2*66/90+0.02+0.12*33/90+0.02+0.02</f>
        <v>5.6515555555555519</v>
      </c>
      <c r="Z19" s="485">
        <v>9.9499999999999993</v>
      </c>
      <c r="AA19" s="486">
        <v>6.95</v>
      </c>
      <c r="AB19" s="485">
        <f>5.2+0.38+0.38+0.33+0.3+0.3+0.3+0.3+0.28+0.25+0.2+0.2+0.15+0.15*40/90+0.14+0.13+0.12+0.12+0.11+0.01</f>
        <v>9.2666666666666639</v>
      </c>
      <c r="AC19" s="486">
        <f>3.07+0.07+0.07+0.07+0.07+0.07+(0.07*28/90)+0.07+0.03</f>
        <v>3.5417777777777766</v>
      </c>
      <c r="AD19" s="485">
        <f>10+0.65+0.65+0.5+0.4+0.25+0.2+0.25*71/90</f>
        <v>12.847222222222223</v>
      </c>
      <c r="AE19" s="324">
        <v>935</v>
      </c>
      <c r="AF19" s="603">
        <f t="shared" si="10"/>
        <v>10.511310452732591</v>
      </c>
      <c r="AG19" s="603">
        <f t="shared" si="11"/>
        <v>11.51456368780296</v>
      </c>
      <c r="AH19" s="316">
        <f t="shared" si="12"/>
        <v>3.3432548248915523</v>
      </c>
      <c r="AI19" s="316">
        <f t="shared" si="13"/>
        <v>9.1630993742525941</v>
      </c>
      <c r="AJ19" s="316">
        <f t="shared" si="14"/>
        <v>10.600549351429093</v>
      </c>
      <c r="AK19" s="316">
        <f t="shared" si="15"/>
        <v>0.76147757576827479</v>
      </c>
      <c r="AL19" s="316">
        <f t="shared" si="16"/>
        <v>0.78557940657501812</v>
      </c>
      <c r="AM19" s="311">
        <f t="shared" si="17"/>
        <v>12.861703018325491</v>
      </c>
      <c r="AN19" s="311">
        <f t="shared" si="18"/>
        <v>14.089289742138304</v>
      </c>
      <c r="AO19" s="446">
        <v>1</v>
      </c>
      <c r="AP19" s="446">
        <v>2</v>
      </c>
      <c r="AQ19" s="590">
        <f t="shared" si="19"/>
        <v>4.9399999999999999E-2</v>
      </c>
      <c r="AR19" s="324">
        <v>15330</v>
      </c>
      <c r="AS19" s="264">
        <v>16640</v>
      </c>
      <c r="AT19" s="390">
        <f t="shared" si="20"/>
        <v>3580</v>
      </c>
      <c r="AU19" s="403"/>
    </row>
    <row r="20" spans="1:47" s="263" customFormat="1" x14ac:dyDescent="0.25">
      <c r="A20" s="304" t="s">
        <v>623</v>
      </c>
      <c r="B20" s="384" t="s">
        <v>66</v>
      </c>
      <c r="C20" s="385">
        <f t="shared" ca="1" si="21"/>
        <v>2.0089285714285716</v>
      </c>
      <c r="D20" s="658" t="s">
        <v>868</v>
      </c>
      <c r="E20" s="210">
        <v>31</v>
      </c>
      <c r="F20" s="211">
        <f ca="1">64-41471+$D$1-112-112-29-112-112-112-112-112-112-112-112-112-112-112-112-112-112-112</f>
        <v>111</v>
      </c>
      <c r="G20" s="262" t="s">
        <v>502</v>
      </c>
      <c r="H20" s="393">
        <v>1</v>
      </c>
      <c r="I20" s="214">
        <v>11.5</v>
      </c>
      <c r="J20" s="486">
        <f t="shared" si="4"/>
        <v>1.4625466840107419</v>
      </c>
      <c r="K20" s="303">
        <f t="shared" si="5"/>
        <v>11.5</v>
      </c>
      <c r="L20" s="303">
        <f t="shared" si="6"/>
        <v>46</v>
      </c>
      <c r="M20" s="296">
        <v>7.6</v>
      </c>
      <c r="N20" s="445">
        <f t="shared" si="7"/>
        <v>95</v>
      </c>
      <c r="O20" s="675">
        <v>43060</v>
      </c>
      <c r="P20" s="676">
        <f ca="1">IF((TODAY()-O20)&gt;335,1,((TODAY()-O20)^0.64)/(336^0.64))</f>
        <v>1</v>
      </c>
      <c r="Q20" s="446">
        <v>5</v>
      </c>
      <c r="R20" s="500">
        <f t="shared" si="8"/>
        <v>0.84515425472851657</v>
      </c>
      <c r="S20" s="500">
        <f t="shared" si="9"/>
        <v>0.92504826128926143</v>
      </c>
      <c r="T20" s="324">
        <v>213080</v>
      </c>
      <c r="U20" s="626">
        <f t="shared" si="2"/>
        <v>-24920</v>
      </c>
      <c r="V20" s="627">
        <v>36828</v>
      </c>
      <c r="W20" s="316">
        <f t="shared" si="3"/>
        <v>5.7858151406538507</v>
      </c>
      <c r="X20" s="485">
        <v>0</v>
      </c>
      <c r="Y20" s="486">
        <v>3</v>
      </c>
      <c r="Z20" s="485">
        <f>15+0.01+0.06</f>
        <v>15.07</v>
      </c>
      <c r="AA20" s="486">
        <f>12+0.01+0.01+0.1</f>
        <v>12.12</v>
      </c>
      <c r="AB20" s="485">
        <v>13</v>
      </c>
      <c r="AC20" s="486">
        <v>7.95</v>
      </c>
      <c r="AD20" s="485">
        <v>7</v>
      </c>
      <c r="AE20" s="324">
        <v>1983</v>
      </c>
      <c r="AF20" s="603">
        <f t="shared" ca="1" si="10"/>
        <v>14.817706426218024</v>
      </c>
      <c r="AG20" s="603">
        <f t="shared" ca="1" si="11"/>
        <v>16.231984120257742</v>
      </c>
      <c r="AH20" s="316">
        <f t="shared" ca="1" si="12"/>
        <v>3.8441461011881017</v>
      </c>
      <c r="AI20" s="316">
        <f t="shared" ca="1" si="13"/>
        <v>12.583694538905302</v>
      </c>
      <c r="AJ20" s="316">
        <f t="shared" ca="1" si="14"/>
        <v>8.2381805531565231</v>
      </c>
      <c r="AK20" s="316">
        <f t="shared" ca="1" si="15"/>
        <v>0.80450373472085934</v>
      </c>
      <c r="AL20" s="316">
        <f t="shared" ca="1" si="16"/>
        <v>0.50237826788075191</v>
      </c>
      <c r="AM20" s="311">
        <f t="shared" ca="1" si="17"/>
        <v>7.9565050948364036</v>
      </c>
      <c r="AN20" s="311">
        <f t="shared" ca="1" si="18"/>
        <v>8.7159146386933593</v>
      </c>
      <c r="AO20" s="446">
        <v>3</v>
      </c>
      <c r="AP20" s="446">
        <v>3</v>
      </c>
      <c r="AQ20" s="590">
        <f t="shared" si="19"/>
        <v>0.1158</v>
      </c>
      <c r="AR20" s="324">
        <v>238000</v>
      </c>
      <c r="AS20" s="263">
        <v>236030</v>
      </c>
      <c r="AT20" s="390">
        <f t="shared" si="20"/>
        <v>22950</v>
      </c>
      <c r="AU20" s="403"/>
    </row>
    <row r="21" spans="1:47" s="254" customFormat="1" x14ac:dyDescent="0.25">
      <c r="A21" s="384" t="s">
        <v>506</v>
      </c>
      <c r="B21" s="384" t="s">
        <v>66</v>
      </c>
      <c r="C21" s="385">
        <f t="shared" ca="1" si="21"/>
        <v>0.9196428571428571</v>
      </c>
      <c r="D21" s="657" t="s">
        <v>287</v>
      </c>
      <c r="E21" s="387">
        <v>33</v>
      </c>
      <c r="F21" s="394">
        <f ca="1">74-41471+$D$1-112-112-29-112-112-112-112-112-112-112-112-112-112-112-112-112-112-112-112</f>
        <v>9</v>
      </c>
      <c r="G21" s="388" t="s">
        <v>296</v>
      </c>
      <c r="H21" s="371">
        <v>3</v>
      </c>
      <c r="I21" s="308">
        <v>13</v>
      </c>
      <c r="J21" s="486">
        <f t="shared" si="4"/>
        <v>1.5281707142376506</v>
      </c>
      <c r="K21" s="303">
        <f t="shared" si="5"/>
        <v>117</v>
      </c>
      <c r="L21" s="303">
        <f t="shared" si="6"/>
        <v>208</v>
      </c>
      <c r="M21" s="389">
        <v>7</v>
      </c>
      <c r="N21" s="445">
        <f t="shared" si="7"/>
        <v>89</v>
      </c>
      <c r="O21" s="445" t="s">
        <v>557</v>
      </c>
      <c r="P21" s="676">
        <v>1.5</v>
      </c>
      <c r="Q21" s="445">
        <v>6</v>
      </c>
      <c r="R21" s="500">
        <f t="shared" si="8"/>
        <v>0.92582009977255142</v>
      </c>
      <c r="S21" s="500">
        <f t="shared" si="9"/>
        <v>0.99928545900129484</v>
      </c>
      <c r="T21" s="324">
        <v>16650</v>
      </c>
      <c r="U21" s="626">
        <f t="shared" si="2"/>
        <v>-10170</v>
      </c>
      <c r="V21" s="324">
        <v>1700</v>
      </c>
      <c r="W21" s="316">
        <f t="shared" si="3"/>
        <v>9.7941176470588243</v>
      </c>
      <c r="X21" s="485">
        <v>0</v>
      </c>
      <c r="Y21" s="486">
        <f>5+(5/7)+0.07+0.21+0.07+0.07+0.07+0.07+0.07+0.07+0.06+0.03+0.03+0.03+0.03+0.03+0.2*33/90+0.03+0.03+0.02+0.02+0.01+0.01+0.01+0.01</f>
        <v>6.8376190476190493</v>
      </c>
      <c r="Z21" s="485">
        <v>9</v>
      </c>
      <c r="AA21" s="486">
        <f>7.9+0.165+0.165+0.21+0.13+0.03+0.03+0.03+0.02+0.02+0.02+0.01+0.01</f>
        <v>8.7399999999999967</v>
      </c>
      <c r="AB21" s="485">
        <v>9.9499999999999993</v>
      </c>
      <c r="AC21" s="486">
        <v>7.95</v>
      </c>
      <c r="AD21" s="485">
        <f>17.99+0.2+0.15+0.15+0.15+0.15+0.11+0.1</f>
        <v>18.999999999999993</v>
      </c>
      <c r="AE21" s="324">
        <v>1418</v>
      </c>
      <c r="AF21" s="603">
        <f t="shared" si="10"/>
        <v>11.135922210736782</v>
      </c>
      <c r="AG21" s="603">
        <f t="shared" si="11"/>
        <v>12.02817071423765</v>
      </c>
      <c r="AH21" s="316">
        <f t="shared" si="12"/>
        <v>4.1456061340873251</v>
      </c>
      <c r="AI21" s="316">
        <f t="shared" si="13"/>
        <v>21.05246144230237</v>
      </c>
      <c r="AJ21" s="316">
        <f t="shared" si="14"/>
        <v>17.325029577716279</v>
      </c>
      <c r="AK21" s="316">
        <f t="shared" si="15"/>
        <v>1.2097536571390117</v>
      </c>
      <c r="AL21" s="316">
        <f t="shared" si="16"/>
        <v>1.0554767119013975</v>
      </c>
      <c r="AM21" s="311">
        <f t="shared" si="17"/>
        <v>20.354393572768878</v>
      </c>
      <c r="AN21" s="311">
        <f t="shared" si="18"/>
        <v>21.985257803075775</v>
      </c>
      <c r="AO21" s="445">
        <v>4</v>
      </c>
      <c r="AP21" s="445">
        <v>2</v>
      </c>
      <c r="AQ21" s="590">
        <f t="shared" si="19"/>
        <v>0.157</v>
      </c>
      <c r="AR21" s="324">
        <v>26820</v>
      </c>
      <c r="AS21" s="254">
        <v>27760</v>
      </c>
      <c r="AT21" s="390">
        <f t="shared" si="20"/>
        <v>11110</v>
      </c>
      <c r="AU21" s="403"/>
    </row>
    <row r="22" spans="1:47" s="259" customFormat="1" x14ac:dyDescent="0.25">
      <c r="A22" s="384" t="s">
        <v>568</v>
      </c>
      <c r="B22" s="384" t="s">
        <v>66</v>
      </c>
      <c r="C22" s="385">
        <f t="shared" ca="1" si="21"/>
        <v>0.30357142857142855</v>
      </c>
      <c r="D22" s="657" t="s">
        <v>860</v>
      </c>
      <c r="E22" s="387">
        <v>33</v>
      </c>
      <c r="F22" s="211">
        <f ca="1">-41471+$D$1-748-112-112-12-112-112-112-22-112-112-112-112-112</f>
        <v>78</v>
      </c>
      <c r="G22" s="388" t="s">
        <v>268</v>
      </c>
      <c r="H22" s="371">
        <v>3</v>
      </c>
      <c r="I22" s="308">
        <v>13.3</v>
      </c>
      <c r="J22" s="486">
        <f t="shared" si="4"/>
        <v>1.5404480499534159</v>
      </c>
      <c r="K22" s="303">
        <f t="shared" si="5"/>
        <v>119.7</v>
      </c>
      <c r="L22" s="303">
        <f t="shared" si="6"/>
        <v>212.8</v>
      </c>
      <c r="M22" s="389">
        <v>7</v>
      </c>
      <c r="N22" s="445">
        <f t="shared" si="7"/>
        <v>89</v>
      </c>
      <c r="O22" s="675">
        <v>42869</v>
      </c>
      <c r="P22" s="676">
        <f ca="1">IF((TODAY()-O22)&gt;335,1,((TODAY()-O22)^0.64)/(336^0.64))</f>
        <v>1</v>
      </c>
      <c r="Q22" s="445">
        <v>3</v>
      </c>
      <c r="R22" s="500">
        <f t="shared" si="8"/>
        <v>0.65465367070797709</v>
      </c>
      <c r="S22" s="500">
        <f t="shared" si="9"/>
        <v>0.75498344352707503</v>
      </c>
      <c r="T22" s="324">
        <v>67580</v>
      </c>
      <c r="U22" s="626">
        <f t="shared" si="2"/>
        <v>-30630</v>
      </c>
      <c r="V22" s="324">
        <v>20772</v>
      </c>
      <c r="W22" s="316">
        <f t="shared" si="3"/>
        <v>3.2534180627768148</v>
      </c>
      <c r="X22" s="485">
        <v>0</v>
      </c>
      <c r="Y22" s="486">
        <v>2.95</v>
      </c>
      <c r="Z22" s="485">
        <v>13.95</v>
      </c>
      <c r="AA22" s="486">
        <f>3+0.02+0.02</f>
        <v>3.04</v>
      </c>
      <c r="AB22" s="485">
        <f>15+0.01+0.01</f>
        <v>15.02</v>
      </c>
      <c r="AC22" s="486">
        <v>9.9499999999999993</v>
      </c>
      <c r="AD22" s="485">
        <v>11.25</v>
      </c>
      <c r="AE22" s="324">
        <v>1776</v>
      </c>
      <c r="AF22" s="603">
        <f t="shared" ca="1" si="10"/>
        <v>10.795532347521206</v>
      </c>
      <c r="AG22" s="603">
        <f t="shared" ca="1" si="11"/>
        <v>12.465607013773361</v>
      </c>
      <c r="AH22" s="316">
        <f t="shared" ca="1" si="12"/>
        <v>3.3232956900113675</v>
      </c>
      <c r="AI22" s="316">
        <f t="shared" ca="1" si="13"/>
        <v>13.563697516138925</v>
      </c>
      <c r="AJ22" s="316">
        <f t="shared" ca="1" si="14"/>
        <v>8.7726525050335571</v>
      </c>
      <c r="AK22" s="316">
        <f t="shared" ca="1" si="15"/>
        <v>1.0382358439962733</v>
      </c>
      <c r="AL22" s="316">
        <f t="shared" ca="1" si="16"/>
        <v>0.63333136349673913</v>
      </c>
      <c r="AM22" s="311">
        <f t="shared" ca="1" si="17"/>
        <v>9.0004856022931001</v>
      </c>
      <c r="AN22" s="311">
        <f t="shared" ca="1" si="18"/>
        <v>10.392865570642545</v>
      </c>
      <c r="AO22" s="445">
        <v>1</v>
      </c>
      <c r="AP22" s="445">
        <v>3</v>
      </c>
      <c r="AQ22" s="590">
        <f t="shared" si="19"/>
        <v>4.9399999999999999E-2</v>
      </c>
      <c r="AR22" s="324">
        <v>98210</v>
      </c>
      <c r="AS22" s="259">
        <v>105070</v>
      </c>
      <c r="AT22" s="390">
        <f t="shared" si="20"/>
        <v>37490</v>
      </c>
      <c r="AU22" s="403"/>
    </row>
    <row r="23" spans="1:47" s="264" customFormat="1" x14ac:dyDescent="0.25">
      <c r="A23" s="384" t="s">
        <v>540</v>
      </c>
      <c r="B23" s="384" t="s">
        <v>66</v>
      </c>
      <c r="C23" s="385">
        <f t="shared" ca="1" si="21"/>
        <v>3.6428571428571428</v>
      </c>
      <c r="D23" s="658" t="s">
        <v>541</v>
      </c>
      <c r="E23" s="210">
        <v>30</v>
      </c>
      <c r="F23" s="211">
        <f ca="1">7-41471+$D$1-112-111-43-112-112-1-112-112-112-112-112-112-112-112-112-112-112-112-112</f>
        <v>40</v>
      </c>
      <c r="G23" s="262"/>
      <c r="H23" s="685">
        <v>5</v>
      </c>
      <c r="I23" s="214">
        <v>6.1</v>
      </c>
      <c r="J23" s="486">
        <f t="shared" si="4"/>
        <v>1.1350111316254337</v>
      </c>
      <c r="K23" s="303">
        <f t="shared" si="5"/>
        <v>152.5</v>
      </c>
      <c r="L23" s="303">
        <f t="shared" si="6"/>
        <v>219.6</v>
      </c>
      <c r="M23" s="296">
        <v>7.5</v>
      </c>
      <c r="N23" s="445">
        <f t="shared" si="7"/>
        <v>94</v>
      </c>
      <c r="O23" s="445" t="s">
        <v>557</v>
      </c>
      <c r="P23" s="676">
        <v>1.5</v>
      </c>
      <c r="Q23" s="446">
        <v>5</v>
      </c>
      <c r="R23" s="500">
        <f t="shared" si="8"/>
        <v>0.84515425472851657</v>
      </c>
      <c r="S23" s="500">
        <f t="shared" si="9"/>
        <v>0.92504826128926143</v>
      </c>
      <c r="T23" s="627">
        <v>22690</v>
      </c>
      <c r="U23" s="626">
        <f t="shared" si="2"/>
        <v>-1340</v>
      </c>
      <c r="V23" s="627">
        <v>2940</v>
      </c>
      <c r="W23" s="316">
        <f t="shared" si="3"/>
        <v>7.7176870748299322</v>
      </c>
      <c r="X23" s="485">
        <v>0</v>
      </c>
      <c r="Y23" s="486">
        <f>4+0.01+0.01</f>
        <v>4.0199999999999996</v>
      </c>
      <c r="Z23" s="485">
        <v>6</v>
      </c>
      <c r="AA23" s="486">
        <f>4.9+0.25+0.05+0.05+0.05+0.04+0.03+0.03+0.03+0.02+0.02+0.02+0.02</f>
        <v>5.5099999999999989</v>
      </c>
      <c r="AB23" s="485">
        <v>11</v>
      </c>
      <c r="AC23" s="486">
        <f>6.5+0.25+0.25+0.25+0.24+0.24+0.22+0.21+0.18*1/90+0.16+1/16</f>
        <v>8.384500000000001</v>
      </c>
      <c r="AD23" s="485">
        <f>9+1*5/90+0.65+0.65*61/90+0.65*52/90+0.55+0.55*27/90+0.55+0.5+0.5+0.3+0.25*0.6+0.25+(0.2*36/90)</f>
        <v>13.566666666666668</v>
      </c>
      <c r="AE23" s="324">
        <v>1064</v>
      </c>
      <c r="AF23" s="603">
        <f t="shared" si="10"/>
        <v>7.2979163975213375</v>
      </c>
      <c r="AG23" s="603">
        <f t="shared" si="11"/>
        <v>7.9944668674185504</v>
      </c>
      <c r="AH23" s="316">
        <f t="shared" si="12"/>
        <v>3.5839857894358396</v>
      </c>
      <c r="AI23" s="316">
        <f t="shared" si="13"/>
        <v>16.567821924544855</v>
      </c>
      <c r="AJ23" s="316">
        <f t="shared" si="14"/>
        <v>12.378997862853424</v>
      </c>
      <c r="AK23" s="316">
        <f t="shared" si="15"/>
        <v>1.0370258905300349</v>
      </c>
      <c r="AL23" s="316">
        <f t="shared" si="16"/>
        <v>0.75225077921378036</v>
      </c>
      <c r="AM23" s="311">
        <f t="shared" si="17"/>
        <v>13.618623906475776</v>
      </c>
      <c r="AN23" s="311">
        <f t="shared" si="18"/>
        <v>14.918455031511815</v>
      </c>
      <c r="AO23" s="446">
        <v>2</v>
      </c>
      <c r="AP23" s="446">
        <v>1</v>
      </c>
      <c r="AQ23" s="590">
        <f t="shared" si="19"/>
        <v>6.1499999999999999E-2</v>
      </c>
      <c r="AR23" s="627">
        <v>24030</v>
      </c>
      <c r="AS23" s="264">
        <v>20570</v>
      </c>
      <c r="AT23" s="390">
        <f>AS23-T23</f>
        <v>-2120</v>
      </c>
      <c r="AU23" s="403"/>
    </row>
    <row r="24" spans="1:47" x14ac:dyDescent="0.25">
      <c r="G24" s="4"/>
      <c r="H24"/>
      <c r="I24" s="284"/>
      <c r="J24" s="487"/>
      <c r="K24"/>
      <c r="T24" s="244">
        <f>SUM(T5:T23)+T3</f>
        <v>996750</v>
      </c>
      <c r="U24" s="244">
        <f>SUM(U5:U23)</f>
        <v>-104860</v>
      </c>
      <c r="V24" s="244">
        <f>SUM(V5:V23)+V3</f>
        <v>203138</v>
      </c>
      <c r="W24" s="315">
        <f t="shared" si="3"/>
        <v>4.9067628902519473</v>
      </c>
      <c r="X24"/>
      <c r="AD24" s="312"/>
      <c r="AE24" s="244">
        <f>AVERAGE(AE5:AE23)</f>
        <v>1483.3157894736842</v>
      </c>
      <c r="AH24" s="244"/>
      <c r="AI24" s="244"/>
      <c r="AJ24" s="244"/>
      <c r="AK24" s="244"/>
      <c r="AL24" s="244"/>
      <c r="AM24" s="244"/>
      <c r="AN24" s="244"/>
    </row>
    <row r="25" spans="1:47" x14ac:dyDescent="0.25">
      <c r="G25" s="455"/>
      <c r="K25" s="455"/>
      <c r="M25" s="455"/>
      <c r="N25" s="455"/>
      <c r="Q25" s="455"/>
      <c r="T25" s="313"/>
      <c r="U25" s="313"/>
      <c r="V25" s="313">
        <f>V24-V3</f>
        <v>202814</v>
      </c>
      <c r="W25" s="293"/>
      <c r="AE25" s="293"/>
      <c r="AH25" s="293"/>
      <c r="AI25" s="293"/>
      <c r="AJ25" s="293"/>
      <c r="AK25" s="293"/>
      <c r="AL25" s="293"/>
      <c r="AM25" s="293"/>
      <c r="AN25" s="293"/>
    </row>
    <row r="26" spans="1:47" x14ac:dyDescent="0.25">
      <c r="I26" s="265"/>
      <c r="Y26" s="159"/>
    </row>
    <row r="27" spans="1:47" x14ac:dyDescent="0.25">
      <c r="D27" s="605"/>
      <c r="I27" s="265"/>
      <c r="Y27" s="159"/>
      <c r="AE27" s="660"/>
    </row>
    <row r="28" spans="1:47" x14ac:dyDescent="0.25">
      <c r="D28" s="605"/>
      <c r="I28" s="265"/>
      <c r="V28" s="674"/>
      <c r="Y28" s="159"/>
    </row>
    <row r="29" spans="1:47" x14ac:dyDescent="0.25">
      <c r="D29" s="606"/>
      <c r="I29" s="265"/>
      <c r="V29" s="674"/>
      <c r="Y29" s="159"/>
    </row>
    <row r="30" spans="1:47" x14ac:dyDescent="0.25">
      <c r="I30" s="265"/>
      <c r="Y30" s="159"/>
    </row>
    <row r="31" spans="1:47" x14ac:dyDescent="0.25">
      <c r="I31" s="265"/>
      <c r="V31" s="674"/>
      <c r="Y31" s="159"/>
    </row>
    <row r="32" spans="1:47" x14ac:dyDescent="0.25">
      <c r="I32" s="265"/>
      <c r="Y32" s="159"/>
    </row>
    <row r="33" spans="3:40" x14ac:dyDescent="0.25">
      <c r="I33" s="265"/>
      <c r="Y33" s="159"/>
    </row>
    <row r="34" spans="3:40" x14ac:dyDescent="0.25">
      <c r="C34"/>
      <c r="D34"/>
      <c r="G34"/>
      <c r="H34"/>
      <c r="I34" s="265"/>
      <c r="K34"/>
      <c r="M34"/>
      <c r="N34"/>
      <c r="O34"/>
      <c r="P34"/>
      <c r="Q34"/>
      <c r="R34"/>
      <c r="S34"/>
      <c r="V34"/>
      <c r="W34"/>
      <c r="X34"/>
      <c r="AE34"/>
      <c r="AH34"/>
      <c r="AI34"/>
      <c r="AK34"/>
      <c r="AL34"/>
      <c r="AM34"/>
      <c r="AN34"/>
    </row>
    <row r="35" spans="3:40" x14ac:dyDescent="0.25">
      <c r="C35"/>
      <c r="D35"/>
      <c r="G35"/>
      <c r="H35"/>
      <c r="I35" s="265"/>
      <c r="K35"/>
      <c r="M35"/>
      <c r="N35"/>
      <c r="O35"/>
      <c r="P35"/>
      <c r="Q35"/>
      <c r="R35"/>
      <c r="S35"/>
      <c r="V35"/>
      <c r="W35"/>
      <c r="X35"/>
      <c r="AE35"/>
      <c r="AH35"/>
      <c r="AI35"/>
      <c r="AK35"/>
      <c r="AL35"/>
      <c r="AM35"/>
      <c r="AN35"/>
    </row>
    <row r="36" spans="3:40" x14ac:dyDescent="0.25">
      <c r="C36"/>
      <c r="D36"/>
      <c r="G36"/>
      <c r="H36"/>
      <c r="I36" s="265"/>
      <c r="K36"/>
      <c r="M36"/>
      <c r="N36"/>
      <c r="O36"/>
      <c r="P36"/>
      <c r="Q36"/>
      <c r="R36"/>
      <c r="S36"/>
      <c r="V36"/>
      <c r="W36"/>
      <c r="X36"/>
      <c r="AE36"/>
      <c r="AH36"/>
      <c r="AI36"/>
      <c r="AK36"/>
      <c r="AL36"/>
      <c r="AM36"/>
      <c r="AN36"/>
    </row>
    <row r="37" spans="3:40" x14ac:dyDescent="0.25">
      <c r="C37"/>
      <c r="D37"/>
      <c r="G37"/>
      <c r="H37"/>
      <c r="I37" s="265"/>
      <c r="K37"/>
      <c r="M37"/>
      <c r="N37"/>
      <c r="O37"/>
      <c r="P37"/>
      <c r="Q37"/>
      <c r="R37"/>
      <c r="S37"/>
      <c r="V37"/>
      <c r="W37"/>
      <c r="X37"/>
      <c r="AE37"/>
      <c r="AH37"/>
      <c r="AI37"/>
      <c r="AK37"/>
      <c r="AL37"/>
      <c r="AM37"/>
      <c r="AN37"/>
    </row>
  </sheetData>
  <sortState ref="A6:AR28">
    <sortCondition descending="1" ref="B6:B28"/>
  </sortState>
  <mergeCells count="1">
    <mergeCell ref="E1:G1"/>
  </mergeCells>
  <conditionalFormatting sqref="N6:N23">
    <cfRule type="cellIs" dxfId="29" priority="457" operator="greaterThan">
      <formula>82</formula>
    </cfRule>
    <cfRule type="cellIs" dxfId="28" priority="458" operator="lessThan">
      <formula>79</formula>
    </cfRule>
  </conditionalFormatting>
  <conditionalFormatting sqref="Q6:Q23">
    <cfRule type="cellIs" dxfId="27" priority="431" operator="greaterThan">
      <formula>6</formula>
    </cfRule>
    <cfRule type="cellIs" dxfId="26" priority="432" operator="lessThan">
      <formula>5</formula>
    </cfRule>
  </conditionalFormatting>
  <conditionalFormatting sqref="R6:S23">
    <cfRule type="cellIs" dxfId="25" priority="425" operator="greaterThan">
      <formula>0.95</formula>
    </cfRule>
    <cfRule type="cellIs" dxfId="24" priority="426" operator="lessThan">
      <formula>0.85</formula>
    </cfRule>
  </conditionalFormatting>
  <conditionalFormatting sqref="N5">
    <cfRule type="cellIs" dxfId="23" priority="306" operator="greaterThan">
      <formula>82</formula>
    </cfRule>
    <cfRule type="cellIs" dxfId="22" priority="307" operator="lessThan">
      <formula>79</formula>
    </cfRule>
  </conditionalFormatting>
  <conditionalFormatting sqref="Q5">
    <cfRule type="cellIs" dxfId="21" priority="304" operator="greaterThan">
      <formula>6</formula>
    </cfRule>
    <cfRule type="cellIs" dxfId="20" priority="305" operator="lessThan">
      <formula>5</formula>
    </cfRule>
  </conditionalFormatting>
  <conditionalFormatting sqref="R5:S5">
    <cfRule type="cellIs" dxfId="19" priority="302" operator="greaterThan">
      <formula>0.95</formula>
    </cfRule>
    <cfRule type="cellIs" dxfId="18" priority="303" operator="lessThan">
      <formula>0.85</formula>
    </cfRule>
  </conditionalFormatting>
  <conditionalFormatting sqref="AH5:AH23">
    <cfRule type="cellIs" dxfId="17" priority="36" operator="lessThan">
      <formula>3.6</formula>
    </cfRule>
    <cfRule type="cellIs" dxfId="16" priority="37" operator="greaterThan">
      <formula>3.6</formula>
    </cfRule>
  </conditionalFormatting>
  <conditionalFormatting sqref="AI5:AI23">
    <cfRule type="cellIs" dxfId="15" priority="33" operator="lessThan">
      <formula>12</formula>
    </cfRule>
    <cfRule type="cellIs" dxfId="14" priority="34" operator="between">
      <formula>12</formula>
      <formula>14</formula>
    </cfRule>
    <cfRule type="cellIs" dxfId="13" priority="35" operator="greaterThan">
      <formula>14</formula>
    </cfRule>
  </conditionalFormatting>
  <conditionalFormatting sqref="AJ5:AJ23">
    <cfRule type="cellIs" dxfId="12" priority="31" operator="lessThan">
      <formula>7.5</formula>
    </cfRule>
    <cfRule type="cellIs" dxfId="11" priority="32" operator="greaterThan">
      <formula>10</formula>
    </cfRule>
  </conditionalFormatting>
  <conditionalFormatting sqref="AK5:AL23">
    <cfRule type="cellIs" dxfId="10" priority="29" operator="lessThan">
      <formula>0.7</formula>
    </cfRule>
    <cfRule type="cellIs" dxfId="9" priority="30" operator="greaterThan">
      <formula>0.8</formula>
    </cfRule>
  </conditionalFormatting>
  <conditionalFormatting sqref="AM5:AN23">
    <cfRule type="cellIs" dxfId="8" priority="27" operator="lessThan">
      <formula>10</formula>
    </cfRule>
    <cfRule type="cellIs" dxfId="7" priority="28" operator="greaterThan">
      <formula>14</formula>
    </cfRule>
  </conditionalFormatting>
  <conditionalFormatting sqref="AQ5:AQ23">
    <cfRule type="cellIs" dxfId="6" priority="20" operator="lessThan">
      <formula>0.07</formula>
    </cfRule>
    <cfRule type="cellIs" dxfId="5" priority="21" operator="greaterThan">
      <formula>0.1</formula>
    </cfRule>
  </conditionalFormatting>
  <conditionalFormatting sqref="AF5:AG23">
    <cfRule type="cellIs" dxfId="4" priority="19" operator="greaterThan">
      <formula>12</formula>
    </cfRule>
  </conditionalFormatting>
  <conditionalFormatting sqref="I5:I23">
    <cfRule type="cellIs" dxfId="3" priority="14" operator="lessThan">
      <formula>3</formula>
    </cfRule>
    <cfRule type="cellIs" dxfId="2" priority="15" operator="greaterThan">
      <formula>7</formula>
    </cfRule>
  </conditionalFormatting>
  <conditionalFormatting sqref="C3">
    <cfRule type="colorScale" priority="1853">
      <colorScale>
        <cfvo type="min"/>
        <cfvo type="max"/>
        <color rgb="FFFFEF9C"/>
        <color rgb="FF63BE7B"/>
      </colorScale>
    </cfRule>
  </conditionalFormatting>
  <conditionalFormatting sqref="W3">
    <cfRule type="dataBar" priority="1854">
      <dataBar>
        <cfvo type="min"/>
        <cfvo type="max"/>
        <color rgb="FFFFB628"/>
      </dataBar>
    </cfRule>
  </conditionalFormatting>
  <conditionalFormatting sqref="V5:V23">
    <cfRule type="dataBar" priority="3064">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3">
    <cfRule type="dataBar" priority="3066">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3">
    <cfRule type="colorScale" priority="3068">
      <colorScale>
        <cfvo type="min"/>
        <cfvo type="max"/>
        <color rgb="FFFFEF9C"/>
        <color rgb="FF63BE7B"/>
      </colorScale>
    </cfRule>
  </conditionalFormatting>
  <conditionalFormatting sqref="T5:T23">
    <cfRule type="dataBar" priority="3070">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3">
    <cfRule type="dataBar" priority="3072">
      <dataBar>
        <cfvo type="min"/>
        <cfvo type="max"/>
        <color rgb="FF63C384"/>
      </dataBar>
      <extLst>
        <ext xmlns:x14="http://schemas.microsoft.com/office/spreadsheetml/2009/9/main" uri="{B025F937-C7B1-47D3-B67F-A62EFF666E3E}">
          <x14:id>{48F466DF-8B55-4F4D-A6B0-FEE1C8210348}</x14:id>
        </ext>
      </extLst>
    </cfRule>
  </conditionalFormatting>
  <conditionalFormatting sqref="AE5:AE23">
    <cfRule type="dataBar" priority="3076">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3">
    <cfRule type="colorScale" priority="3078">
      <colorScale>
        <cfvo type="min"/>
        <cfvo type="max"/>
        <color rgb="FFFFEF9C"/>
        <color rgb="FF63BE7B"/>
      </colorScale>
    </cfRule>
  </conditionalFormatting>
  <conditionalFormatting sqref="AR5:AR23">
    <cfRule type="dataBar" priority="3">
      <dataBar>
        <cfvo type="min"/>
        <cfvo type="max"/>
        <color rgb="FF638EC6"/>
      </dataBar>
      <extLst>
        <ext xmlns:x14="http://schemas.microsoft.com/office/spreadsheetml/2009/9/main" uri="{B025F937-C7B1-47D3-B67F-A62EFF666E3E}">
          <x14:id>{850A529F-897D-4E95-8956-500461C5DC02}</x14:id>
        </ext>
      </extLst>
    </cfRule>
  </conditionalFormatting>
  <conditionalFormatting sqref="C5:C23">
    <cfRule type="cellIs" dxfId="0" priority="2" operator="greaterThan">
      <formula>0</formula>
    </cfRule>
    <cfRule type="cellIs" dxfId="1" priority="1" operator="lessThan">
      <formula>0</formula>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V5:V23</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W5:W23</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T5:T23</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U5:U23</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AE5:AE23</xm:sqref>
        </x14:conditionalFormatting>
        <x14:conditionalFormatting xmlns:xm="http://schemas.microsoft.com/office/excel/2006/main">
          <x14:cfRule type="dataBar" id="{850A529F-897D-4E95-8956-500461C5DC02}">
            <x14:dataBar minLength="0" maxLength="100" border="1" negativeBarBorderColorSameAsPositive="0">
              <x14:cfvo type="autoMin"/>
              <x14:cfvo type="autoMax"/>
              <x14:borderColor rgb="FF638EC6"/>
              <x14:negativeFillColor rgb="FFFF0000"/>
              <x14:negativeBorderColor rgb="FFFF0000"/>
              <x14:axisColor rgb="FF000000"/>
            </x14:dataBar>
          </x14:cfRule>
          <xm:sqref>AR5:AR23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R16" sqref="R16"/>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87"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90"/>
      <c r="D1" s="487"/>
      <c r="X1" t="s">
        <v>682</v>
      </c>
      <c r="AA1" t="s">
        <v>683</v>
      </c>
      <c r="AE1" t="s">
        <v>684</v>
      </c>
      <c r="AI1" t="s">
        <v>685</v>
      </c>
      <c r="AM1" t="s">
        <v>686</v>
      </c>
      <c r="AQ1" t="s">
        <v>681</v>
      </c>
      <c r="AX1" t="s">
        <v>687</v>
      </c>
      <c r="BE1" t="s">
        <v>503</v>
      </c>
      <c r="BJ1" t="s">
        <v>688</v>
      </c>
      <c r="BO1" t="s">
        <v>631</v>
      </c>
      <c r="BT1" t="s">
        <v>805</v>
      </c>
      <c r="BY1" t="s">
        <v>625</v>
      </c>
      <c r="CD1" t="s">
        <v>602</v>
      </c>
      <c r="CH1" t="s">
        <v>66</v>
      </c>
    </row>
    <row r="2" spans="1:89" x14ac:dyDescent="0.25">
      <c r="A2" s="488" t="s">
        <v>179</v>
      </c>
      <c r="B2" s="488" t="s">
        <v>689</v>
      </c>
      <c r="C2" s="488" t="s">
        <v>62</v>
      </c>
      <c r="D2" s="489" t="s">
        <v>690</v>
      </c>
      <c r="E2" s="488" t="s">
        <v>691</v>
      </c>
      <c r="F2" s="490" t="s">
        <v>692</v>
      </c>
      <c r="G2" s="490" t="s">
        <v>693</v>
      </c>
      <c r="H2" s="490" t="s">
        <v>694</v>
      </c>
      <c r="I2" s="491" t="s">
        <v>695</v>
      </c>
      <c r="J2" s="492" t="s">
        <v>696</v>
      </c>
      <c r="K2" s="492" t="s">
        <v>1</v>
      </c>
      <c r="L2" s="492" t="s">
        <v>2</v>
      </c>
      <c r="M2" s="492" t="s">
        <v>697</v>
      </c>
      <c r="N2" s="492" t="s">
        <v>65</v>
      </c>
      <c r="O2" s="492" t="s">
        <v>578</v>
      </c>
      <c r="P2" s="492" t="s">
        <v>698</v>
      </c>
      <c r="Q2" s="492" t="s">
        <v>0</v>
      </c>
      <c r="R2" s="493" t="s">
        <v>565</v>
      </c>
      <c r="S2" s="493" t="s">
        <v>827</v>
      </c>
      <c r="T2" s="493" t="s">
        <v>699</v>
      </c>
      <c r="U2" s="493" t="s">
        <v>700</v>
      </c>
      <c r="V2" s="493" t="s">
        <v>588</v>
      </c>
      <c r="W2" s="493" t="s">
        <v>589</v>
      </c>
      <c r="X2" s="494" t="s">
        <v>701</v>
      </c>
      <c r="Y2" s="494" t="s">
        <v>702</v>
      </c>
      <c r="Z2" s="494" t="s">
        <v>701</v>
      </c>
      <c r="AA2" s="495" t="s">
        <v>701</v>
      </c>
      <c r="AB2" s="495" t="s">
        <v>702</v>
      </c>
      <c r="AC2" s="495" t="s">
        <v>701</v>
      </c>
      <c r="AD2" s="495" t="s">
        <v>64</v>
      </c>
      <c r="AE2" s="495" t="s">
        <v>701</v>
      </c>
      <c r="AF2" s="495" t="s">
        <v>702</v>
      </c>
      <c r="AG2" s="495" t="s">
        <v>701</v>
      </c>
      <c r="AH2" s="495" t="s">
        <v>64</v>
      </c>
      <c r="AI2" s="494" t="s">
        <v>701</v>
      </c>
      <c r="AJ2" s="494" t="s">
        <v>702</v>
      </c>
      <c r="AK2" s="494" t="s">
        <v>64</v>
      </c>
      <c r="AL2" s="494" t="s">
        <v>703</v>
      </c>
      <c r="AM2" s="494" t="s">
        <v>701</v>
      </c>
      <c r="AN2" s="494" t="s">
        <v>702</v>
      </c>
      <c r="AO2" s="494" t="s">
        <v>64</v>
      </c>
      <c r="AP2" s="494" t="s">
        <v>703</v>
      </c>
      <c r="AQ2" s="494" t="s">
        <v>701</v>
      </c>
      <c r="AR2" s="494" t="s">
        <v>702</v>
      </c>
      <c r="AS2" s="494" t="s">
        <v>701</v>
      </c>
      <c r="AT2" s="494" t="s">
        <v>64</v>
      </c>
      <c r="AU2" s="494" t="s">
        <v>703</v>
      </c>
      <c r="AV2" s="494" t="s">
        <v>704</v>
      </c>
      <c r="AW2" s="494" t="s">
        <v>703</v>
      </c>
      <c r="AX2" s="494" t="s">
        <v>701</v>
      </c>
      <c r="AY2" s="494" t="s">
        <v>702</v>
      </c>
      <c r="AZ2" s="494" t="s">
        <v>701</v>
      </c>
      <c r="BA2" s="494" t="s">
        <v>64</v>
      </c>
      <c r="BB2" s="494" t="s">
        <v>703</v>
      </c>
      <c r="BC2" s="494" t="s">
        <v>704</v>
      </c>
      <c r="BD2" s="494" t="s">
        <v>703</v>
      </c>
      <c r="BE2" s="495" t="s">
        <v>701</v>
      </c>
      <c r="BF2" s="495" t="s">
        <v>702</v>
      </c>
      <c r="BG2" s="495" t="s">
        <v>64</v>
      </c>
      <c r="BH2" s="495" t="s">
        <v>703</v>
      </c>
      <c r="BI2" s="495" t="s">
        <v>704</v>
      </c>
      <c r="BJ2" s="495" t="s">
        <v>701</v>
      </c>
      <c r="BK2" s="495" t="s">
        <v>702</v>
      </c>
      <c r="BL2" s="495" t="s">
        <v>64</v>
      </c>
      <c r="BM2" s="495" t="s">
        <v>703</v>
      </c>
      <c r="BN2" s="495" t="s">
        <v>704</v>
      </c>
      <c r="BO2" s="494" t="s">
        <v>701</v>
      </c>
      <c r="BP2" s="494" t="s">
        <v>702</v>
      </c>
      <c r="BQ2" s="494" t="s">
        <v>64</v>
      </c>
      <c r="BR2" s="494" t="s">
        <v>703</v>
      </c>
      <c r="BS2" s="494" t="s">
        <v>704</v>
      </c>
      <c r="BT2" s="494" t="s">
        <v>701</v>
      </c>
      <c r="BU2" s="494" t="s">
        <v>702</v>
      </c>
      <c r="BV2" s="494" t="s">
        <v>64</v>
      </c>
      <c r="BW2" s="494" t="s">
        <v>703</v>
      </c>
      <c r="BX2" s="494" t="s">
        <v>704</v>
      </c>
      <c r="BY2" s="494" t="s">
        <v>701</v>
      </c>
      <c r="BZ2" s="494" t="s">
        <v>702</v>
      </c>
      <c r="CA2" s="494" t="s">
        <v>64</v>
      </c>
      <c r="CB2" s="494" t="s">
        <v>703</v>
      </c>
      <c r="CC2" s="494" t="s">
        <v>704</v>
      </c>
      <c r="CD2" s="495" t="s">
        <v>64</v>
      </c>
      <c r="CE2" s="495" t="s">
        <v>703</v>
      </c>
      <c r="CF2" s="495" t="s">
        <v>704</v>
      </c>
      <c r="CG2" s="495" t="s">
        <v>703</v>
      </c>
      <c r="CH2" s="494" t="s">
        <v>703</v>
      </c>
      <c r="CI2" s="494" t="s">
        <v>704</v>
      </c>
      <c r="CJ2" s="494" t="s">
        <v>703</v>
      </c>
      <c r="CK2" s="494" t="s">
        <v>64</v>
      </c>
    </row>
    <row r="3" spans="1:89" x14ac:dyDescent="0.25">
      <c r="A3" t="str">
        <f>PLANTILLA!D5</f>
        <v>D. Gehmacher</v>
      </c>
      <c r="B3" s="487">
        <f>PLANTILLA!E5</f>
        <v>33</v>
      </c>
      <c r="C3" s="341">
        <f ca="1">PLANTILLA!F5</f>
        <v>37</v>
      </c>
      <c r="D3" s="487"/>
      <c r="E3" s="290">
        <v>42468</v>
      </c>
      <c r="F3" s="341">
        <f>PLANTILLA!Q5</f>
        <v>6</v>
      </c>
      <c r="G3" s="406">
        <f>(F3/7)^0.5</f>
        <v>0.92582009977255142</v>
      </c>
      <c r="H3" s="406">
        <f>IF(F3=7,1,((F3+0.99)/7)^0.5)</f>
        <v>0.99928545900129484</v>
      </c>
      <c r="I3" s="496">
        <v>1</v>
      </c>
      <c r="J3" s="497">
        <f>PLANTILLA!I5</f>
        <v>21.6</v>
      </c>
      <c r="K3" s="163">
        <f>PLANTILLA!X5</f>
        <v>16.666666666666668</v>
      </c>
      <c r="L3" s="163">
        <f>PLANTILLA!Y5</f>
        <v>12.080559440559444</v>
      </c>
      <c r="M3" s="163">
        <f>PLANTILLA!Z5</f>
        <v>2.0699999999999985</v>
      </c>
      <c r="N3" s="163">
        <f>PLANTILLA!AA5</f>
        <v>2.149999999999999</v>
      </c>
      <c r="O3" s="163">
        <f>PLANTILLA!AB5</f>
        <v>1.0400000000000003</v>
      </c>
      <c r="P3" s="163">
        <f>PLANTILLA!AC5</f>
        <v>0.14055555555555557</v>
      </c>
      <c r="Q3" s="163">
        <f>PLANTILLA!AD5</f>
        <v>18.2</v>
      </c>
      <c r="R3" s="163">
        <f>((2*(O3+1))+(L3+1))/8</f>
        <v>2.1450699300699307</v>
      </c>
      <c r="S3" s="163">
        <f>1.66*(P3+(LOG(J3)*4/3)+I3)+0.55*(Q3+(LOG(J3)*4/3)+I3)-7.6</f>
        <v>8.7855126089469646</v>
      </c>
      <c r="T3" s="163">
        <f>(0.5*P3+ 0.3*Q3)/10</f>
        <v>0.55302777777777778</v>
      </c>
      <c r="U3" s="163">
        <f>(0.4*L3+0.3*Q3)/10</f>
        <v>1.0292223776223779</v>
      </c>
      <c r="V3" s="163">
        <f ca="1">IF(TODAY()-E3&gt;335,(Q3+1+(LOG(J3)*4/3))*(F3/7)^0.5,(Q3+((TODAY()-E3)^0.5)/(336^0.5)+(LOG(J3)*4/3))*(F3/7)^0.5)</f>
        <v>19.423031389009534</v>
      </c>
      <c r="W3" s="163">
        <f ca="1">IF(F3=7,V3,IF(TODAY()-E3&gt;335,(Q3+1+(LOG(J3)*4/3))*((F3+0.99)/7)^0.5,(Q3+((TODAY()-E3)^0.5)/(336^0.5)+(LOG(J3)*4/3))*((F3+0.99)/7)^0.5))</f>
        <v>20.964281118471337</v>
      </c>
      <c r="X3" s="159">
        <f>((K3+I3+(LOG(J3)*4/3))*0.597)+((L3+I3+(LOG(J3)*4/3))*0.276)</f>
        <v>15.710538571934089</v>
      </c>
      <c r="Y3" s="159">
        <f>((K3+I3+(LOG(J3)*4/3))*0.866)+((L3+I3+(LOG(J3)*4/3))*0.425)</f>
        <v>23.1556108192189</v>
      </c>
      <c r="Z3" s="159">
        <f>X3</f>
        <v>15.710538571934089</v>
      </c>
      <c r="AA3" s="159">
        <f>((L3+I3+(LOG(J3)*4/3))*0.516)</f>
        <v>7.6676728521205142</v>
      </c>
      <c r="AB3" s="159">
        <f>(L3+I3+(LOG(J3)*4/3))*1</f>
        <v>14.859831108760686</v>
      </c>
      <c r="AC3" s="159">
        <f>AA3/2</f>
        <v>3.8338364260602571</v>
      </c>
      <c r="AD3" s="159">
        <f>(M3+I3+(LOG(J3)*4/3))*0.238</f>
        <v>1.1541266570318951</v>
      </c>
      <c r="AE3" s="159">
        <f>((L3+I3+(LOG(J3)*4/3))*0.378)</f>
        <v>5.6170161591115395</v>
      </c>
      <c r="AF3" s="159">
        <f>(L3+I3+(LOG(J3)*4/3))*0.723</f>
        <v>10.743657891633974</v>
      </c>
      <c r="AG3" s="159">
        <f>AE3/2</f>
        <v>2.8085080795557698</v>
      </c>
      <c r="AH3" s="159">
        <f>(M3+I3+(LOG(J3)*4/3))*0.385</f>
        <v>1.8669695922574774</v>
      </c>
      <c r="AI3" s="159">
        <f>((L3+I3+(LOG(J3)*4/3))*0.92)</f>
        <v>13.671044620059831</v>
      </c>
      <c r="AJ3" s="159">
        <f>(L3+I3+(LOG(J3)*4/3))*0.414</f>
        <v>6.1519700790269232</v>
      </c>
      <c r="AK3" s="159">
        <f>((M3+I3+(LOG(J3)*4/3))*0.167)</f>
        <v>0.80982836858960716</v>
      </c>
      <c r="AL3" s="159">
        <f>(N3+I3+(LOG(J3)*4/3))*0.588</f>
        <v>2.8984117409023291</v>
      </c>
      <c r="AM3" s="159">
        <f>((L3+I3+(LOG(J3)*4/3))*0.754)</f>
        <v>11.204312656005557</v>
      </c>
      <c r="AN3" s="159">
        <f>((L3+I3+(LOG(J3)*4/3))*0.708)</f>
        <v>10.520760425002566</v>
      </c>
      <c r="AO3" s="159">
        <f>((Q3+I3+(LOG(J3)*4/3))*0.167)</f>
        <v>3.5035383685896071</v>
      </c>
      <c r="AP3" s="159">
        <f>((R3+I3+(LOG(J3)*4/3))*0.288)</f>
        <v>1.4182103803020976</v>
      </c>
      <c r="AQ3" s="159">
        <f>((L3+I3+(LOG(J3)*4/3))*0.27)</f>
        <v>4.012154399365385</v>
      </c>
      <c r="AR3" s="159">
        <f>((L3+I3+(LOG(J3)*4/3))*0.594)</f>
        <v>8.8267396786038468</v>
      </c>
      <c r="AS3" s="159">
        <f>AQ3/2</f>
        <v>2.0060771996826925</v>
      </c>
      <c r="AT3" s="159">
        <f>((M3+I3+(LOG(J3)*4/3))*0.944)</f>
        <v>4.5777124547819703</v>
      </c>
      <c r="AU3" s="159">
        <f>((O3+I3+(LOG(J3)*4/3))*0.13)</f>
        <v>0.49650531686616139</v>
      </c>
      <c r="AV3" s="159">
        <f>((P3+I3+(LOG(J3)*4/3))*0.173)+((O3+I3+(LOG(J3)*4/3))*0.12)</f>
        <v>0.96344270989407477</v>
      </c>
      <c r="AW3" s="159">
        <f>AU3/2</f>
        <v>0.2482526584330807</v>
      </c>
      <c r="AX3" s="159">
        <f>((L3+I3+(LOG(J3)*4/3))*0.189)</f>
        <v>2.8085080795557698</v>
      </c>
      <c r="AY3" s="159">
        <f>((L3+I3+(LOG(J3)*4/3))*0.4)</f>
        <v>5.9439324435042744</v>
      </c>
      <c r="AZ3" s="159">
        <f>AX3/2</f>
        <v>1.4042540397778849</v>
      </c>
      <c r="BA3" s="159">
        <f>((M3+I3+(LOG(J3)*4/3))*1)</f>
        <v>4.84927166820124</v>
      </c>
      <c r="BB3" s="159">
        <f>((O3+I3+(LOG(J3)*4/3))*0.253)</f>
        <v>0.96627573205491413</v>
      </c>
      <c r="BC3" s="159">
        <f>((P3+I3+(LOG(J3)*4/3))*0.21)+((O3+I3+(LOG(J3)*4/3))*0.341)</f>
        <v>1.915535355845551</v>
      </c>
      <c r="BD3" s="159">
        <f>BB3/2</f>
        <v>0.48313786602745706</v>
      </c>
      <c r="BE3" s="159">
        <f>((L3+I3+(LOG(J3)*4/3))*0.291)</f>
        <v>4.324210852649359</v>
      </c>
      <c r="BF3" s="159">
        <f>((L3+I3+(LOG(J3)*4/3))*0.348)</f>
        <v>5.1712212258487185</v>
      </c>
      <c r="BG3" s="159">
        <f>((M3+I3+(LOG(J3)*4/3))*0.881)</f>
        <v>4.2722083396852923</v>
      </c>
      <c r="BH3" s="159">
        <f>((N3+I3+(LOG(J3)*4/3))*0.574)+((O3+I3+(LOG(J3)*4/3))*0.315)</f>
        <v>4.0324725130309025</v>
      </c>
      <c r="BI3" s="159">
        <f>((O3+I3+(LOG(J3)*4/3))*0.241)</f>
        <v>0.92044447203649915</v>
      </c>
      <c r="BJ3" s="159">
        <f>((L3+I3+(LOG(J3)*4/3))*0.485)</f>
        <v>7.2070180877489323</v>
      </c>
      <c r="BK3" s="159">
        <f>((L3+I3+(LOG(J3)*4/3))*0.264)</f>
        <v>3.922995412712821</v>
      </c>
      <c r="BL3" s="159">
        <f>((M3+I3+(LOG(J3)*4/3))*0.381)</f>
        <v>1.8475725055846726</v>
      </c>
      <c r="BM3" s="159">
        <f>((N3+I3+(LOG(J3)*4/3))*0.673)+((O3+I3+(LOG(J3)*4/3))*0.201)</f>
        <v>4.0850734380078846</v>
      </c>
      <c r="BN3" s="159">
        <f>((O3+I3+(LOG(J3)*4/3))*0.052)</f>
        <v>0.19860212674646455</v>
      </c>
      <c r="BO3" s="159">
        <f>((L3+I3+(LOG(J3)*4/3))*0.18)</f>
        <v>2.6747695995769232</v>
      </c>
      <c r="BP3" s="159">
        <f>(L3+I3+(LOG(J3)*4/3))*0.068</f>
        <v>1.0104685153957267</v>
      </c>
      <c r="BQ3" s="159">
        <f>((M3+I3+(LOG(J3)*4/3))*0.305)</f>
        <v>1.4790278588013781</v>
      </c>
      <c r="BR3" s="159">
        <f>((N3+I3+(LOG(J3)*4/3))*1)+((O3+I3+(LOG(J3)*4/3))*0.286)</f>
        <v>6.0215833653067952</v>
      </c>
      <c r="BS3" s="159">
        <f>((O3+I3+(LOG(J3)*4/3))*0.135)</f>
        <v>0.5156016752071676</v>
      </c>
      <c r="BT3" s="159">
        <f>((L3+I3+(LOG(J3)*4/3))*0.284)</f>
        <v>4.2201920348880346</v>
      </c>
      <c r="BU3" s="159">
        <f>(L3+I3+(LOG(J3)*4/3))*0.244</f>
        <v>3.625798790537607</v>
      </c>
      <c r="BV3" s="159">
        <f>((M3+I3+(LOG(J3)*4/3))*0.455)</f>
        <v>2.2064186090315641</v>
      </c>
      <c r="BW3" s="159">
        <f>((N3+I3+(LOG(J3)*4/3))*0.864)+((O3+I3+(LOG(J3)*4/3))*0.244)</f>
        <v>5.190793008366974</v>
      </c>
      <c r="BX3" s="159">
        <f>((O3+I3+(LOG(J3)*4/3))*0.121)</f>
        <v>0.46213187185235022</v>
      </c>
      <c r="BY3" s="159">
        <f>((L3+I3+(LOG(J3)*4/3))*0.284)</f>
        <v>4.2201920348880346</v>
      </c>
      <c r="BZ3" s="159">
        <f>((L3+I3+(LOG(J3)*4/3))*0.244)</f>
        <v>3.625798790537607</v>
      </c>
      <c r="CA3" s="159">
        <f>((M3+I3+(LOG(J3)*4/3))*0.631)</f>
        <v>3.0598904226349823</v>
      </c>
      <c r="CB3" s="159">
        <f>((N3+I3+(LOG(J3)*4/3))*0.702)+((O3+I3+(LOG(J3)*4/3))*0.193)</f>
        <v>4.1974681430401102</v>
      </c>
      <c r="CC3" s="159">
        <f>((O3+I3+(LOG(J3)*4/3))*0.148)</f>
        <v>0.56525220689378375</v>
      </c>
      <c r="CD3" s="159">
        <f>((M3+I3+(LOG(J3)*4/3))*0.406)</f>
        <v>1.9688042972897035</v>
      </c>
      <c r="CE3" s="159">
        <f>IF(D3="TEC",((N3+I3+(LOG(J3)*4/3))*0.15)+((O3+I3+(LOG(J3)*4/3))*0.324)+((P3+I3+(LOG(J3)*4/3))*0.127),(((N3+I3+(LOG(J3)*4/3))*0.144)+((O3+I3+(LOG(J3)*4/3))*0.25)+((P3+I3+(LOG(J3)*4/3))*0.127)))</f>
        <v>2.0354510946884021</v>
      </c>
      <c r="CF3" s="159">
        <f>((O3+I3+(LOG(J3)*4/3))*0.543)+((P3+I3+(LOG(J3)*4/3))*0.583)</f>
        <v>3.7761237872834865</v>
      </c>
      <c r="CG3" s="159">
        <f>CE3</f>
        <v>2.0354510946884021</v>
      </c>
      <c r="CH3" s="159">
        <f>((P3+1+(LOG(J3)*4/3))*0.26)+((N3+I3+(LOG(J3)*4/3))*0.221)+((O3+I3+(LOG(J3)*4/3))*0.142)</f>
        <v>2.3908606937338175</v>
      </c>
      <c r="CI3" s="159">
        <f>((P3+I3+(LOG(J3)*4/3))*1)+((O3+I3+(LOG(J3)*4/3))*0.369)</f>
        <v>4.3291384693230555</v>
      </c>
      <c r="CJ3" s="159">
        <f>CH3</f>
        <v>2.3908606937338175</v>
      </c>
      <c r="CK3" s="159">
        <f>((M3+I3+(LOG(J3)*4/3))*0.25)</f>
        <v>1.21231791705031</v>
      </c>
    </row>
    <row r="4" spans="1:89" x14ac:dyDescent="0.25">
      <c r="A4" t="str">
        <f>PLANTILLA!D6</f>
        <v>T. Hammond</v>
      </c>
      <c r="B4" s="487">
        <f>PLANTILLA!E6</f>
        <v>37</v>
      </c>
      <c r="C4" s="487">
        <f ca="1">PLANTILLA!F6</f>
        <v>46</v>
      </c>
      <c r="D4" s="487" t="str">
        <f>PLANTILLA!G6</f>
        <v>CAB</v>
      </c>
      <c r="E4" s="290">
        <v>41400</v>
      </c>
      <c r="F4" s="341">
        <f>PLANTILLA!Q6</f>
        <v>5</v>
      </c>
      <c r="G4" s="406">
        <f t="shared" ref="G4:G5" si="0">(F4/7)^0.5</f>
        <v>0.84515425472851657</v>
      </c>
      <c r="H4" s="406">
        <f t="shared" ref="H4:H5" si="1">IF(F4=7,1,((F4+0.99)/7)^0.5)</f>
        <v>0.92504826128926143</v>
      </c>
      <c r="I4" s="496">
        <v>1.5</v>
      </c>
      <c r="J4" s="497">
        <f>PLANTILLA!I6</f>
        <v>8.3000000000000007</v>
      </c>
      <c r="K4" s="163">
        <f>PLANTILLA!X6</f>
        <v>8.9499999999999993</v>
      </c>
      <c r="L4" s="163">
        <f>PLANTILLA!Y6</f>
        <v>8.9499999999999993</v>
      </c>
      <c r="M4" s="163">
        <f>PLANTILLA!Z6</f>
        <v>2.95</v>
      </c>
      <c r="N4" s="163">
        <f>PLANTILLA!AA6</f>
        <v>2.95</v>
      </c>
      <c r="O4" s="163">
        <f>PLANTILLA!AB6</f>
        <v>3.95</v>
      </c>
      <c r="P4" s="163">
        <f>PLANTILLA!AC6</f>
        <v>0.95</v>
      </c>
      <c r="Q4" s="163">
        <f>PLANTILLA!AD6</f>
        <v>15.778888888888888</v>
      </c>
      <c r="R4" s="163">
        <f t="shared" ref="R4:R21" si="2">((2*(O4+1))+(L4+1))/8</f>
        <v>2.4812500000000002</v>
      </c>
      <c r="S4" s="163">
        <f t="shared" ref="S4:S21" si="3">1.66*(P4+(LOG(J4)*4/3)+I4)+0.55*(Q4+(LOG(J4)*4/3)+I4)-7.6</f>
        <v>8.678605667757056</v>
      </c>
      <c r="T4" s="163">
        <f t="shared" ref="T4:T21" si="4">(0.5*P4+ 0.3*Q4)/10</f>
        <v>0.52086666666666659</v>
      </c>
      <c r="U4" s="163">
        <f t="shared" ref="U4:U21" si="5">(0.4*L4+0.3*Q4)/10</f>
        <v>0.83136666666666659</v>
      </c>
      <c r="V4" s="163">
        <f t="shared" ref="V4:V21" ca="1" si="6">IF(TODAY()-E4&gt;335,(Q4+1+(LOG(J4)*4/3))*(F4/7)^0.5,(Q4+((TODAY()-E4)^0.5)/(336^0.5)+(LOG(J4)*4/3))*(F4/7)^0.5)</f>
        <v>15.21643301432735</v>
      </c>
      <c r="W4" s="163">
        <f t="shared" ref="W4:W21" ca="1" si="7">IF(F4=7,V4,IF(TODAY()-E4&gt;335,(Q4+1+(LOG(J4)*4/3))*((F4+0.99)/7)^0.5,(Q4+((TODAY()-E4)^0.5)/(336^0.5)+(LOG(J4)*4/3))*((F4+0.99)/7)^0.5))</f>
        <v>16.654870781487755</v>
      </c>
      <c r="X4" s="159">
        <f t="shared" ref="X4:X21" si="8">((K4+I4+(LOG(J4)*4/3))*0.597)+((L4+I4+(LOG(J4)*4/3))*0.276)</f>
        <v>10.192656899525749</v>
      </c>
      <c r="Y4" s="159">
        <f t="shared" ref="Y4:Y21" si="9">((K4+I4+(LOG(J4)*4/3))*0.866)+((L4+I4+(LOG(J4)*4/3))*0.425)</f>
        <v>15.072989756343347</v>
      </c>
      <c r="Z4" s="159">
        <f t="shared" ref="Z4:Z21" si="10">X4</f>
        <v>10.192656899525749</v>
      </c>
      <c r="AA4" s="159">
        <f t="shared" ref="AA4:AA21" si="11">((L4+I4+(LOG(J4)*4/3))*0.516)</f>
        <v>6.0245257275547388</v>
      </c>
      <c r="AB4" s="159">
        <f t="shared" ref="AB4:AB21" si="12">(L4+I4+(LOG(J4)*4/3))*1</f>
        <v>11.675437456501431</v>
      </c>
      <c r="AC4" s="159">
        <f t="shared" ref="AC4:AC21" si="13">AA4/2</f>
        <v>3.0122628637773694</v>
      </c>
      <c r="AD4" s="159">
        <f t="shared" ref="AD4:AD21" si="14">(M4+I4+(LOG(J4)*4/3))*0.238</f>
        <v>1.3507541146473407</v>
      </c>
      <c r="AE4" s="159">
        <f t="shared" ref="AE4:AE21" si="15">((L4+I4+(LOG(J4)*4/3))*0.378)</f>
        <v>4.4133153585575409</v>
      </c>
      <c r="AF4" s="159">
        <f t="shared" ref="AF4:AF21" si="16">(L4+I4+(LOG(J4)*4/3))*0.723</f>
        <v>8.4413412810505335</v>
      </c>
      <c r="AG4" s="159">
        <f t="shared" ref="AG4:AG21" si="17">AE4/2</f>
        <v>2.2066576792787704</v>
      </c>
      <c r="AH4" s="159">
        <f t="shared" ref="AH4:AH21" si="18">(M4+I4+(LOG(J4)*4/3))*0.385</f>
        <v>2.1850434207530514</v>
      </c>
      <c r="AI4" s="159">
        <f t="shared" ref="AI4:AI21" si="19">((L4+I4+(LOG(J4)*4/3))*0.92)</f>
        <v>10.741402459981318</v>
      </c>
      <c r="AJ4" s="159">
        <f t="shared" ref="AJ4:AJ21" si="20">(L4+I4+(LOG(J4)*4/3))*0.414</f>
        <v>4.833631106991592</v>
      </c>
      <c r="AK4" s="159">
        <f t="shared" ref="AK4:AK21" si="21">((M4+I4+(LOG(J4)*4/3))*0.167)</f>
        <v>0.94779805523573912</v>
      </c>
      <c r="AL4" s="159">
        <f t="shared" ref="AL4:AL21" si="22">(N4+I4+(LOG(J4)*4/3))*0.588</f>
        <v>3.3371572244228416</v>
      </c>
      <c r="AM4" s="159">
        <f t="shared" ref="AM4:AM21" si="23">((L4+I4+(LOG(J4)*4/3))*0.754)</f>
        <v>8.8032798422020786</v>
      </c>
      <c r="AN4" s="159">
        <f t="shared" ref="AN4:AN21" si="24">((L4+I4+(LOG(J4)*4/3))*0.708)</f>
        <v>8.2662097192030135</v>
      </c>
      <c r="AO4" s="159">
        <f t="shared" ref="AO4:AO21" si="25">((Q4+I4+(LOG(J4)*4/3))*0.167)</f>
        <v>3.0902224996801833</v>
      </c>
      <c r="AP4" s="159">
        <f t="shared" ref="AP4:AP21" si="26">((R4+I4+(LOG(J4)*4/3))*0.288)</f>
        <v>1.4995259874724123</v>
      </c>
      <c r="AQ4" s="159">
        <f t="shared" ref="AQ4:AQ21" si="27">((L4+I4+(LOG(J4)*4/3))*0.27)</f>
        <v>3.1523681132553865</v>
      </c>
      <c r="AR4" s="159">
        <f t="shared" ref="AR4:AR21" si="28">((L4+I4+(LOG(J4)*4/3))*0.594)</f>
        <v>6.9352098491618497</v>
      </c>
      <c r="AS4" s="159">
        <f t="shared" ref="AS4:AS21" si="29">AQ4/2</f>
        <v>1.5761840566276932</v>
      </c>
      <c r="AT4" s="159">
        <f t="shared" ref="AT4:AT21" si="30">((M4+I4+(LOG(J4)*4/3))*0.944)</f>
        <v>5.3576129589373513</v>
      </c>
      <c r="AU4" s="159">
        <f t="shared" ref="AU4:AU21" si="31">((O4+I4+(LOG(J4)*4/3))*0.13)</f>
        <v>0.86780686934518614</v>
      </c>
      <c r="AV4" s="159">
        <f t="shared" ref="AV4:AV21" si="32">((P4+I4+(LOG(J4)*4/3))*0.173)+((O4+I4+(LOG(J4)*4/3))*0.12)</f>
        <v>1.4369031747549195</v>
      </c>
      <c r="AW4" s="159">
        <f t="shared" ref="AW4:AW21" si="33">AU4/2</f>
        <v>0.43390343467259307</v>
      </c>
      <c r="AX4" s="159">
        <f t="shared" ref="AX4:AX21" si="34">((L4+I4+(LOG(J4)*4/3))*0.189)</f>
        <v>2.2066576792787704</v>
      </c>
      <c r="AY4" s="159">
        <f t="shared" ref="AY4:AY21" si="35">((L4+I4+(LOG(J4)*4/3))*0.4)</f>
        <v>4.6701749826005727</v>
      </c>
      <c r="AZ4" s="159">
        <f t="shared" ref="AZ4:AZ21" si="36">AX4/2</f>
        <v>1.1033288396393852</v>
      </c>
      <c r="BA4" s="159">
        <f t="shared" ref="BA4:BA21" si="37">((M4+I4+(LOG(J4)*4/3))*1)</f>
        <v>5.6754374565014318</v>
      </c>
      <c r="BB4" s="159">
        <f t="shared" ref="BB4:BB21" si="38">((O4+I4+(LOG(J4)*4/3))*0.253)</f>
        <v>1.6888856764948623</v>
      </c>
      <c r="BC4" s="159">
        <f t="shared" ref="BC4:BC21" si="39">((P4+I4+(LOG(J4)*4/3))*0.21)+((O4+I4+(LOG(J4)*4/3))*0.341)</f>
        <v>3.0481660385322891</v>
      </c>
      <c r="BD4" s="159">
        <f t="shared" ref="BD4:BD21" si="40">BB4/2</f>
        <v>0.84444283824743116</v>
      </c>
      <c r="BE4" s="159">
        <f t="shared" ref="BE4:BE21" si="41">((L4+I4+(LOG(J4)*4/3))*0.291)</f>
        <v>3.3975522998419163</v>
      </c>
      <c r="BF4" s="159">
        <f t="shared" ref="BF4:BF21" si="42">((L4+I4+(LOG(J4)*4/3))*0.348)</f>
        <v>4.0630522348624973</v>
      </c>
      <c r="BG4" s="159">
        <f t="shared" ref="BG4:BG21" si="43">((M4+I4+(LOG(J4)*4/3))*0.881)</f>
        <v>5.0000603991777615</v>
      </c>
      <c r="BH4" s="159">
        <f t="shared" ref="BH4:BH21" si="44">((N4+I4+(LOG(J4)*4/3))*0.574)+((O4+I4+(LOG(J4)*4/3))*0.315)</f>
        <v>5.3604638988297726</v>
      </c>
      <c r="BI4" s="159">
        <f t="shared" ref="BI4:BI21" si="45">((O4+I4+(LOG(J4)*4/3))*0.241)</f>
        <v>1.6087804270168451</v>
      </c>
      <c r="BJ4" s="159">
        <f t="shared" ref="BJ4:BJ21" si="46">((L4+I4+(LOG(J4)*4/3))*0.485)</f>
        <v>5.6625871664031937</v>
      </c>
      <c r="BK4" s="159">
        <f t="shared" ref="BK4:BK21" si="47">((L4+I4+(LOG(J4)*4/3))*0.264)</f>
        <v>3.0823154885163779</v>
      </c>
      <c r="BL4" s="159">
        <f t="shared" ref="BL4:BL21" si="48">((M4+I4+(LOG(J4)*4/3))*0.381)</f>
        <v>2.1623416709270455</v>
      </c>
      <c r="BM4" s="159">
        <f t="shared" ref="BM4:BM21" si="49">((N4+I4+(LOG(J4)*4/3))*0.673)+((O4+I4+(LOG(J4)*4/3))*0.201)</f>
        <v>5.1613323369822517</v>
      </c>
      <c r="BN4" s="159">
        <f t="shared" ref="BN4:BN21" si="50">((O4+I4+(LOG(J4)*4/3))*0.052)</f>
        <v>0.34712274773807444</v>
      </c>
      <c r="BO4" s="159">
        <f t="shared" ref="BO4:BO21" si="51">((L4+I4+(LOG(J4)*4/3))*0.18)</f>
        <v>2.1015787421702576</v>
      </c>
      <c r="BP4" s="159">
        <f t="shared" ref="BP4:BP21" si="52">(L4+I4+(LOG(J4)*4/3))*0.068</f>
        <v>0.7939297470420974</v>
      </c>
      <c r="BQ4" s="159">
        <f t="shared" ref="BQ4:BQ21" si="53">((M4+I4+(LOG(J4)*4/3))*0.305)</f>
        <v>1.7310084242329367</v>
      </c>
      <c r="BR4" s="159">
        <f t="shared" ref="BR4:BR21" si="54">((N4+I4+(LOG(J4)*4/3))*1)+((O4+I4+(LOG(J4)*4/3))*0.286)</f>
        <v>7.584612569060841</v>
      </c>
      <c r="BS4" s="159">
        <f t="shared" ref="BS4:BS21" si="55">((O4+I4+(LOG(J4)*4/3))*0.135)</f>
        <v>0.90118405662769341</v>
      </c>
      <c r="BT4" s="159">
        <f t="shared" ref="BT4:BT21" si="56">((L4+I4+(LOG(J4)*4/3))*0.284)</f>
        <v>3.3158242376464062</v>
      </c>
      <c r="BU4" s="159">
        <f t="shared" ref="BU4:BU21" si="57">(L4+I4+(LOG(J4)*4/3))*0.244</f>
        <v>2.8488067393863492</v>
      </c>
      <c r="BV4" s="159">
        <f t="shared" ref="BV4:BV21" si="58">((M4+I4+(LOG(J4)*4/3))*0.455)</f>
        <v>2.5823240427081515</v>
      </c>
      <c r="BW4" s="159">
        <f t="shared" ref="BW4:BW21" si="59">((N4+I4+(LOG(J4)*4/3))*0.864)+((O4+I4+(LOG(J4)*4/3))*0.244)</f>
        <v>6.5323847018035863</v>
      </c>
      <c r="BX4" s="159">
        <f t="shared" ref="BX4:BX21" si="60">((O4+I4+(LOG(J4)*4/3))*0.121)</f>
        <v>0.80772793223667327</v>
      </c>
      <c r="BY4" s="159">
        <f t="shared" ref="BY4:BY21" si="61">((L4+I4+(LOG(J4)*4/3))*0.284)</f>
        <v>3.3158242376464062</v>
      </c>
      <c r="BZ4" s="159">
        <f t="shared" ref="BZ4:BZ21" si="62">((L4+I4+(LOG(J4)*4/3))*0.244)</f>
        <v>2.8488067393863492</v>
      </c>
      <c r="CA4" s="159">
        <f t="shared" ref="CA4:CA21" si="63">((M4+I4+(LOG(J4)*4/3))*0.631)</f>
        <v>3.5812010350524037</v>
      </c>
      <c r="CB4" s="159">
        <f t="shared" ref="CB4:CB21" si="64">((N4+I4+(LOG(J4)*4/3))*0.702)+((O4+I4+(LOG(J4)*4/3))*0.193)</f>
        <v>5.2725165235687808</v>
      </c>
      <c r="CC4" s="159">
        <f t="shared" ref="CC4:CC21" si="65">((O4+I4+(LOG(J4)*4/3))*0.148)</f>
        <v>0.98796474356221187</v>
      </c>
      <c r="CD4" s="159">
        <f t="shared" ref="CD4:CD21" si="66">((M4+I4+(LOG(J4)*4/3))*0.406)</f>
        <v>2.3042276073395813</v>
      </c>
      <c r="CE4" s="159">
        <f t="shared" ref="CE4:CE21" si="67">IF(D4="TEC",((N4+I4+(LOG(J4)*4/3))*0.15)+((O4+I4+(LOG(J4)*4/3))*0.324)+((P4+I4+(LOG(J4)*4/3))*0.127),(((N4+I4+(LOG(J4)*4/3))*0.144)+((O4+I4+(LOG(J4)*4/3))*0.25)+((P4+I4+(LOG(J4)*4/3))*0.127)))</f>
        <v>2.9529029148372463</v>
      </c>
      <c r="CF4" s="159">
        <f t="shared" ref="CF4:CF21" si="68">((O4+I4+(LOG(J4)*4/3))*0.543)+((P4+I4+(LOG(J4)*4/3))*0.583)</f>
        <v>5.7675425760206123</v>
      </c>
      <c r="CG4" s="159">
        <f t="shared" ref="CG4:CG21" si="69">CE4</f>
        <v>2.9529029148372463</v>
      </c>
      <c r="CH4" s="159">
        <f t="shared" ref="CH4:CH21" si="70">((P4+1+(LOG(J4)*4/3))*0.26)+((N4+I4+(LOG(J4)*4/3))*0.221)+((O4+I4+(LOG(J4)*4/3))*0.142)</f>
        <v>3.0277975354003921</v>
      </c>
      <c r="CI4" s="159">
        <f t="shared" ref="CI4:CI21" si="71">((P4+I4+(LOG(J4)*4/3))*1)+((O4+I4+(LOG(J4)*4/3))*0.369)</f>
        <v>6.1386738779504597</v>
      </c>
      <c r="CJ4" s="159">
        <f t="shared" ref="CJ4:CJ21" si="72">CH4</f>
        <v>3.0277975354003921</v>
      </c>
      <c r="CK4" s="159">
        <f t="shared" ref="CK4:CK21" si="73">((M4+I4+(LOG(J4)*4/3))*0.25)</f>
        <v>1.418859364125358</v>
      </c>
    </row>
    <row r="5" spans="1:89" x14ac:dyDescent="0.25">
      <c r="A5" t="str">
        <f>PLANTILLA!D8</f>
        <v>D. Toh</v>
      </c>
      <c r="B5" s="487">
        <f>PLANTILLA!E8</f>
        <v>34</v>
      </c>
      <c r="C5" s="487">
        <f ca="1">PLANTILLA!F8</f>
        <v>94</v>
      </c>
      <c r="D5" s="487" t="str">
        <f>PLANTILLA!G8</f>
        <v>CAB</v>
      </c>
      <c r="E5" s="290">
        <v>41519</v>
      </c>
      <c r="F5" s="341">
        <f>PLANTILLA!Q8</f>
        <v>2</v>
      </c>
      <c r="G5" s="406">
        <f t="shared" si="0"/>
        <v>0.53452248382484879</v>
      </c>
      <c r="H5" s="406">
        <f t="shared" si="1"/>
        <v>0.65356167049702141</v>
      </c>
      <c r="I5" s="496">
        <v>1.5</v>
      </c>
      <c r="J5" s="497">
        <f>PLANTILLA!I8</f>
        <v>9</v>
      </c>
      <c r="K5" s="163">
        <f>PLANTILLA!X8</f>
        <v>0</v>
      </c>
      <c r="L5" s="163">
        <f>PLANTILLA!Y8</f>
        <v>10.95</v>
      </c>
      <c r="M5" s="163">
        <f>PLANTILLA!Z8</f>
        <v>5.95</v>
      </c>
      <c r="N5" s="163">
        <f>PLANTILLA!AA8</f>
        <v>5.95</v>
      </c>
      <c r="O5" s="163">
        <f>PLANTILLA!AB8</f>
        <v>7.7227777777777789</v>
      </c>
      <c r="P5" s="163">
        <f>PLANTILLA!AC8</f>
        <v>2.99</v>
      </c>
      <c r="Q5" s="163">
        <f>PLANTILLA!AD8</f>
        <v>16</v>
      </c>
      <c r="R5" s="163">
        <f t="shared" si="2"/>
        <v>3.6744444444444446</v>
      </c>
      <c r="S5" s="163">
        <f t="shared" si="3"/>
        <v>12.290234594481214</v>
      </c>
      <c r="T5" s="163">
        <f t="shared" si="4"/>
        <v>0.62949999999999995</v>
      </c>
      <c r="U5" s="163">
        <f t="shared" si="5"/>
        <v>0.91799999999999993</v>
      </c>
      <c r="V5" s="163">
        <f t="shared" ca="1" si="6"/>
        <v>9.7669676601114492</v>
      </c>
      <c r="W5" s="163">
        <f t="shared" ca="1" si="7"/>
        <v>11.942090169820611</v>
      </c>
      <c r="X5" s="159">
        <f t="shared" si="8"/>
        <v>5.4424382809873739</v>
      </c>
      <c r="Y5" s="159">
        <f t="shared" si="9"/>
        <v>8.2328194395815579</v>
      </c>
      <c r="Z5" s="159">
        <f t="shared" si="10"/>
        <v>5.4424382809873739</v>
      </c>
      <c r="AA5" s="159">
        <f t="shared" si="11"/>
        <v>7.0807188464942552</v>
      </c>
      <c r="AB5" s="159">
        <f t="shared" si="12"/>
        <v>13.722323345919099</v>
      </c>
      <c r="AC5" s="159">
        <f t="shared" si="13"/>
        <v>3.5403594232471276</v>
      </c>
      <c r="AD5" s="159">
        <f t="shared" si="14"/>
        <v>2.0759129563287457</v>
      </c>
      <c r="AE5" s="159">
        <f t="shared" si="15"/>
        <v>5.1870382247574192</v>
      </c>
      <c r="AF5" s="159">
        <f t="shared" si="16"/>
        <v>9.9212397790995084</v>
      </c>
      <c r="AG5" s="159">
        <f t="shared" si="17"/>
        <v>2.5935191123787096</v>
      </c>
      <c r="AH5" s="159">
        <f t="shared" si="18"/>
        <v>3.3580944881788537</v>
      </c>
      <c r="AI5" s="159">
        <f t="shared" si="19"/>
        <v>12.624537478245571</v>
      </c>
      <c r="AJ5" s="159">
        <f t="shared" si="20"/>
        <v>5.6810418652105064</v>
      </c>
      <c r="AK5" s="159">
        <f t="shared" si="21"/>
        <v>1.4566279987684898</v>
      </c>
      <c r="AL5" s="159">
        <f t="shared" si="22"/>
        <v>5.128726127400431</v>
      </c>
      <c r="AM5" s="159">
        <f t="shared" si="23"/>
        <v>10.346631802823001</v>
      </c>
      <c r="AN5" s="159">
        <f t="shared" si="24"/>
        <v>9.715404928910722</v>
      </c>
      <c r="AO5" s="159">
        <f t="shared" si="25"/>
        <v>3.1349779987684903</v>
      </c>
      <c r="AP5" s="159">
        <f t="shared" si="26"/>
        <v>1.8566691236247008</v>
      </c>
      <c r="AQ5" s="159">
        <f t="shared" si="27"/>
        <v>3.7050273033981571</v>
      </c>
      <c r="AR5" s="159">
        <f t="shared" si="28"/>
        <v>8.1510600674759441</v>
      </c>
      <c r="AS5" s="159">
        <f t="shared" si="29"/>
        <v>1.8525136516990786</v>
      </c>
      <c r="AT5" s="159">
        <f t="shared" si="30"/>
        <v>8.2338732385476305</v>
      </c>
      <c r="AU5" s="159">
        <f t="shared" si="31"/>
        <v>1.3643631460805943</v>
      </c>
      <c r="AV5" s="159">
        <f t="shared" si="32"/>
        <v>2.2562940736876298</v>
      </c>
      <c r="AW5" s="159">
        <f t="shared" si="33"/>
        <v>0.68218157304029714</v>
      </c>
      <c r="AX5" s="159">
        <f t="shared" si="34"/>
        <v>2.5935191123787096</v>
      </c>
      <c r="AY5" s="159">
        <f t="shared" si="35"/>
        <v>5.4889293383676403</v>
      </c>
      <c r="AZ5" s="159">
        <f t="shared" si="36"/>
        <v>1.2967595561893548</v>
      </c>
      <c r="BA5" s="159">
        <f t="shared" si="37"/>
        <v>8.7223233459191007</v>
      </c>
      <c r="BB5" s="159">
        <f t="shared" si="38"/>
        <v>2.6552605842953101</v>
      </c>
      <c r="BC5" s="159">
        <f t="shared" si="39"/>
        <v>4.7889173858236465</v>
      </c>
      <c r="BD5" s="159">
        <f t="shared" si="40"/>
        <v>1.327630292147655</v>
      </c>
      <c r="BE5" s="159">
        <f t="shared" si="41"/>
        <v>3.9931960936624575</v>
      </c>
      <c r="BF5" s="159">
        <f t="shared" si="42"/>
        <v>4.7753685243798465</v>
      </c>
      <c r="BG5" s="159">
        <f t="shared" si="43"/>
        <v>7.6843668677547274</v>
      </c>
      <c r="BH5" s="159">
        <f t="shared" si="44"/>
        <v>8.3125704545220795</v>
      </c>
      <c r="BI5" s="159">
        <f t="shared" si="45"/>
        <v>2.5293193708109478</v>
      </c>
      <c r="BJ5" s="159">
        <f t="shared" si="46"/>
        <v>6.6553268227707632</v>
      </c>
      <c r="BK5" s="159">
        <f t="shared" si="47"/>
        <v>3.6226933633226421</v>
      </c>
      <c r="BL5" s="159">
        <f t="shared" si="48"/>
        <v>3.3232051947951775</v>
      </c>
      <c r="BM5" s="159">
        <f t="shared" si="49"/>
        <v>7.9796389376666275</v>
      </c>
      <c r="BN5" s="159">
        <f t="shared" si="50"/>
        <v>0.54574525843223765</v>
      </c>
      <c r="BO5" s="159">
        <f t="shared" si="51"/>
        <v>2.4700182022654378</v>
      </c>
      <c r="BP5" s="159">
        <f t="shared" si="52"/>
        <v>0.93311798752249875</v>
      </c>
      <c r="BQ5" s="159">
        <f t="shared" si="53"/>
        <v>2.6603086205053255</v>
      </c>
      <c r="BR5" s="159">
        <f t="shared" si="54"/>
        <v>11.723922267296407</v>
      </c>
      <c r="BS5" s="159">
        <f t="shared" si="55"/>
        <v>1.4168386516990787</v>
      </c>
      <c r="BT5" s="159">
        <f t="shared" si="56"/>
        <v>3.8971398302410236</v>
      </c>
      <c r="BU5" s="159">
        <f t="shared" si="57"/>
        <v>3.3482468964042602</v>
      </c>
      <c r="BV5" s="159">
        <f t="shared" si="58"/>
        <v>3.968657122393191</v>
      </c>
      <c r="BW5" s="159">
        <f t="shared" si="59"/>
        <v>10.096892045056141</v>
      </c>
      <c r="BX5" s="159">
        <f t="shared" si="60"/>
        <v>1.2699072359673222</v>
      </c>
      <c r="BY5" s="159">
        <f t="shared" si="61"/>
        <v>3.8971398302410236</v>
      </c>
      <c r="BZ5" s="159">
        <f t="shared" si="62"/>
        <v>3.3482468964042602</v>
      </c>
      <c r="CA5" s="159">
        <f t="shared" si="63"/>
        <v>5.5037860312749523</v>
      </c>
      <c r="CB5" s="159">
        <f t="shared" si="64"/>
        <v>8.148625505708706</v>
      </c>
      <c r="CC5" s="159">
        <f t="shared" si="65"/>
        <v>1.5532749663071379</v>
      </c>
      <c r="CD5" s="159">
        <f t="shared" si="66"/>
        <v>3.541263278443155</v>
      </c>
      <c r="CE5" s="159">
        <f t="shared" si="67"/>
        <v>4.6116049076682959</v>
      </c>
      <c r="CF5" s="159">
        <f t="shared" si="68"/>
        <v>9.0582744208382415</v>
      </c>
      <c r="CG5" s="159">
        <f t="shared" si="69"/>
        <v>4.6116049076682959</v>
      </c>
      <c r="CH5" s="159">
        <f t="shared" si="70"/>
        <v>4.7861418889520433</v>
      </c>
      <c r="CI5" s="159">
        <f t="shared" si="71"/>
        <v>9.6350156605632478</v>
      </c>
      <c r="CJ5" s="159">
        <f t="shared" si="72"/>
        <v>4.7861418889520433</v>
      </c>
      <c r="CK5" s="159">
        <f t="shared" si="73"/>
        <v>2.1805808364797752</v>
      </c>
    </row>
    <row r="6" spans="1:89" x14ac:dyDescent="0.25">
      <c r="A6" t="str">
        <f>PLANTILLA!D9</f>
        <v>E. Toney</v>
      </c>
      <c r="B6" s="487">
        <f>PLANTILLA!E9</f>
        <v>34</v>
      </c>
      <c r="C6" s="487">
        <f ca="1">PLANTILLA!F9</f>
        <v>48</v>
      </c>
      <c r="D6" s="487"/>
      <c r="E6" s="290">
        <v>41539</v>
      </c>
      <c r="F6" s="341">
        <f>PLANTILLA!Q9</f>
        <v>5</v>
      </c>
      <c r="G6" s="406">
        <f t="shared" ref="G6:G10" si="74">(F6/7)^0.5</f>
        <v>0.84515425472851657</v>
      </c>
      <c r="H6" s="406">
        <f>IF(F6=7,1,((F6+0.99)/7)^0.5)</f>
        <v>0.92504826128926143</v>
      </c>
      <c r="I6" s="496">
        <v>1.5</v>
      </c>
      <c r="J6" s="497">
        <f>PLANTILLA!I9</f>
        <v>16</v>
      </c>
      <c r="K6" s="163">
        <f>PLANTILLA!X9</f>
        <v>0</v>
      </c>
      <c r="L6" s="163">
        <f>PLANTILLA!Y9</f>
        <v>12.200000000000005</v>
      </c>
      <c r="M6" s="163">
        <f>PLANTILLA!Z9</f>
        <v>12.95</v>
      </c>
      <c r="N6" s="163">
        <f>PLANTILLA!AA9</f>
        <v>9.8750000000000053</v>
      </c>
      <c r="O6" s="163">
        <f>PLANTILLA!AB9</f>
        <v>9.6</v>
      </c>
      <c r="P6" s="163">
        <f>PLANTILLA!AC9</f>
        <v>2.99</v>
      </c>
      <c r="Q6" s="163">
        <f>PLANTILLA!AD9</f>
        <v>17.177777777777774</v>
      </c>
      <c r="R6" s="163">
        <f t="shared" si="2"/>
        <v>4.3000000000000007</v>
      </c>
      <c r="S6" s="163">
        <f t="shared" si="3"/>
        <v>13.674317993337235</v>
      </c>
      <c r="T6" s="163">
        <f t="shared" si="4"/>
        <v>0.66483333333333317</v>
      </c>
      <c r="U6" s="163">
        <f t="shared" si="5"/>
        <v>1.0033333333333334</v>
      </c>
      <c r="V6" s="163">
        <f t="shared" ca="1" si="6"/>
        <v>16.719915732458741</v>
      </c>
      <c r="W6" s="163">
        <f t="shared" ca="1" si="7"/>
        <v>18.300480522555265</v>
      </c>
      <c r="X6" s="159">
        <f t="shared" si="8"/>
        <v>6.0782956598114977</v>
      </c>
      <c r="Y6" s="159">
        <f t="shared" si="9"/>
        <v>9.1941918634783999</v>
      </c>
      <c r="Z6" s="159">
        <f t="shared" si="10"/>
        <v>6.0782956598114977</v>
      </c>
      <c r="AA6" s="159">
        <f t="shared" si="11"/>
        <v>7.8976345480672787</v>
      </c>
      <c r="AB6" s="159">
        <f t="shared" si="12"/>
        <v>15.305493310207904</v>
      </c>
      <c r="AC6" s="159">
        <f t="shared" si="13"/>
        <v>3.9488172740336394</v>
      </c>
      <c r="AD6" s="159">
        <f t="shared" si="14"/>
        <v>3.8212074078294802</v>
      </c>
      <c r="AE6" s="159">
        <f t="shared" si="15"/>
        <v>5.7854764712585878</v>
      </c>
      <c r="AF6" s="159">
        <f t="shared" si="16"/>
        <v>11.065871663280314</v>
      </c>
      <c r="AG6" s="159">
        <f t="shared" si="17"/>
        <v>2.8927382356292939</v>
      </c>
      <c r="AH6" s="159">
        <f t="shared" si="18"/>
        <v>6.1813649244300422</v>
      </c>
      <c r="AI6" s="159">
        <f t="shared" si="19"/>
        <v>14.081053845391272</v>
      </c>
      <c r="AJ6" s="159">
        <f t="shared" si="20"/>
        <v>6.3364742304260719</v>
      </c>
      <c r="AK6" s="159">
        <f t="shared" si="21"/>
        <v>2.6812673828047195</v>
      </c>
      <c r="AL6" s="159">
        <f t="shared" si="22"/>
        <v>7.6325300664022473</v>
      </c>
      <c r="AM6" s="159">
        <f t="shared" si="23"/>
        <v>11.540341955896759</v>
      </c>
      <c r="AN6" s="159">
        <f t="shared" si="24"/>
        <v>10.836289263627195</v>
      </c>
      <c r="AO6" s="159">
        <f t="shared" si="25"/>
        <v>3.3873062716936078</v>
      </c>
      <c r="AP6" s="159">
        <f t="shared" si="26"/>
        <v>2.1327820733398752</v>
      </c>
      <c r="AQ6" s="159">
        <f t="shared" si="27"/>
        <v>4.1324831937561344</v>
      </c>
      <c r="AR6" s="159">
        <f t="shared" si="28"/>
        <v>9.0914630262634955</v>
      </c>
      <c r="AS6" s="159">
        <f t="shared" si="29"/>
        <v>2.0662415968780672</v>
      </c>
      <c r="AT6" s="159">
        <f t="shared" si="30"/>
        <v>15.156385684836257</v>
      </c>
      <c r="AU6" s="159">
        <f t="shared" si="31"/>
        <v>1.6517141303270269</v>
      </c>
      <c r="AV6" s="159">
        <f t="shared" si="32"/>
        <v>2.5791795398909145</v>
      </c>
      <c r="AW6" s="159">
        <f t="shared" si="33"/>
        <v>0.82585706516351343</v>
      </c>
      <c r="AX6" s="159">
        <f t="shared" si="34"/>
        <v>2.8927382356292939</v>
      </c>
      <c r="AY6" s="159">
        <f t="shared" si="35"/>
        <v>6.122197324083162</v>
      </c>
      <c r="AZ6" s="159">
        <f t="shared" si="36"/>
        <v>1.4463691178146469</v>
      </c>
      <c r="BA6" s="159">
        <f t="shared" si="37"/>
        <v>16.0554933102079</v>
      </c>
      <c r="BB6" s="159">
        <f t="shared" si="38"/>
        <v>3.2144898074825985</v>
      </c>
      <c r="BC6" s="159">
        <f t="shared" si="39"/>
        <v>5.6126268139245532</v>
      </c>
      <c r="BD6" s="159">
        <f t="shared" si="40"/>
        <v>1.6072449037412992</v>
      </c>
      <c r="BE6" s="159">
        <f t="shared" si="41"/>
        <v>4.4538985532705002</v>
      </c>
      <c r="BF6" s="159">
        <f t="shared" si="42"/>
        <v>5.3263116719523502</v>
      </c>
      <c r="BG6" s="159">
        <f t="shared" si="43"/>
        <v>14.144889606293161</v>
      </c>
      <c r="BH6" s="159">
        <f t="shared" si="44"/>
        <v>11.453033552774826</v>
      </c>
      <c r="BI6" s="159">
        <f t="shared" si="45"/>
        <v>3.0620238877601036</v>
      </c>
      <c r="BJ6" s="159">
        <f t="shared" si="46"/>
        <v>7.4231642554508337</v>
      </c>
      <c r="BK6" s="159">
        <f t="shared" si="47"/>
        <v>4.0406502338948869</v>
      </c>
      <c r="BL6" s="159">
        <f t="shared" si="48"/>
        <v>6.1171429511892104</v>
      </c>
      <c r="BM6" s="159">
        <f t="shared" si="49"/>
        <v>11.289676153121709</v>
      </c>
      <c r="BN6" s="159">
        <f t="shared" si="50"/>
        <v>0.66068565213081076</v>
      </c>
      <c r="BO6" s="159">
        <f t="shared" si="51"/>
        <v>2.7549887958374226</v>
      </c>
      <c r="BP6" s="159">
        <f t="shared" si="52"/>
        <v>1.0407735450941376</v>
      </c>
      <c r="BQ6" s="159">
        <f t="shared" si="53"/>
        <v>4.89692545961341</v>
      </c>
      <c r="BR6" s="159">
        <f t="shared" si="54"/>
        <v>16.614264396927364</v>
      </c>
      <c r="BS6" s="159">
        <f t="shared" si="55"/>
        <v>1.7152415968780665</v>
      </c>
      <c r="BT6" s="159">
        <f t="shared" si="56"/>
        <v>4.3467601000990443</v>
      </c>
      <c r="BU6" s="159">
        <f t="shared" si="57"/>
        <v>3.7345403676907285</v>
      </c>
      <c r="BV6" s="159">
        <f t="shared" si="58"/>
        <v>7.3052494561445949</v>
      </c>
      <c r="BW6" s="159">
        <f t="shared" si="59"/>
        <v>14.315286587710357</v>
      </c>
      <c r="BX6" s="159">
        <f t="shared" si="60"/>
        <v>1.5373646905351557</v>
      </c>
      <c r="BY6" s="159">
        <f t="shared" si="61"/>
        <v>4.3467601000990443</v>
      </c>
      <c r="BZ6" s="159">
        <f t="shared" si="62"/>
        <v>3.7345403676907285</v>
      </c>
      <c r="CA6" s="159">
        <f t="shared" si="63"/>
        <v>10.131016278741185</v>
      </c>
      <c r="CB6" s="159">
        <f t="shared" si="64"/>
        <v>11.564466512636072</v>
      </c>
      <c r="CC6" s="159">
        <f t="shared" si="65"/>
        <v>1.880413009910769</v>
      </c>
      <c r="CD6" s="159">
        <f t="shared" si="66"/>
        <v>6.5185302839444077</v>
      </c>
      <c r="CE6" s="159">
        <f t="shared" si="67"/>
        <v>5.8196920146183162</v>
      </c>
      <c r="CF6" s="159">
        <f t="shared" si="68"/>
        <v>10.452755467294095</v>
      </c>
      <c r="CG6" s="159">
        <f t="shared" si="69"/>
        <v>5.8196920146183162</v>
      </c>
      <c r="CH6" s="159">
        <f t="shared" si="70"/>
        <v>6.1276973322595225</v>
      </c>
      <c r="CI6" s="159">
        <f t="shared" si="71"/>
        <v>10.783820341674614</v>
      </c>
      <c r="CJ6" s="159">
        <f t="shared" si="72"/>
        <v>6.1276973322595225</v>
      </c>
      <c r="CK6" s="159">
        <f t="shared" si="73"/>
        <v>4.0138733275519751</v>
      </c>
    </row>
    <row r="7" spans="1:89" x14ac:dyDescent="0.25">
      <c r="A7" t="str">
        <f>PLANTILLA!D10</f>
        <v>B. Bartolache</v>
      </c>
      <c r="B7" s="487">
        <f>PLANTILLA!E10</f>
        <v>34</v>
      </c>
      <c r="C7" s="487">
        <f ca="1">PLANTILLA!F10</f>
        <v>33</v>
      </c>
      <c r="D7" s="487"/>
      <c r="E7" s="290">
        <v>41527</v>
      </c>
      <c r="F7" s="341">
        <f>PLANTILLA!Q10</f>
        <v>5</v>
      </c>
      <c r="G7" s="406">
        <f t="shared" si="74"/>
        <v>0.84515425472851657</v>
      </c>
      <c r="H7" s="406">
        <f t="shared" ref="H7:H21" si="75">IF(F7=7,1,((F7+0.99)/7)^0.5)</f>
        <v>0.92504826128926143</v>
      </c>
      <c r="I7" s="496">
        <v>1.5</v>
      </c>
      <c r="J7" s="497">
        <f>PLANTILLA!I10</f>
        <v>11</v>
      </c>
      <c r="K7" s="163">
        <f>PLANTILLA!X10</f>
        <v>0</v>
      </c>
      <c r="L7" s="163">
        <f>PLANTILLA!Y10</f>
        <v>11.95</v>
      </c>
      <c r="M7" s="163">
        <f>PLANTILLA!Z10</f>
        <v>6.95</v>
      </c>
      <c r="N7" s="163">
        <f>PLANTILLA!AA10</f>
        <v>7.5000000000000018</v>
      </c>
      <c r="O7" s="163">
        <f>PLANTILLA!AB10</f>
        <v>8.9</v>
      </c>
      <c r="P7" s="163">
        <f>PLANTILLA!AC10</f>
        <v>3.9</v>
      </c>
      <c r="Q7" s="163">
        <f>PLANTILLA!AD10</f>
        <v>16</v>
      </c>
      <c r="R7" s="163">
        <f t="shared" si="2"/>
        <v>4.09375</v>
      </c>
      <c r="S7" s="163">
        <f t="shared" si="3"/>
        <v>14.057637112266237</v>
      </c>
      <c r="T7" s="163">
        <f t="shared" si="4"/>
        <v>0.67500000000000004</v>
      </c>
      <c r="U7" s="163">
        <f t="shared" si="5"/>
        <v>0.95799999999999996</v>
      </c>
      <c r="V7" s="163">
        <f t="shared" ca="1" si="6"/>
        <v>15.541138941990955</v>
      </c>
      <c r="W7" s="163">
        <f t="shared" ca="1" si="7"/>
        <v>17.01027176555074</v>
      </c>
      <c r="X7" s="159">
        <f t="shared" si="8"/>
        <v>5.819881085524174</v>
      </c>
      <c r="Y7" s="159">
        <f t="shared" si="9"/>
        <v>8.8078339420523566</v>
      </c>
      <c r="Z7" s="159">
        <f t="shared" si="10"/>
        <v>5.819881085524174</v>
      </c>
      <c r="AA7" s="159">
        <f t="shared" si="11"/>
        <v>7.6566781673888586</v>
      </c>
      <c r="AB7" s="159">
        <f t="shared" si="12"/>
        <v>14.838523580210966</v>
      </c>
      <c r="AC7" s="159">
        <f t="shared" si="13"/>
        <v>3.8283390836944293</v>
      </c>
      <c r="AD7" s="159">
        <f t="shared" si="14"/>
        <v>2.3415686120902097</v>
      </c>
      <c r="AE7" s="159">
        <f t="shared" si="15"/>
        <v>5.608961913319745</v>
      </c>
      <c r="AF7" s="159">
        <f t="shared" si="16"/>
        <v>10.728252548492527</v>
      </c>
      <c r="AG7" s="159">
        <f t="shared" si="17"/>
        <v>2.8044809566598725</v>
      </c>
      <c r="AH7" s="159">
        <f t="shared" si="18"/>
        <v>3.7878315783812218</v>
      </c>
      <c r="AI7" s="159">
        <f t="shared" si="19"/>
        <v>13.651441693794089</v>
      </c>
      <c r="AJ7" s="159">
        <f t="shared" si="20"/>
        <v>6.14314876220734</v>
      </c>
      <c r="AK7" s="159">
        <f t="shared" si="21"/>
        <v>1.6430334378952314</v>
      </c>
      <c r="AL7" s="159">
        <f t="shared" si="22"/>
        <v>6.1084518651640494</v>
      </c>
      <c r="AM7" s="159">
        <f t="shared" si="23"/>
        <v>11.188246779479067</v>
      </c>
      <c r="AN7" s="159">
        <f t="shared" si="24"/>
        <v>10.505674694789363</v>
      </c>
      <c r="AO7" s="159">
        <f t="shared" si="25"/>
        <v>3.1543834378952318</v>
      </c>
      <c r="AP7" s="159">
        <f t="shared" si="26"/>
        <v>2.0108947911007582</v>
      </c>
      <c r="AQ7" s="159">
        <f t="shared" si="27"/>
        <v>4.0064013666569611</v>
      </c>
      <c r="AR7" s="159">
        <f t="shared" si="28"/>
        <v>8.8140830066453137</v>
      </c>
      <c r="AS7" s="159">
        <f t="shared" si="29"/>
        <v>2.0032006833284806</v>
      </c>
      <c r="AT7" s="159">
        <f t="shared" si="30"/>
        <v>9.2875662597191511</v>
      </c>
      <c r="AU7" s="159">
        <f t="shared" si="31"/>
        <v>1.5325080654274257</v>
      </c>
      <c r="AV7" s="159">
        <f t="shared" si="32"/>
        <v>2.5890374090018131</v>
      </c>
      <c r="AW7" s="159">
        <f t="shared" si="33"/>
        <v>0.76625403271371284</v>
      </c>
      <c r="AX7" s="159">
        <f t="shared" si="34"/>
        <v>2.8044809566598725</v>
      </c>
      <c r="AY7" s="159">
        <f t="shared" si="35"/>
        <v>5.9354094320843869</v>
      </c>
      <c r="AZ7" s="159">
        <f t="shared" si="36"/>
        <v>1.4022404783299363</v>
      </c>
      <c r="BA7" s="159">
        <f t="shared" si="37"/>
        <v>9.8385235802109658</v>
      </c>
      <c r="BB7" s="159">
        <f t="shared" si="38"/>
        <v>2.9824964657933748</v>
      </c>
      <c r="BC7" s="159">
        <f t="shared" si="39"/>
        <v>5.4454764926962422</v>
      </c>
      <c r="BD7" s="159">
        <f t="shared" si="40"/>
        <v>1.4912482328966874</v>
      </c>
      <c r="BE7" s="159">
        <f t="shared" si="41"/>
        <v>4.3180103618413908</v>
      </c>
      <c r="BF7" s="159">
        <f t="shared" si="42"/>
        <v>5.1638062059134153</v>
      </c>
      <c r="BG7" s="159">
        <f t="shared" si="43"/>
        <v>8.6677392741658608</v>
      </c>
      <c r="BH7" s="159">
        <f t="shared" si="44"/>
        <v>9.6763974628075502</v>
      </c>
      <c r="BI7" s="159">
        <f t="shared" si="45"/>
        <v>2.841034182830843</v>
      </c>
      <c r="BJ7" s="159">
        <f t="shared" si="46"/>
        <v>7.1966839364023185</v>
      </c>
      <c r="BK7" s="159">
        <f t="shared" si="47"/>
        <v>3.917370225175695</v>
      </c>
      <c r="BL7" s="159">
        <f t="shared" si="48"/>
        <v>3.7484774840603778</v>
      </c>
      <c r="BM7" s="159">
        <f t="shared" si="49"/>
        <v>9.3609696091043872</v>
      </c>
      <c r="BN7" s="159">
        <f t="shared" si="50"/>
        <v>0.61300322617097025</v>
      </c>
      <c r="BO7" s="159">
        <f t="shared" si="51"/>
        <v>2.6709342444379738</v>
      </c>
      <c r="BP7" s="159">
        <f t="shared" si="52"/>
        <v>1.0090196034543457</v>
      </c>
      <c r="BQ7" s="159">
        <f t="shared" si="53"/>
        <v>3.0007496919643444</v>
      </c>
      <c r="BR7" s="159">
        <f t="shared" si="54"/>
        <v>13.760041324151304</v>
      </c>
      <c r="BS7" s="159">
        <f t="shared" si="55"/>
        <v>1.5914506833284807</v>
      </c>
      <c r="BT7" s="159">
        <f t="shared" si="56"/>
        <v>4.2141406967799142</v>
      </c>
      <c r="BU7" s="159">
        <f t="shared" si="57"/>
        <v>3.6205997535714758</v>
      </c>
      <c r="BV7" s="159">
        <f t="shared" si="58"/>
        <v>4.4765282289959893</v>
      </c>
      <c r="BW7" s="159">
        <f t="shared" si="59"/>
        <v>11.852084126873754</v>
      </c>
      <c r="BX7" s="159">
        <f t="shared" si="60"/>
        <v>1.4264113532055269</v>
      </c>
      <c r="BY7" s="159">
        <f t="shared" si="61"/>
        <v>4.2141406967799142</v>
      </c>
      <c r="BZ7" s="159">
        <f t="shared" si="62"/>
        <v>3.6205997535714758</v>
      </c>
      <c r="CA7" s="159">
        <f t="shared" si="63"/>
        <v>6.2081083791131197</v>
      </c>
      <c r="CB7" s="159">
        <f t="shared" si="64"/>
        <v>9.5679286042888165</v>
      </c>
      <c r="CC7" s="159">
        <f t="shared" si="65"/>
        <v>1.744701489871223</v>
      </c>
      <c r="CD7" s="159">
        <f t="shared" si="66"/>
        <v>3.9944405735656523</v>
      </c>
      <c r="CE7" s="159">
        <f t="shared" si="67"/>
        <v>5.3052207852899134</v>
      </c>
      <c r="CF7" s="159">
        <f t="shared" si="68"/>
        <v>10.358877551317548</v>
      </c>
      <c r="CG7" s="159">
        <f t="shared" si="69"/>
        <v>5.3052207852899134</v>
      </c>
      <c r="CH7" s="159">
        <f t="shared" si="70"/>
        <v>5.6048501904714332</v>
      </c>
      <c r="CI7" s="159">
        <f t="shared" si="71"/>
        <v>11.138488781308814</v>
      </c>
      <c r="CJ7" s="159">
        <f t="shared" si="72"/>
        <v>5.6048501904714332</v>
      </c>
      <c r="CK7" s="159">
        <f t="shared" si="73"/>
        <v>2.4596308950527415</v>
      </c>
    </row>
    <row r="8" spans="1:89" x14ac:dyDescent="0.25">
      <c r="A8" t="str">
        <f>PLANTILLA!D11</f>
        <v>F. Lasprilla</v>
      </c>
      <c r="B8" s="487">
        <f>PLANTILLA!E11</f>
        <v>30</v>
      </c>
      <c r="C8" s="487">
        <f ca="1">PLANTILLA!F11</f>
        <v>56</v>
      </c>
      <c r="D8" s="487"/>
      <c r="E8" s="290">
        <v>42106</v>
      </c>
      <c r="F8" s="341">
        <f>PLANTILLA!Q11</f>
        <v>5</v>
      </c>
      <c r="G8" s="406">
        <f t="shared" si="74"/>
        <v>0.84515425472851657</v>
      </c>
      <c r="H8" s="406">
        <f t="shared" si="75"/>
        <v>0.92504826128926143</v>
      </c>
      <c r="I8" s="496">
        <v>1.5</v>
      </c>
      <c r="J8" s="497">
        <f>PLANTILLA!I11</f>
        <v>5.5</v>
      </c>
      <c r="K8" s="163">
        <f>PLANTILLA!X11</f>
        <v>0</v>
      </c>
      <c r="L8" s="163">
        <f>PLANTILLA!Y11</f>
        <v>9.6046666666666667</v>
      </c>
      <c r="M8" s="163">
        <f>PLANTILLA!Z11</f>
        <v>7.7607222222222223</v>
      </c>
      <c r="N8" s="163">
        <f>PLANTILLA!AA11</f>
        <v>6.1599999999999984</v>
      </c>
      <c r="O8" s="163">
        <f>PLANTILLA!AB11</f>
        <v>8.8633333333333315</v>
      </c>
      <c r="P8" s="163">
        <f>PLANTILLA!AC11</f>
        <v>3.2566666666666673</v>
      </c>
      <c r="Q8" s="163">
        <f>PLANTILLA!AD11</f>
        <v>13.33611111111111</v>
      </c>
      <c r="R8" s="163">
        <f t="shared" si="2"/>
        <v>3.7914166666666662</v>
      </c>
      <c r="S8" s="163">
        <f t="shared" si="3"/>
        <v>10.637529836154153</v>
      </c>
      <c r="T8" s="163">
        <f t="shared" si="4"/>
        <v>0.56291666666666662</v>
      </c>
      <c r="U8" s="163">
        <f t="shared" si="5"/>
        <v>0.78426999999999991</v>
      </c>
      <c r="V8" s="163">
        <f t="shared" ca="1" si="6"/>
        <v>12.950519537907393</v>
      </c>
      <c r="W8" s="163">
        <f t="shared" ca="1" si="7"/>
        <v>14.17475628183645</v>
      </c>
      <c r="X8" s="159">
        <f t="shared" si="8"/>
        <v>4.8221701705713</v>
      </c>
      <c r="Y8" s="159">
        <f t="shared" si="9"/>
        <v>7.2928943095160914</v>
      </c>
      <c r="Z8" s="159">
        <f t="shared" si="10"/>
        <v>4.8221701705713</v>
      </c>
      <c r="AA8" s="159">
        <f t="shared" si="11"/>
        <v>6.2393775303720398</v>
      </c>
      <c r="AB8" s="159">
        <f t="shared" si="12"/>
        <v>12.091816919325659</v>
      </c>
      <c r="AC8" s="159">
        <f t="shared" si="13"/>
        <v>3.1196887651860199</v>
      </c>
      <c r="AD8" s="159">
        <f t="shared" si="14"/>
        <v>2.4389936490217288</v>
      </c>
      <c r="AE8" s="159">
        <f t="shared" si="15"/>
        <v>4.5707067955050995</v>
      </c>
      <c r="AF8" s="159">
        <f t="shared" si="16"/>
        <v>8.7423836326724516</v>
      </c>
      <c r="AG8" s="159">
        <f t="shared" si="17"/>
        <v>2.2853533977525498</v>
      </c>
      <c r="AH8" s="159">
        <f t="shared" si="18"/>
        <v>3.9454309028292678</v>
      </c>
      <c r="AI8" s="159">
        <f t="shared" si="19"/>
        <v>11.124471565779606</v>
      </c>
      <c r="AJ8" s="159">
        <f t="shared" si="20"/>
        <v>5.0060122046008226</v>
      </c>
      <c r="AK8" s="159">
        <f t="shared" si="21"/>
        <v>1.7113947033051629</v>
      </c>
      <c r="AL8" s="159">
        <f t="shared" si="22"/>
        <v>5.0845243485634866</v>
      </c>
      <c r="AM8" s="159">
        <f t="shared" si="23"/>
        <v>9.1172299571715474</v>
      </c>
      <c r="AN8" s="159">
        <f t="shared" si="24"/>
        <v>8.5610063788825652</v>
      </c>
      <c r="AO8" s="159">
        <f t="shared" si="25"/>
        <v>2.6424846477496073</v>
      </c>
      <c r="AP8" s="159">
        <f t="shared" si="26"/>
        <v>1.8082272727657895</v>
      </c>
      <c r="AQ8" s="159">
        <f t="shared" si="27"/>
        <v>3.2647905682179279</v>
      </c>
      <c r="AR8" s="159">
        <f t="shared" si="28"/>
        <v>7.1825392500794409</v>
      </c>
      <c r="AS8" s="159">
        <f t="shared" si="29"/>
        <v>1.632395284108964</v>
      </c>
      <c r="AT8" s="159">
        <f t="shared" si="30"/>
        <v>9.6739916162878661</v>
      </c>
      <c r="AU8" s="159">
        <f t="shared" si="31"/>
        <v>1.4755628661790021</v>
      </c>
      <c r="AV8" s="159">
        <f t="shared" si="32"/>
        <v>2.355738357362418</v>
      </c>
      <c r="AW8" s="159">
        <f t="shared" si="33"/>
        <v>0.73778143308950106</v>
      </c>
      <c r="AX8" s="159">
        <f t="shared" si="34"/>
        <v>2.2853533977525498</v>
      </c>
      <c r="AY8" s="159">
        <f t="shared" si="35"/>
        <v>4.8367267677302639</v>
      </c>
      <c r="AZ8" s="159">
        <f t="shared" si="36"/>
        <v>1.1426766988762749</v>
      </c>
      <c r="BA8" s="159">
        <f t="shared" si="37"/>
        <v>10.247872474881214</v>
      </c>
      <c r="BB8" s="159">
        <f t="shared" si="38"/>
        <v>2.8716723472560579</v>
      </c>
      <c r="BC8" s="159">
        <f t="shared" si="39"/>
        <v>5.0767164558817708</v>
      </c>
      <c r="BD8" s="159">
        <f t="shared" si="40"/>
        <v>1.435836173628029</v>
      </c>
      <c r="BE8" s="159">
        <f t="shared" si="41"/>
        <v>3.5187187235237665</v>
      </c>
      <c r="BF8" s="159">
        <f t="shared" si="42"/>
        <v>4.2079522879253286</v>
      </c>
      <c r="BG8" s="159">
        <f t="shared" si="43"/>
        <v>9.0283756503703501</v>
      </c>
      <c r="BH8" s="159">
        <f t="shared" si="44"/>
        <v>8.5388665746138415</v>
      </c>
      <c r="BI8" s="159">
        <f t="shared" si="45"/>
        <v>2.7354665442241499</v>
      </c>
      <c r="BJ8" s="159">
        <f t="shared" si="46"/>
        <v>5.864531205872944</v>
      </c>
      <c r="BK8" s="159">
        <f t="shared" si="47"/>
        <v>3.1922396667019739</v>
      </c>
      <c r="BL8" s="159">
        <f t="shared" si="48"/>
        <v>3.9044394129297428</v>
      </c>
      <c r="BM8" s="159">
        <f t="shared" si="49"/>
        <v>8.1009793208239582</v>
      </c>
      <c r="BN8" s="159">
        <f t="shared" si="50"/>
        <v>0.59022514647160085</v>
      </c>
      <c r="BO8" s="159">
        <f t="shared" si="51"/>
        <v>2.1765270454786183</v>
      </c>
      <c r="BP8" s="159">
        <f t="shared" si="52"/>
        <v>0.82224355051414488</v>
      </c>
      <c r="BQ8" s="159">
        <f t="shared" si="53"/>
        <v>3.1256011048387702</v>
      </c>
      <c r="BR8" s="159">
        <f t="shared" si="54"/>
        <v>11.893388558252795</v>
      </c>
      <c r="BS8" s="159">
        <f t="shared" si="55"/>
        <v>1.5323152841089638</v>
      </c>
      <c r="BT8" s="159">
        <f t="shared" si="56"/>
        <v>3.4340760050884866</v>
      </c>
      <c r="BU8" s="159">
        <f t="shared" si="57"/>
        <v>2.9504033283154607</v>
      </c>
      <c r="BV8" s="159">
        <f t="shared" si="58"/>
        <v>4.6627819760709528</v>
      </c>
      <c r="BW8" s="159">
        <f t="shared" si="59"/>
        <v>10.240655813279494</v>
      </c>
      <c r="BX8" s="159">
        <f t="shared" si="60"/>
        <v>1.3734085139050711</v>
      </c>
      <c r="BY8" s="159">
        <f t="shared" si="61"/>
        <v>3.4340760050884866</v>
      </c>
      <c r="BZ8" s="159">
        <f t="shared" si="62"/>
        <v>2.9504033283154607</v>
      </c>
      <c r="CA8" s="159">
        <f t="shared" si="63"/>
        <v>6.466407531650046</v>
      </c>
      <c r="CB8" s="159">
        <f t="shared" si="64"/>
        <v>8.2609428094631294</v>
      </c>
      <c r="CC8" s="159">
        <f t="shared" si="65"/>
        <v>1.6798715707268639</v>
      </c>
      <c r="CD8" s="159">
        <f t="shared" si="66"/>
        <v>4.160636224801773</v>
      </c>
      <c r="CE8" s="159">
        <f t="shared" si="67"/>
        <v>4.8122752816353342</v>
      </c>
      <c r="CF8" s="159">
        <f t="shared" si="68"/>
        <v>9.511957851160691</v>
      </c>
      <c r="CG8" s="159">
        <f t="shared" si="69"/>
        <v>4.8122752816353342</v>
      </c>
      <c r="CH8" s="159">
        <f t="shared" si="70"/>
        <v>4.886181274073218</v>
      </c>
      <c r="CI8" s="159">
        <f t="shared" si="71"/>
        <v>9.9321453625568275</v>
      </c>
      <c r="CJ8" s="159">
        <f t="shared" si="72"/>
        <v>4.886181274073218</v>
      </c>
      <c r="CK8" s="159">
        <f t="shared" si="73"/>
        <v>2.5619681187203036</v>
      </c>
    </row>
    <row r="9" spans="1:89" x14ac:dyDescent="0.25">
      <c r="A9" t="str">
        <f>PLANTILLA!D7</f>
        <v>B. Pinczehelyi</v>
      </c>
      <c r="B9" s="487">
        <f>PLANTILLA!E7</f>
        <v>33</v>
      </c>
      <c r="C9" s="487">
        <f ca="1">PLANTILLA!F7</f>
        <v>49</v>
      </c>
      <c r="D9" s="487" t="str">
        <f>PLANTILLA!G7</f>
        <v>CAB</v>
      </c>
      <c r="E9" s="290">
        <v>42716</v>
      </c>
      <c r="F9" s="341">
        <f>PLANTILLA!Q7</f>
        <v>5</v>
      </c>
      <c r="G9" s="406">
        <f>(F9/7)^0.5</f>
        <v>0.84515425472851657</v>
      </c>
      <c r="H9" s="406">
        <f>IF(F9=7,1,((F9+0.99)/7)^0.5)</f>
        <v>0.92504826128926143</v>
      </c>
      <c r="I9" s="496">
        <v>1</v>
      </c>
      <c r="J9" s="497">
        <f>PLANTILLA!I7</f>
        <v>17</v>
      </c>
      <c r="K9" s="163">
        <f>PLANTILLA!X7</f>
        <v>0</v>
      </c>
      <c r="L9" s="163">
        <f>PLANTILLA!Y7</f>
        <v>14.300000000000004</v>
      </c>
      <c r="M9" s="163">
        <f>PLANTILLA!Z7</f>
        <v>9.3793333333333351</v>
      </c>
      <c r="N9" s="163">
        <f>PLANTILLA!AA7</f>
        <v>13.95</v>
      </c>
      <c r="O9" s="163">
        <f>PLANTILLA!AB7</f>
        <v>9.4199999999999982</v>
      </c>
      <c r="P9" s="163">
        <f>PLANTILLA!AC7</f>
        <v>0.95</v>
      </c>
      <c r="Q9" s="163">
        <f>PLANTILLA!AD7</f>
        <v>11.25</v>
      </c>
      <c r="R9" s="163">
        <f>((2*(O9+1))+(L9+1))/8</f>
        <v>4.5175000000000001</v>
      </c>
      <c r="S9" s="163">
        <f t="shared" si="3"/>
        <v>6.000222821661314</v>
      </c>
      <c r="T9" s="163">
        <f>(0.5*P9+ 0.3*Q9)/10</f>
        <v>0.38500000000000001</v>
      </c>
      <c r="U9" s="163">
        <f>(0.4*L9+0.3*Q9)/10</f>
        <v>0.9095000000000002</v>
      </c>
      <c r="V9" s="163">
        <f t="shared" ref="V9" ca="1" si="76">IF(TODAY()-E9&gt;335,(Q9+1+(LOG(J9)*4/3))*(F9/7)^0.5,(Q9+((TODAY()-E9)^0.5)/(336^0.5)+(LOG(J9)*4/3))*(F9/7)^0.5)</f>
        <v>11.739698475262944</v>
      </c>
      <c r="W9" s="163">
        <f t="shared" ref="W9" ca="1" si="77">IF(F9=7,V9,IF(TODAY()-E9&gt;335,(Q9+1+(LOG(J9)*4/3))*((F9+0.99)/7)^0.5,(Q9+((TODAY()-E9)^0.5)/(336^0.5)+(LOG(J9)*4/3))*((F9+0.99)/7)^0.5))</f>
        <v>12.849474047895079</v>
      </c>
      <c r="X9" s="159">
        <f>((K9+I9+(LOG(J9)*4/3))*0.597)+((L9+I9+(LOG(J9)*4/3))*0.276)</f>
        <v>6.2520425444843131</v>
      </c>
      <c r="Y9" s="159">
        <f>((K9+I9+(LOG(J9)*4/3))*0.866)+((L9+I9+(LOG(J9)*4/3))*0.425)</f>
        <v>9.4865127433324705</v>
      </c>
      <c r="Z9" s="159">
        <f>X9</f>
        <v>6.2520425444843131</v>
      </c>
      <c r="AA9" s="159">
        <f>((L9+I9+(LOG(J9)*4/3))*0.516)</f>
        <v>8.741348857908255</v>
      </c>
      <c r="AB9" s="159">
        <f>(L9+I9+(LOG(J9)*4/3))*1</f>
        <v>16.940598561837703</v>
      </c>
      <c r="AC9" s="159">
        <f>AA9/2</f>
        <v>4.3706744289541275</v>
      </c>
      <c r="AD9" s="159">
        <f>(M9+I9+(LOG(J9)*4/3))*0.238</f>
        <v>2.8607437910507061</v>
      </c>
      <c r="AE9" s="159">
        <f>((L9+I9+(LOG(J9)*4/3))*0.378)</f>
        <v>6.4035462563746517</v>
      </c>
      <c r="AF9" s="159">
        <f>(L9+I9+(LOG(J9)*4/3))*0.723</f>
        <v>12.248052760208658</v>
      </c>
      <c r="AG9" s="159">
        <f>AE9/2</f>
        <v>3.2017731281873258</v>
      </c>
      <c r="AH9" s="159">
        <f>(M9+I9+(LOG(J9)*4/3))*0.385</f>
        <v>4.6276737796408485</v>
      </c>
      <c r="AI9" s="159">
        <f>((L9+I9+(LOG(J9)*4/3))*0.92)</f>
        <v>15.585350676890688</v>
      </c>
      <c r="AJ9" s="159">
        <f>(L9+I9+(LOG(J9)*4/3))*0.414</f>
        <v>7.013407804600809</v>
      </c>
      <c r="AK9" s="159">
        <f>((M9+I9+(LOG(J9)*4/3))*0.167)</f>
        <v>2.0073286264935626</v>
      </c>
      <c r="AL9" s="159">
        <f>(N9+I9+(LOG(J9)*4/3))*0.588</f>
        <v>9.7552719543605662</v>
      </c>
      <c r="AM9" s="159">
        <f>((L9+I9+(LOG(J9)*4/3))*0.754)</f>
        <v>12.773211315625629</v>
      </c>
      <c r="AN9" s="159">
        <f>((L9+I9+(LOG(J9)*4/3))*0.708)</f>
        <v>11.993943781781093</v>
      </c>
      <c r="AO9" s="159">
        <f>((Q9+I9+(LOG(J9)*4/3))*0.167)</f>
        <v>2.3197299598268959</v>
      </c>
      <c r="AP9" s="159">
        <f>((R9+I9+(LOG(J9)*4/3))*0.288)</f>
        <v>2.0615323858092571</v>
      </c>
      <c r="AQ9" s="159">
        <f>((L9+I9+(LOG(J9)*4/3))*0.27)</f>
        <v>4.5739616116961805</v>
      </c>
      <c r="AR9" s="159">
        <f>((L9+I9+(LOG(J9)*4/3))*0.594)</f>
        <v>10.062715545731596</v>
      </c>
      <c r="AS9" s="159">
        <f>AQ9/2</f>
        <v>2.2869808058480903</v>
      </c>
      <c r="AT9" s="159">
        <f>((M9+I9+(LOG(J9)*4/3))*0.944)</f>
        <v>11.346815709041456</v>
      </c>
      <c r="AU9" s="159">
        <f>((O9+I9+(LOG(J9)*4/3))*0.13)</f>
        <v>1.5678778130389006</v>
      </c>
      <c r="AV9" s="159">
        <f>((P9+I9+(LOG(J9)*4/3))*0.173)+((O9+I9+(LOG(J9)*4/3))*0.12)</f>
        <v>2.0684453786184456</v>
      </c>
      <c r="AW9" s="159">
        <f>AU9/2</f>
        <v>0.78393890651945031</v>
      </c>
      <c r="AX9" s="159">
        <f>((L9+I9+(LOG(J9)*4/3))*0.189)</f>
        <v>3.2017731281873258</v>
      </c>
      <c r="AY9" s="159">
        <f>((L9+I9+(LOG(J9)*4/3))*0.4)</f>
        <v>6.7762394247350812</v>
      </c>
      <c r="AZ9" s="159">
        <f>AX9/2</f>
        <v>1.6008865640936629</v>
      </c>
      <c r="BA9" s="159">
        <f>((M9+I9+(LOG(J9)*4/3))*1)</f>
        <v>12.019931895171034</v>
      </c>
      <c r="BB9" s="159">
        <f>((O9+I9+(LOG(J9)*4/3))*0.253)</f>
        <v>3.0513314361449373</v>
      </c>
      <c r="BC9" s="159">
        <f>((P9+I9+(LOG(J9)*4/3))*0.21)+((O9+I9+(LOG(J9)*4/3))*0.341)</f>
        <v>4.8666898075725715</v>
      </c>
      <c r="BD9" s="159">
        <f>BB9/2</f>
        <v>1.5256657180724686</v>
      </c>
      <c r="BE9" s="159">
        <f>((L9+I9+(LOG(J9)*4/3))*0.291)</f>
        <v>4.9297141814947709</v>
      </c>
      <c r="BF9" s="159">
        <f>((L9+I9+(LOG(J9)*4/3))*0.348)</f>
        <v>5.8953282995195204</v>
      </c>
      <c r="BG9" s="159">
        <f>((M9+I9+(LOG(J9)*4/3))*0.881)</f>
        <v>10.589559999645681</v>
      </c>
      <c r="BH9" s="159">
        <f>((N9+I9+(LOG(J9)*4/3))*0.574)+((O9+I9+(LOG(J9)*4/3))*0.315)</f>
        <v>13.322092121473712</v>
      </c>
      <c r="BI9" s="159">
        <f>((O9+I9+(LOG(J9)*4/3))*0.241)</f>
        <v>2.9066042534028851</v>
      </c>
      <c r="BJ9" s="159">
        <f>((L9+I9+(LOG(J9)*4/3))*0.485)</f>
        <v>8.2161903024912863</v>
      </c>
      <c r="BK9" s="159">
        <f>((L9+I9+(LOG(J9)*4/3))*0.264)</f>
        <v>4.4723180203251536</v>
      </c>
      <c r="BL9" s="159">
        <f>((M9+I9+(LOG(J9)*4/3))*0.381)</f>
        <v>4.5795940520601643</v>
      </c>
      <c r="BM9" s="159">
        <f>((N9+I9+(LOG(J9)*4/3))*0.673)+((O9+I9+(LOG(J9)*4/3))*0.201)</f>
        <v>13.589653143046149</v>
      </c>
      <c r="BN9" s="159">
        <f>((O9+I9+(LOG(J9)*4/3))*0.052)</f>
        <v>0.62715112521556027</v>
      </c>
      <c r="BO9" s="159">
        <f>((L9+I9+(LOG(J9)*4/3))*0.18)</f>
        <v>3.0493077411307863</v>
      </c>
      <c r="BP9" s="159">
        <f>(L9+I9+(LOG(J9)*4/3))*0.068</f>
        <v>1.1519607022049638</v>
      </c>
      <c r="BQ9" s="159">
        <f>((M9+I9+(LOG(J9)*4/3))*0.305)</f>
        <v>3.6660792280271655</v>
      </c>
      <c r="BR9" s="159">
        <f>((N9+I9+(LOG(J9)*4/3))*1)+((O9+I9+(LOG(J9)*4/3))*0.286)</f>
        <v>20.039929750523278</v>
      </c>
      <c r="BS9" s="159">
        <f>((O9+I9+(LOG(J9)*4/3))*0.135)</f>
        <v>1.6281808058480891</v>
      </c>
      <c r="BT9" s="159">
        <f t="shared" si="56"/>
        <v>4.8111299915619075</v>
      </c>
      <c r="BU9" s="159">
        <f t="shared" si="57"/>
        <v>4.1335060490883997</v>
      </c>
      <c r="BV9" s="159">
        <f t="shared" si="58"/>
        <v>5.4690690123028203</v>
      </c>
      <c r="BW9" s="159">
        <f t="shared" si="59"/>
        <v>17.277063206516168</v>
      </c>
      <c r="BX9" s="159">
        <f t="shared" si="60"/>
        <v>1.4593324259823612</v>
      </c>
      <c r="BY9" s="159">
        <f>((L9+I9+(LOG(J9)*4/3))*0.284)</f>
        <v>4.8111299915619075</v>
      </c>
      <c r="BZ9" s="159">
        <f>((L9+I9+(LOG(J9)*4/3))*0.244)</f>
        <v>4.1335060490883997</v>
      </c>
      <c r="CA9" s="159">
        <f>((M9+I9+(LOG(J9)*4/3))*0.631)</f>
        <v>7.5845770258529228</v>
      </c>
      <c r="CB9" s="159">
        <f>((N9+I9+(LOG(J9)*4/3))*0.702)+((O9+I9+(LOG(J9)*4/3))*0.193)</f>
        <v>13.974295712844739</v>
      </c>
      <c r="CC9" s="159">
        <f>((O9+I9+(LOG(J9)*4/3))*0.148)</f>
        <v>1.7849685871519791</v>
      </c>
      <c r="CD9" s="159">
        <f>((M9+I9+(LOG(J9)*4/3))*0.406)</f>
        <v>4.8800923494394404</v>
      </c>
      <c r="CE9" s="159">
        <f>IF(D9="TEC",((N9+I9+(LOG(J9)*4/3))*0.15)+((O9+I9+(LOG(J9)*4/3))*0.324)+((P9+I9+(LOG(J9)*4/3))*0.127),(((N9+I9+(LOG(J9)*4/3))*0.144)+((O9+I9+(LOG(J9)*4/3))*0.25)+((P9+I9+(LOG(J9)*4/3))*0.127)))</f>
        <v>5.8602018507174405</v>
      </c>
      <c r="CF9" s="159">
        <f>((O9+I9+(LOG(J9)*4/3))*0.543)+((P9+I9+(LOG(J9)*4/3))*0.583)</f>
        <v>8.6422239806292467</v>
      </c>
      <c r="CG9" s="159">
        <f>CE9</f>
        <v>5.8602018507174405</v>
      </c>
      <c r="CH9" s="159">
        <f>((P9+1+(LOG(J9)*4/3))*0.26)+((N9+I9+(LOG(J9)*4/3))*0.221)+((O9+I9+(LOG(J9)*4/3))*0.142)</f>
        <v>6.3126829040248857</v>
      </c>
      <c r="CI9" s="159">
        <f>((P9+I9+(LOG(J9)*4/3))*1)+((O9+I9+(LOG(J9)*4/3))*0.369)</f>
        <v>8.0409594311558088</v>
      </c>
      <c r="CJ9" s="159">
        <f>CH9</f>
        <v>6.3126829040248857</v>
      </c>
      <c r="CK9" s="159">
        <f>((M9+I9+(LOG(J9)*4/3))*0.25)</f>
        <v>3.0049829737927585</v>
      </c>
    </row>
    <row r="10" spans="1:89" x14ac:dyDescent="0.25">
      <c r="A10" t="str">
        <f>PLANTILLA!D12</f>
        <v>E. Romweber</v>
      </c>
      <c r="B10" s="487">
        <f>PLANTILLA!E12</f>
        <v>34</v>
      </c>
      <c r="C10" s="487">
        <f ca="1">PLANTILLA!F12</f>
        <v>10</v>
      </c>
      <c r="D10" s="487" t="str">
        <f>PLANTILLA!G12</f>
        <v>IMP</v>
      </c>
      <c r="E10" s="290">
        <v>41583</v>
      </c>
      <c r="F10" s="341">
        <f>PLANTILLA!Q12</f>
        <v>6</v>
      </c>
      <c r="G10" s="406">
        <f t="shared" si="74"/>
        <v>0.92582009977255142</v>
      </c>
      <c r="H10" s="406">
        <f t="shared" si="75"/>
        <v>0.99928545900129484</v>
      </c>
      <c r="I10" s="496">
        <v>1.5</v>
      </c>
      <c r="J10" s="497">
        <f>PLANTILLA!I12</f>
        <v>15</v>
      </c>
      <c r="K10" s="163">
        <f>PLANTILLA!X12</f>
        <v>0</v>
      </c>
      <c r="L10" s="163">
        <f>PLANTILLA!Y12</f>
        <v>11.95</v>
      </c>
      <c r="M10" s="163">
        <f>PLANTILLA!Z12</f>
        <v>12.614111111111114</v>
      </c>
      <c r="N10" s="163">
        <f>PLANTILLA!AA12</f>
        <v>12.95</v>
      </c>
      <c r="O10" s="163">
        <f>PLANTILLA!AB12</f>
        <v>10.95</v>
      </c>
      <c r="P10" s="163">
        <f>PLANTILLA!AC12</f>
        <v>6.99</v>
      </c>
      <c r="Q10" s="163">
        <f>PLANTILLA!AD12</f>
        <v>17.529999999999998</v>
      </c>
      <c r="R10" s="163">
        <f t="shared" si="2"/>
        <v>4.6062499999999993</v>
      </c>
      <c r="S10" s="163">
        <f t="shared" si="3"/>
        <v>20.425448910017408</v>
      </c>
      <c r="T10" s="163">
        <f t="shared" si="4"/>
        <v>0.87539999999999996</v>
      </c>
      <c r="U10" s="163">
        <f t="shared" si="5"/>
        <v>1.0039</v>
      </c>
      <c r="V10" s="163">
        <f t="shared" ca="1" si="6"/>
        <v>18.607245017852783</v>
      </c>
      <c r="W10" s="163">
        <f t="shared" ca="1" si="7"/>
        <v>20.083760746804479</v>
      </c>
      <c r="X10" s="159">
        <f t="shared" si="8"/>
        <v>5.9766702255408131</v>
      </c>
      <c r="Y10" s="159">
        <f t="shared" si="9"/>
        <v>9.0396950872545112</v>
      </c>
      <c r="Z10" s="159">
        <f t="shared" si="10"/>
        <v>5.9766702255408131</v>
      </c>
      <c r="AA10" s="159">
        <f t="shared" si="11"/>
        <v>7.749350786230309</v>
      </c>
      <c r="AB10" s="159">
        <f t="shared" si="12"/>
        <v>15.018121678740908</v>
      </c>
      <c r="AC10" s="159">
        <f t="shared" si="13"/>
        <v>3.8746753931151545</v>
      </c>
      <c r="AD10" s="159">
        <f t="shared" si="14"/>
        <v>3.7323714039847813</v>
      </c>
      <c r="AE10" s="159">
        <f t="shared" si="15"/>
        <v>5.6768499945640629</v>
      </c>
      <c r="AF10" s="159">
        <f t="shared" si="16"/>
        <v>10.858101973729676</v>
      </c>
      <c r="AG10" s="159">
        <f t="shared" si="17"/>
        <v>2.8384249972820315</v>
      </c>
      <c r="AH10" s="159">
        <f t="shared" si="18"/>
        <v>6.0376596240930294</v>
      </c>
      <c r="AI10" s="159">
        <f t="shared" si="19"/>
        <v>13.816671944441635</v>
      </c>
      <c r="AJ10" s="159">
        <f t="shared" si="20"/>
        <v>6.2175023749987357</v>
      </c>
      <c r="AK10" s="159">
        <f t="shared" si="21"/>
        <v>2.6189328759052879</v>
      </c>
      <c r="AL10" s="159">
        <f t="shared" si="22"/>
        <v>9.4186555470996538</v>
      </c>
      <c r="AM10" s="159">
        <f t="shared" si="23"/>
        <v>11.323663745770645</v>
      </c>
      <c r="AN10" s="159">
        <f t="shared" si="24"/>
        <v>10.632830148548562</v>
      </c>
      <c r="AO10" s="159">
        <f t="shared" si="25"/>
        <v>3.4398863203497316</v>
      </c>
      <c r="AP10" s="159">
        <f t="shared" si="26"/>
        <v>2.2102190434773812</v>
      </c>
      <c r="AQ10" s="159">
        <f t="shared" si="27"/>
        <v>4.0548928532600454</v>
      </c>
      <c r="AR10" s="159">
        <f t="shared" si="28"/>
        <v>8.9207642771720987</v>
      </c>
      <c r="AS10" s="159">
        <f t="shared" si="29"/>
        <v>2.0274464266300227</v>
      </c>
      <c r="AT10" s="159">
        <f t="shared" si="30"/>
        <v>14.804027753620309</v>
      </c>
      <c r="AU10" s="159">
        <f t="shared" si="31"/>
        <v>1.822355818236318</v>
      </c>
      <c r="AV10" s="159">
        <f t="shared" si="32"/>
        <v>3.4222296518710857</v>
      </c>
      <c r="AW10" s="159">
        <f t="shared" si="33"/>
        <v>0.91117790911815899</v>
      </c>
      <c r="AX10" s="159">
        <f t="shared" si="34"/>
        <v>2.8384249972820315</v>
      </c>
      <c r="AY10" s="159">
        <f t="shared" si="35"/>
        <v>6.0072486714963631</v>
      </c>
      <c r="AZ10" s="159">
        <f t="shared" si="36"/>
        <v>1.4192124986410157</v>
      </c>
      <c r="BA10" s="159">
        <f t="shared" si="37"/>
        <v>15.682232789852023</v>
      </c>
      <c r="BB10" s="159">
        <f t="shared" si="38"/>
        <v>3.5465847847214498</v>
      </c>
      <c r="BC10" s="159">
        <f t="shared" si="39"/>
        <v>6.8923850449862405</v>
      </c>
      <c r="BD10" s="159">
        <f t="shared" si="40"/>
        <v>1.7732923923607249</v>
      </c>
      <c r="BE10" s="159">
        <f t="shared" si="41"/>
        <v>4.3702734085136035</v>
      </c>
      <c r="BF10" s="159">
        <f t="shared" si="42"/>
        <v>5.2263063442018352</v>
      </c>
      <c r="BG10" s="159">
        <f t="shared" si="43"/>
        <v>13.816047087859632</v>
      </c>
      <c r="BH10" s="159">
        <f t="shared" si="44"/>
        <v>13.610110172400667</v>
      </c>
      <c r="BI10" s="159">
        <f t="shared" si="45"/>
        <v>3.3783673245765589</v>
      </c>
      <c r="BJ10" s="159">
        <f t="shared" si="46"/>
        <v>7.28378901418934</v>
      </c>
      <c r="BK10" s="159">
        <f t="shared" si="47"/>
        <v>3.9647841231876</v>
      </c>
      <c r="BL10" s="159">
        <f t="shared" si="48"/>
        <v>5.9749306929336212</v>
      </c>
      <c r="BM10" s="159">
        <f t="shared" si="49"/>
        <v>13.597838347219554</v>
      </c>
      <c r="BN10" s="159">
        <f t="shared" si="50"/>
        <v>0.72894232729452713</v>
      </c>
      <c r="BO10" s="159">
        <f t="shared" si="51"/>
        <v>2.7032619021733635</v>
      </c>
      <c r="BP10" s="159">
        <f t="shared" si="52"/>
        <v>1.0212322741543818</v>
      </c>
      <c r="BQ10" s="159">
        <f t="shared" si="53"/>
        <v>4.7830810009048665</v>
      </c>
      <c r="BR10" s="159">
        <f t="shared" si="54"/>
        <v>20.027304478860806</v>
      </c>
      <c r="BS10" s="159">
        <f t="shared" si="55"/>
        <v>1.8924464266300227</v>
      </c>
      <c r="BT10" s="159">
        <f t="shared" si="56"/>
        <v>4.2651465567624172</v>
      </c>
      <c r="BU10" s="159">
        <f t="shared" si="57"/>
        <v>3.6644216896127815</v>
      </c>
      <c r="BV10" s="159">
        <f t="shared" si="58"/>
        <v>7.1354159193826705</v>
      </c>
      <c r="BW10" s="159">
        <f t="shared" si="59"/>
        <v>17.260078820044924</v>
      </c>
      <c r="BX10" s="159">
        <f t="shared" si="60"/>
        <v>1.6961927231276497</v>
      </c>
      <c r="BY10" s="159">
        <f t="shared" si="61"/>
        <v>4.2651465567624172</v>
      </c>
      <c r="BZ10" s="159">
        <f t="shared" si="62"/>
        <v>3.6644216896127815</v>
      </c>
      <c r="CA10" s="159">
        <f t="shared" si="63"/>
        <v>9.895488890396626</v>
      </c>
      <c r="CB10" s="159">
        <f t="shared" si="64"/>
        <v>13.950218902473111</v>
      </c>
      <c r="CC10" s="159">
        <f t="shared" si="65"/>
        <v>2.0746820084536544</v>
      </c>
      <c r="CD10" s="159">
        <f t="shared" si="66"/>
        <v>6.3669865126799214</v>
      </c>
      <c r="CE10" s="159">
        <f t="shared" si="67"/>
        <v>7.0885213946240127</v>
      </c>
      <c r="CF10" s="159">
        <f t="shared" si="68"/>
        <v>13.475725010262263</v>
      </c>
      <c r="CG10" s="159">
        <f t="shared" si="69"/>
        <v>7.0885213946240127</v>
      </c>
      <c r="CH10" s="159">
        <f t="shared" si="70"/>
        <v>8.015689805855585</v>
      </c>
      <c r="CI10" s="159">
        <f t="shared" si="71"/>
        <v>15.230808578196303</v>
      </c>
      <c r="CJ10" s="159">
        <f t="shared" si="72"/>
        <v>8.015689805855585</v>
      </c>
      <c r="CK10" s="159">
        <f t="shared" si="73"/>
        <v>3.9205581974630057</v>
      </c>
    </row>
    <row r="11" spans="1:89" x14ac:dyDescent="0.25">
      <c r="A11" t="str">
        <f>PLANTILLA!D13</f>
        <v>K. Helms</v>
      </c>
      <c r="B11" s="487">
        <f>PLANTILLA!E13</f>
        <v>33</v>
      </c>
      <c r="C11" s="487">
        <f ca="1">PLANTILLA!F13</f>
        <v>69</v>
      </c>
      <c r="D11" s="487" t="str">
        <f>PLANTILLA!G13</f>
        <v>TEC</v>
      </c>
      <c r="E11" s="290">
        <v>41722</v>
      </c>
      <c r="F11" s="341">
        <f>PLANTILLA!Q13</f>
        <v>6</v>
      </c>
      <c r="G11" s="406">
        <f t="shared" ref="G11:G21" si="78">(F11/7)^0.5</f>
        <v>0.92582009977255142</v>
      </c>
      <c r="H11" s="406">
        <f t="shared" si="75"/>
        <v>0.99928545900129484</v>
      </c>
      <c r="I11" s="496">
        <v>1.5</v>
      </c>
      <c r="J11" s="497">
        <f>PLANTILLA!I13</f>
        <v>12.1</v>
      </c>
      <c r="K11" s="163">
        <f>PLANTILLA!X13</f>
        <v>0</v>
      </c>
      <c r="L11" s="163">
        <f>PLANTILLA!Y13</f>
        <v>7.2503030303030309</v>
      </c>
      <c r="M11" s="163">
        <f>PLANTILLA!Z13</f>
        <v>10.600000000000005</v>
      </c>
      <c r="N11" s="163">
        <f>PLANTILLA!AA13</f>
        <v>13.471666666666668</v>
      </c>
      <c r="O11" s="163">
        <f>PLANTILLA!AB13</f>
        <v>10.359999999999998</v>
      </c>
      <c r="P11" s="163">
        <f>PLANTILLA!AC13</f>
        <v>4.99</v>
      </c>
      <c r="Q11" s="163">
        <f>PLANTILLA!AD13</f>
        <v>18</v>
      </c>
      <c r="R11" s="163">
        <f t="shared" si="2"/>
        <v>3.8712878787878782</v>
      </c>
      <c r="S11" s="163">
        <f t="shared" si="3"/>
        <v>17.089007557865806</v>
      </c>
      <c r="T11" s="163">
        <f t="shared" si="4"/>
        <v>0.78949999999999998</v>
      </c>
      <c r="U11" s="163">
        <f t="shared" si="5"/>
        <v>0.8300121212121212</v>
      </c>
      <c r="V11" s="163">
        <f t="shared" ca="1" si="6"/>
        <v>18.927201175116657</v>
      </c>
      <c r="W11" s="163">
        <f t="shared" ca="1" si="7"/>
        <v>20.42910595539335</v>
      </c>
      <c r="X11" s="159">
        <f t="shared" si="8"/>
        <v>4.5709458074119844</v>
      </c>
      <c r="Y11" s="159">
        <f t="shared" si="9"/>
        <v>6.8817133386501705</v>
      </c>
      <c r="Z11" s="159">
        <f t="shared" si="10"/>
        <v>4.5709458074119844</v>
      </c>
      <c r="AA11" s="159">
        <f t="shared" si="11"/>
        <v>5.2601126984140816</v>
      </c>
      <c r="AB11" s="159">
        <f t="shared" si="12"/>
        <v>10.194016857391631</v>
      </c>
      <c r="AC11" s="159">
        <f t="shared" si="13"/>
        <v>2.6300563492070408</v>
      </c>
      <c r="AD11" s="159">
        <f t="shared" si="14"/>
        <v>3.2234038908470879</v>
      </c>
      <c r="AE11" s="159">
        <f t="shared" si="15"/>
        <v>3.8533383720940364</v>
      </c>
      <c r="AF11" s="159">
        <f t="shared" si="16"/>
        <v>7.3702741878941493</v>
      </c>
      <c r="AG11" s="159">
        <f t="shared" si="17"/>
        <v>1.9266691860470182</v>
      </c>
      <c r="AH11" s="159">
        <f t="shared" si="18"/>
        <v>5.2143298234291136</v>
      </c>
      <c r="AI11" s="159">
        <f t="shared" si="19"/>
        <v>9.3784955088003006</v>
      </c>
      <c r="AJ11" s="159">
        <f t="shared" si="20"/>
        <v>4.2203229789601346</v>
      </c>
      <c r="AK11" s="159">
        <f t="shared" si="21"/>
        <v>2.2618002091237974</v>
      </c>
      <c r="AL11" s="159">
        <f t="shared" si="22"/>
        <v>9.652243730328097</v>
      </c>
      <c r="AM11" s="159">
        <f t="shared" si="23"/>
        <v>7.6862887104732902</v>
      </c>
      <c r="AN11" s="159">
        <f t="shared" si="24"/>
        <v>7.2173639350332746</v>
      </c>
      <c r="AO11" s="159">
        <f t="shared" si="25"/>
        <v>3.4976002091237968</v>
      </c>
      <c r="AP11" s="159">
        <f t="shared" si="26"/>
        <v>1.9627204912924257</v>
      </c>
      <c r="AQ11" s="159">
        <f t="shared" si="27"/>
        <v>2.7523845514957404</v>
      </c>
      <c r="AR11" s="159">
        <f t="shared" si="28"/>
        <v>6.0552460132906285</v>
      </c>
      <c r="AS11" s="159">
        <f t="shared" si="29"/>
        <v>1.3761922757478702</v>
      </c>
      <c r="AT11" s="159">
        <f t="shared" si="30"/>
        <v>12.785265852771643</v>
      </c>
      <c r="AU11" s="159">
        <f t="shared" si="31"/>
        <v>1.7294827975215177</v>
      </c>
      <c r="AV11" s="159">
        <f t="shared" si="32"/>
        <v>2.9689781513369593</v>
      </c>
      <c r="AW11" s="159">
        <f t="shared" si="33"/>
        <v>0.86474139876075884</v>
      </c>
      <c r="AX11" s="159">
        <f t="shared" si="34"/>
        <v>1.9266691860470182</v>
      </c>
      <c r="AY11" s="159">
        <f t="shared" si="35"/>
        <v>4.0776067429566529</v>
      </c>
      <c r="AZ11" s="159">
        <f t="shared" si="36"/>
        <v>0.9633345930235091</v>
      </c>
      <c r="BA11" s="159">
        <f t="shared" si="37"/>
        <v>13.543713827088606</v>
      </c>
      <c r="BB11" s="159">
        <f t="shared" si="38"/>
        <v>3.3658395982534151</v>
      </c>
      <c r="BC11" s="159">
        <f t="shared" si="39"/>
        <v>6.2026463187258187</v>
      </c>
      <c r="BD11" s="159">
        <f t="shared" si="40"/>
        <v>1.6829197991267075</v>
      </c>
      <c r="BE11" s="159">
        <f t="shared" si="41"/>
        <v>2.9664589055009642</v>
      </c>
      <c r="BF11" s="159">
        <f t="shared" si="42"/>
        <v>3.5475178663722873</v>
      </c>
      <c r="BG11" s="159">
        <f t="shared" si="43"/>
        <v>11.932011881665062</v>
      </c>
      <c r="BH11" s="159">
        <f t="shared" si="44"/>
        <v>13.613098258948432</v>
      </c>
      <c r="BI11" s="159">
        <f t="shared" si="45"/>
        <v>3.2061950323283517</v>
      </c>
      <c r="BJ11" s="159">
        <f t="shared" si="46"/>
        <v>4.9440981758349407</v>
      </c>
      <c r="BK11" s="159">
        <f t="shared" si="47"/>
        <v>2.6912204503513908</v>
      </c>
      <c r="BL11" s="159">
        <f t="shared" si="48"/>
        <v>5.160154968120759</v>
      </c>
      <c r="BM11" s="159">
        <f t="shared" si="49"/>
        <v>13.721597551542104</v>
      </c>
      <c r="BN11" s="159">
        <f t="shared" si="50"/>
        <v>0.69179311900860696</v>
      </c>
      <c r="BO11" s="159">
        <f t="shared" si="51"/>
        <v>1.8349230343304934</v>
      </c>
      <c r="BP11" s="159">
        <f t="shared" si="52"/>
        <v>0.69319314630263096</v>
      </c>
      <c r="BQ11" s="159">
        <f t="shared" si="53"/>
        <v>4.1308327172620247</v>
      </c>
      <c r="BR11" s="159">
        <f t="shared" si="54"/>
        <v>20.220242648302609</v>
      </c>
      <c r="BS11" s="159">
        <f t="shared" si="55"/>
        <v>1.7960013666569608</v>
      </c>
      <c r="BT11" s="159">
        <f t="shared" si="56"/>
        <v>2.8951007874992229</v>
      </c>
      <c r="BU11" s="159">
        <f t="shared" si="57"/>
        <v>2.4873401132035577</v>
      </c>
      <c r="BV11" s="159">
        <f t="shared" si="58"/>
        <v>6.1623897913253156</v>
      </c>
      <c r="BW11" s="159">
        <f t="shared" si="59"/>
        <v>17.428994920414169</v>
      </c>
      <c r="BX11" s="159">
        <f t="shared" si="60"/>
        <v>1.6097493730777201</v>
      </c>
      <c r="BY11" s="159">
        <f t="shared" si="61"/>
        <v>2.8951007874992229</v>
      </c>
      <c r="BZ11" s="159">
        <f t="shared" si="62"/>
        <v>2.4873401132035577</v>
      </c>
      <c r="CA11" s="159">
        <f t="shared" si="63"/>
        <v>8.5460834248929096</v>
      </c>
      <c r="CB11" s="159">
        <f t="shared" si="64"/>
        <v>14.091213875244296</v>
      </c>
      <c r="CC11" s="159">
        <f t="shared" si="65"/>
        <v>1.9689496464091123</v>
      </c>
      <c r="CD11" s="159">
        <f t="shared" si="66"/>
        <v>5.4987478137979746</v>
      </c>
      <c r="CE11" s="159">
        <f t="shared" si="67"/>
        <v>7.780292010080248</v>
      </c>
      <c r="CF11" s="159">
        <f t="shared" si="68"/>
        <v>11.849271769301762</v>
      </c>
      <c r="CG11" s="159">
        <f t="shared" si="69"/>
        <v>7.780292010080248</v>
      </c>
      <c r="CH11" s="159">
        <f t="shared" si="70"/>
        <v>7.4496920476095312</v>
      </c>
      <c r="CI11" s="159">
        <f t="shared" si="71"/>
        <v>12.842784229284293</v>
      </c>
      <c r="CJ11" s="159">
        <f t="shared" si="72"/>
        <v>7.4496920476095312</v>
      </c>
      <c r="CK11" s="159">
        <f t="shared" si="73"/>
        <v>3.3859284567721515</v>
      </c>
    </row>
    <row r="12" spans="1:89" x14ac:dyDescent="0.25">
      <c r="A12" t="str">
        <f>PLANTILLA!D14</f>
        <v>S. Zobbe</v>
      </c>
      <c r="B12" s="487">
        <f>PLANTILLA!E14</f>
        <v>30</v>
      </c>
      <c r="C12" s="487">
        <f ca="1">PLANTILLA!F14</f>
        <v>84</v>
      </c>
      <c r="D12" s="487" t="str">
        <f>PLANTILLA!G14</f>
        <v>CAB</v>
      </c>
      <c r="E12" s="290">
        <v>41911</v>
      </c>
      <c r="F12" s="341">
        <f>PLANTILLA!Q14</f>
        <v>5</v>
      </c>
      <c r="G12" s="406">
        <f t="shared" si="78"/>
        <v>0.84515425472851657</v>
      </c>
      <c r="H12" s="406">
        <f t="shared" si="75"/>
        <v>0.92504826128926143</v>
      </c>
      <c r="I12" s="496">
        <v>1.5</v>
      </c>
      <c r="J12" s="497">
        <f>PLANTILLA!I14</f>
        <v>11.4</v>
      </c>
      <c r="K12" s="163">
        <f>PLANTILLA!X14</f>
        <v>0</v>
      </c>
      <c r="L12" s="163">
        <f>PLANTILLA!Y14</f>
        <v>8.3599999999999977</v>
      </c>
      <c r="M12" s="163">
        <f>PLANTILLA!Z14</f>
        <v>12.253412698412699</v>
      </c>
      <c r="N12" s="163">
        <f>PLANTILLA!AA14</f>
        <v>12.45</v>
      </c>
      <c r="O12" s="163">
        <f>PLANTILLA!AB14</f>
        <v>10.24</v>
      </c>
      <c r="P12" s="163">
        <f>PLANTILLA!AC14</f>
        <v>7.4766666666666666</v>
      </c>
      <c r="Q12" s="163">
        <f>PLANTILLA!AD14</f>
        <v>16</v>
      </c>
      <c r="R12" s="163">
        <f t="shared" si="2"/>
        <v>3.9799999999999995</v>
      </c>
      <c r="S12" s="163">
        <f t="shared" si="3"/>
        <v>20.040612961938137</v>
      </c>
      <c r="T12" s="163">
        <f t="shared" si="4"/>
        <v>0.85383333333333344</v>
      </c>
      <c r="U12" s="163">
        <f t="shared" si="5"/>
        <v>0.81439999999999979</v>
      </c>
      <c r="V12" s="163">
        <f t="shared" ca="1" si="6"/>
        <v>15.55861917298509</v>
      </c>
      <c r="W12" s="163">
        <f t="shared" ca="1" si="7"/>
        <v>17.029404435353431</v>
      </c>
      <c r="X12" s="159">
        <f t="shared" si="8"/>
        <v>4.8470972469556539</v>
      </c>
      <c r="Y12" s="159">
        <f t="shared" si="9"/>
        <v>7.3087855507671797</v>
      </c>
      <c r="Z12" s="159">
        <f t="shared" si="10"/>
        <v>4.8470972469556539</v>
      </c>
      <c r="AA12" s="159">
        <f t="shared" si="11"/>
        <v>5.8149105377194923</v>
      </c>
      <c r="AB12" s="159">
        <f t="shared" si="12"/>
        <v>11.269206468448628</v>
      </c>
      <c r="AC12" s="159">
        <f t="shared" si="13"/>
        <v>2.9074552688597461</v>
      </c>
      <c r="AD12" s="159">
        <f t="shared" si="14"/>
        <v>3.6087033617129962</v>
      </c>
      <c r="AE12" s="159">
        <f t="shared" si="15"/>
        <v>4.2597600450735813</v>
      </c>
      <c r="AF12" s="159">
        <f t="shared" si="16"/>
        <v>8.1476362766883579</v>
      </c>
      <c r="AG12" s="159">
        <f t="shared" si="17"/>
        <v>2.1298800225367907</v>
      </c>
      <c r="AH12" s="159">
        <f t="shared" si="18"/>
        <v>5.8376083792416118</v>
      </c>
      <c r="AI12" s="159">
        <f t="shared" si="19"/>
        <v>10.367669950972738</v>
      </c>
      <c r="AJ12" s="159">
        <f t="shared" si="20"/>
        <v>4.6654514779377321</v>
      </c>
      <c r="AK12" s="159">
        <f t="shared" si="21"/>
        <v>2.5321574008658421</v>
      </c>
      <c r="AL12" s="159">
        <f t="shared" si="22"/>
        <v>9.0312134034477936</v>
      </c>
      <c r="AM12" s="159">
        <f t="shared" si="23"/>
        <v>8.4969816772102646</v>
      </c>
      <c r="AN12" s="159">
        <f t="shared" si="24"/>
        <v>7.9785981796616285</v>
      </c>
      <c r="AO12" s="159">
        <f t="shared" si="25"/>
        <v>3.1578374802309215</v>
      </c>
      <c r="AP12" s="159">
        <f t="shared" si="26"/>
        <v>1.9840914629132052</v>
      </c>
      <c r="AQ12" s="159">
        <f t="shared" si="27"/>
        <v>3.0426857464811299</v>
      </c>
      <c r="AR12" s="159">
        <f t="shared" si="28"/>
        <v>6.693908642258485</v>
      </c>
      <c r="AS12" s="159">
        <f t="shared" si="29"/>
        <v>1.5213428732405649</v>
      </c>
      <c r="AT12" s="159">
        <f t="shared" si="30"/>
        <v>14.313512493517095</v>
      </c>
      <c r="AU12" s="159">
        <f t="shared" si="31"/>
        <v>1.709396840898322</v>
      </c>
      <c r="AV12" s="159">
        <f t="shared" si="32"/>
        <v>3.374660828588782</v>
      </c>
      <c r="AW12" s="159">
        <f t="shared" si="33"/>
        <v>0.854698420449161</v>
      </c>
      <c r="AX12" s="159">
        <f t="shared" si="34"/>
        <v>2.1298800225367907</v>
      </c>
      <c r="AY12" s="159">
        <f t="shared" si="35"/>
        <v>4.5076825873794517</v>
      </c>
      <c r="AZ12" s="159">
        <f t="shared" si="36"/>
        <v>1.0649400112683953</v>
      </c>
      <c r="BA12" s="159">
        <f t="shared" si="37"/>
        <v>15.162619166861329</v>
      </c>
      <c r="BB12" s="159">
        <f t="shared" si="38"/>
        <v>3.3267492365175038</v>
      </c>
      <c r="BC12" s="159">
        <f t="shared" si="39"/>
        <v>6.6649127641151953</v>
      </c>
      <c r="BD12" s="159">
        <f t="shared" si="40"/>
        <v>1.6633746182587519</v>
      </c>
      <c r="BE12" s="159">
        <f t="shared" si="41"/>
        <v>3.2793390823185504</v>
      </c>
      <c r="BF12" s="159">
        <f t="shared" si="42"/>
        <v>3.9216838510201222</v>
      </c>
      <c r="BG12" s="159">
        <f t="shared" si="43"/>
        <v>13.358267486004831</v>
      </c>
      <c r="BH12" s="159">
        <f t="shared" si="44"/>
        <v>12.958184550450831</v>
      </c>
      <c r="BI12" s="159">
        <f t="shared" si="45"/>
        <v>3.1689587588961197</v>
      </c>
      <c r="BJ12" s="159">
        <f t="shared" si="46"/>
        <v>5.4655651371975846</v>
      </c>
      <c r="BK12" s="159">
        <f t="shared" si="47"/>
        <v>2.9750705076704378</v>
      </c>
      <c r="BL12" s="159">
        <f t="shared" si="48"/>
        <v>5.7769579025741669</v>
      </c>
      <c r="BM12" s="159">
        <f t="shared" si="49"/>
        <v>12.979736453424104</v>
      </c>
      <c r="BN12" s="159">
        <f t="shared" si="50"/>
        <v>0.68375873635932871</v>
      </c>
      <c r="BO12" s="159">
        <f t="shared" si="51"/>
        <v>2.028457164320753</v>
      </c>
      <c r="BP12" s="159">
        <f t="shared" si="52"/>
        <v>0.76630603985450674</v>
      </c>
      <c r="BQ12" s="159">
        <f t="shared" si="53"/>
        <v>4.624598845892705</v>
      </c>
      <c r="BR12" s="159">
        <f t="shared" si="54"/>
        <v>19.119879518424938</v>
      </c>
      <c r="BS12" s="159">
        <f t="shared" si="55"/>
        <v>1.7751428732405652</v>
      </c>
      <c r="BT12" s="159">
        <f t="shared" si="56"/>
        <v>3.2004546370394102</v>
      </c>
      <c r="BU12" s="159">
        <f t="shared" si="57"/>
        <v>2.7496863783014653</v>
      </c>
      <c r="BV12" s="159">
        <f t="shared" si="58"/>
        <v>6.8989917209219049</v>
      </c>
      <c r="BW12" s="159">
        <f t="shared" si="59"/>
        <v>16.478760767041081</v>
      </c>
      <c r="BX12" s="159">
        <f t="shared" si="60"/>
        <v>1.5910539826822843</v>
      </c>
      <c r="BY12" s="159">
        <f t="shared" si="61"/>
        <v>3.2004546370394102</v>
      </c>
      <c r="BZ12" s="159">
        <f t="shared" si="62"/>
        <v>2.7496863783014653</v>
      </c>
      <c r="CA12" s="159">
        <f t="shared" si="63"/>
        <v>9.5676126942894992</v>
      </c>
      <c r="CB12" s="159">
        <f t="shared" si="64"/>
        <v>13.319959789261524</v>
      </c>
      <c r="CC12" s="159">
        <f t="shared" si="65"/>
        <v>1.9460825573303973</v>
      </c>
      <c r="CD12" s="159">
        <f t="shared" si="66"/>
        <v>6.1560233817457002</v>
      </c>
      <c r="CE12" s="159">
        <f t="shared" si="67"/>
        <v>6.818033236728402</v>
      </c>
      <c r="CF12" s="159">
        <f t="shared" si="68"/>
        <v>13.194983150139823</v>
      </c>
      <c r="CG12" s="159">
        <f t="shared" si="69"/>
        <v>6.818033236728402</v>
      </c>
      <c r="CH12" s="159">
        <f t="shared" si="70"/>
        <v>7.8318989631768297</v>
      </c>
      <c r="CI12" s="159">
        <f t="shared" si="71"/>
        <v>15.237930321972842</v>
      </c>
      <c r="CJ12" s="159">
        <f t="shared" si="72"/>
        <v>7.8318989631768297</v>
      </c>
      <c r="CK12" s="159">
        <f t="shared" si="73"/>
        <v>3.7906547917153324</v>
      </c>
    </row>
    <row r="13" spans="1:89" x14ac:dyDescent="0.25">
      <c r="A13" t="str">
        <f>PLANTILLA!D15</f>
        <v>S. Buschelman</v>
      </c>
      <c r="B13" s="487">
        <f>PLANTILLA!E15</f>
        <v>32</v>
      </c>
      <c r="C13" s="487">
        <f ca="1">PLANTILLA!F15</f>
        <v>81</v>
      </c>
      <c r="D13" s="487" t="str">
        <f>PLANTILLA!G15</f>
        <v>TEC</v>
      </c>
      <c r="E13" s="290">
        <v>41747</v>
      </c>
      <c r="F13" s="341">
        <f>PLANTILLA!Q15</f>
        <v>6</v>
      </c>
      <c r="G13" s="406">
        <f t="shared" si="78"/>
        <v>0.92582009977255142</v>
      </c>
      <c r="H13" s="406">
        <f t="shared" si="75"/>
        <v>0.99928545900129484</v>
      </c>
      <c r="I13" s="496">
        <v>1.5</v>
      </c>
      <c r="J13" s="497">
        <f>PLANTILLA!I15</f>
        <v>13</v>
      </c>
      <c r="K13" s="163">
        <f>PLANTILLA!X15</f>
        <v>0</v>
      </c>
      <c r="L13" s="163">
        <f>PLANTILLA!Y15</f>
        <v>9.3036666666666648</v>
      </c>
      <c r="M13" s="163">
        <f>PLANTILLA!Z15</f>
        <v>14</v>
      </c>
      <c r="N13" s="163">
        <f>PLANTILLA!AA15</f>
        <v>12.945</v>
      </c>
      <c r="O13" s="163">
        <f>PLANTILLA!AB15</f>
        <v>10</v>
      </c>
      <c r="P13" s="163">
        <f>PLANTILLA!AC15</f>
        <v>4.99</v>
      </c>
      <c r="Q13" s="163">
        <f>PLANTILLA!AD15</f>
        <v>16</v>
      </c>
      <c r="R13" s="163">
        <f t="shared" si="2"/>
        <v>4.0379583333333331</v>
      </c>
      <c r="S13" s="163">
        <f t="shared" si="3"/>
        <v>16.080819744797481</v>
      </c>
      <c r="T13" s="163">
        <f t="shared" si="4"/>
        <v>0.72950000000000004</v>
      </c>
      <c r="U13" s="163">
        <f t="shared" si="5"/>
        <v>0.8521466666666665</v>
      </c>
      <c r="V13" s="163">
        <f t="shared" ca="1" si="6"/>
        <v>17.114023223564956</v>
      </c>
      <c r="W13" s="163">
        <f t="shared" ca="1" si="7"/>
        <v>18.47204932850385</v>
      </c>
      <c r="X13" s="159">
        <f t="shared" si="8"/>
        <v>5.1739420620851577</v>
      </c>
      <c r="Y13" s="159">
        <f t="shared" si="9"/>
        <v>7.8080261571041678</v>
      </c>
      <c r="Z13" s="159">
        <f t="shared" si="10"/>
        <v>5.1739420620851577</v>
      </c>
      <c r="AA13" s="159">
        <f t="shared" si="11"/>
        <v>6.3410850263871028</v>
      </c>
      <c r="AB13" s="159">
        <f t="shared" si="12"/>
        <v>12.288924469742447</v>
      </c>
      <c r="AC13" s="159">
        <f t="shared" si="13"/>
        <v>3.1705425131935514</v>
      </c>
      <c r="AD13" s="159">
        <f t="shared" si="14"/>
        <v>4.042491357132036</v>
      </c>
      <c r="AE13" s="159">
        <f t="shared" si="15"/>
        <v>4.6452134495626449</v>
      </c>
      <c r="AF13" s="159">
        <f t="shared" si="16"/>
        <v>8.8848923916237883</v>
      </c>
      <c r="AG13" s="159">
        <f t="shared" si="17"/>
        <v>2.3226067247813225</v>
      </c>
      <c r="AH13" s="159">
        <f t="shared" si="18"/>
        <v>6.5393242541841765</v>
      </c>
      <c r="AI13" s="159">
        <f t="shared" si="19"/>
        <v>11.305810512163053</v>
      </c>
      <c r="AJ13" s="159">
        <f t="shared" si="20"/>
        <v>5.0876147304733728</v>
      </c>
      <c r="AK13" s="159">
        <f t="shared" si="21"/>
        <v>2.8365380531136557</v>
      </c>
      <c r="AL13" s="159">
        <f t="shared" si="22"/>
        <v>9.3669915882085597</v>
      </c>
      <c r="AM13" s="159">
        <f t="shared" si="23"/>
        <v>9.2658490501858051</v>
      </c>
      <c r="AN13" s="159">
        <f t="shared" si="24"/>
        <v>8.7005585245776516</v>
      </c>
      <c r="AO13" s="159">
        <f t="shared" si="25"/>
        <v>3.1705380531136558</v>
      </c>
      <c r="AP13" s="159">
        <f t="shared" si="26"/>
        <v>2.0226862472858254</v>
      </c>
      <c r="AQ13" s="159">
        <f t="shared" si="27"/>
        <v>3.318009606830461</v>
      </c>
      <c r="AR13" s="159">
        <f t="shared" si="28"/>
        <v>7.2996211350270137</v>
      </c>
      <c r="AS13" s="159">
        <f t="shared" si="29"/>
        <v>1.6590048034152305</v>
      </c>
      <c r="AT13" s="159">
        <f t="shared" si="30"/>
        <v>16.034083366103538</v>
      </c>
      <c r="AU13" s="159">
        <f t="shared" si="31"/>
        <v>1.6880835143998518</v>
      </c>
      <c r="AV13" s="159">
        <f t="shared" si="32"/>
        <v>2.9379505363012042</v>
      </c>
      <c r="AW13" s="159">
        <f t="shared" si="33"/>
        <v>0.84404175719992591</v>
      </c>
      <c r="AX13" s="159">
        <f t="shared" si="34"/>
        <v>2.3226067247813225</v>
      </c>
      <c r="AY13" s="159">
        <f t="shared" si="35"/>
        <v>4.9155697878969793</v>
      </c>
      <c r="AZ13" s="159">
        <f t="shared" si="36"/>
        <v>1.1613033623906612</v>
      </c>
      <c r="BA13" s="159">
        <f t="shared" si="37"/>
        <v>16.985257803075783</v>
      </c>
      <c r="BB13" s="159">
        <f t="shared" si="38"/>
        <v>3.285270224178173</v>
      </c>
      <c r="BC13" s="159">
        <f t="shared" si="39"/>
        <v>6.1027770494947564</v>
      </c>
      <c r="BD13" s="159">
        <f t="shared" si="40"/>
        <v>1.6426351120890865</v>
      </c>
      <c r="BE13" s="159">
        <f t="shared" si="41"/>
        <v>3.5760770206950521</v>
      </c>
      <c r="BF13" s="159">
        <f t="shared" si="42"/>
        <v>4.2765457154703714</v>
      </c>
      <c r="BG13" s="159">
        <f t="shared" si="43"/>
        <v>14.964012124509765</v>
      </c>
      <c r="BH13" s="159">
        <f t="shared" si="44"/>
        <v>13.234324186934369</v>
      </c>
      <c r="BI13" s="159">
        <f t="shared" si="45"/>
        <v>3.1294471305412634</v>
      </c>
      <c r="BJ13" s="159">
        <f t="shared" si="46"/>
        <v>5.9601283678250869</v>
      </c>
      <c r="BK13" s="159">
        <f t="shared" si="47"/>
        <v>3.2442760600120062</v>
      </c>
      <c r="BL13" s="159">
        <f t="shared" si="48"/>
        <v>6.4713832229718733</v>
      </c>
      <c r="BM13" s="159">
        <f t="shared" si="49"/>
        <v>13.331100319888234</v>
      </c>
      <c r="BN13" s="159">
        <f t="shared" si="50"/>
        <v>0.67523340575994062</v>
      </c>
      <c r="BO13" s="159">
        <f t="shared" si="51"/>
        <v>2.2120064045536405</v>
      </c>
      <c r="BP13" s="159">
        <f t="shared" si="52"/>
        <v>0.83564686394248644</v>
      </c>
      <c r="BQ13" s="159">
        <f t="shared" si="53"/>
        <v>5.180503629938114</v>
      </c>
      <c r="BR13" s="159">
        <f t="shared" si="54"/>
        <v>19.644041534755456</v>
      </c>
      <c r="BS13" s="159">
        <f t="shared" si="55"/>
        <v>1.7530098034152308</v>
      </c>
      <c r="BT13" s="159">
        <f t="shared" si="56"/>
        <v>3.4900545494068549</v>
      </c>
      <c r="BU13" s="159">
        <f t="shared" si="57"/>
        <v>2.998497570617157</v>
      </c>
      <c r="BV13" s="159">
        <f t="shared" si="58"/>
        <v>7.728292300399481</v>
      </c>
      <c r="BW13" s="159">
        <f t="shared" si="59"/>
        <v>16.932145645807967</v>
      </c>
      <c r="BX13" s="159">
        <f t="shared" si="60"/>
        <v>1.5712161941721696</v>
      </c>
      <c r="BY13" s="159">
        <f t="shared" si="61"/>
        <v>3.4900545494068549</v>
      </c>
      <c r="BZ13" s="159">
        <f t="shared" si="62"/>
        <v>2.998497570617157</v>
      </c>
      <c r="CA13" s="159">
        <f t="shared" si="63"/>
        <v>10.717697673740819</v>
      </c>
      <c r="CB13" s="159">
        <f t="shared" si="64"/>
        <v>13.689195733752824</v>
      </c>
      <c r="CC13" s="159">
        <f t="shared" si="65"/>
        <v>1.9218181548552158</v>
      </c>
      <c r="CD13" s="159">
        <f t="shared" si="66"/>
        <v>6.8960146680487684</v>
      </c>
      <c r="CE13" s="159">
        <f t="shared" si="67"/>
        <v>7.609619939648546</v>
      </c>
      <c r="CF13" s="159">
        <f t="shared" si="68"/>
        <v>11.700570286263332</v>
      </c>
      <c r="CG13" s="159">
        <f t="shared" si="69"/>
        <v>7.609619939648546</v>
      </c>
      <c r="CH13" s="159">
        <f t="shared" si="70"/>
        <v>7.308060611316213</v>
      </c>
      <c r="CI13" s="159">
        <f t="shared" si="71"/>
        <v>12.766817932410746</v>
      </c>
      <c r="CJ13" s="159">
        <f t="shared" si="72"/>
        <v>7.308060611316213</v>
      </c>
      <c r="CK13" s="159">
        <f t="shared" si="73"/>
        <v>4.2463144507689456</v>
      </c>
    </row>
    <row r="14" spans="1:89" x14ac:dyDescent="0.25">
      <c r="A14" t="str">
        <f>PLANTILLA!D16</f>
        <v>C. Rojas</v>
      </c>
      <c r="B14" s="487">
        <f>PLANTILLA!E16</f>
        <v>35</v>
      </c>
      <c r="C14" s="487">
        <f ca="1">PLANTILLA!F16</f>
        <v>3</v>
      </c>
      <c r="D14" s="487" t="str">
        <f>PLANTILLA!G16</f>
        <v>TEC</v>
      </c>
      <c r="E14" s="290">
        <v>41653</v>
      </c>
      <c r="F14" s="341">
        <f>PLANTILLA!Q16</f>
        <v>6</v>
      </c>
      <c r="G14" s="406">
        <f t="shared" si="78"/>
        <v>0.92582009977255142</v>
      </c>
      <c r="H14" s="406">
        <f t="shared" si="75"/>
        <v>0.99928545900129484</v>
      </c>
      <c r="I14" s="496">
        <v>1.5</v>
      </c>
      <c r="J14" s="497">
        <f>PLANTILLA!I16</f>
        <v>13.2</v>
      </c>
      <c r="K14" s="163">
        <f>PLANTILLA!X16</f>
        <v>0</v>
      </c>
      <c r="L14" s="163">
        <f>PLANTILLA!Y16</f>
        <v>8.6275555555555581</v>
      </c>
      <c r="M14" s="163">
        <f>PLANTILLA!Z16</f>
        <v>13.95</v>
      </c>
      <c r="N14" s="163">
        <f>PLANTILLA!AA16</f>
        <v>9.9499999999999993</v>
      </c>
      <c r="O14" s="163">
        <f>PLANTILLA!AB16</f>
        <v>9.9499999999999993</v>
      </c>
      <c r="P14" s="163">
        <f>PLANTILLA!AC16</f>
        <v>2.95</v>
      </c>
      <c r="Q14" s="163">
        <f>PLANTILLA!AD16</f>
        <v>17.144444444444439</v>
      </c>
      <c r="R14" s="163">
        <f t="shared" si="2"/>
        <v>3.9409444444444448</v>
      </c>
      <c r="S14" s="163">
        <f t="shared" si="3"/>
        <v>13.343402295064346</v>
      </c>
      <c r="T14" s="163">
        <f t="shared" si="4"/>
        <v>0.66183333333333327</v>
      </c>
      <c r="U14" s="163">
        <f t="shared" si="5"/>
        <v>0.85943555555555551</v>
      </c>
      <c r="V14" s="163">
        <f t="shared" ca="1" si="6"/>
        <v>18.181757857595095</v>
      </c>
      <c r="W14" s="163">
        <f t="shared" ca="1" si="7"/>
        <v>19.624510475243387</v>
      </c>
      <c r="X14" s="159">
        <f t="shared" si="8"/>
        <v>4.9950533892569426</v>
      </c>
      <c r="Y14" s="159">
        <f t="shared" si="9"/>
        <v>7.5320923713601147</v>
      </c>
      <c r="Z14" s="159">
        <f t="shared" si="10"/>
        <v>4.9950533892569426</v>
      </c>
      <c r="AA14" s="159">
        <f t="shared" si="11"/>
        <v>5.9967735313362924</v>
      </c>
      <c r="AB14" s="159">
        <f t="shared" si="12"/>
        <v>11.62165413049669</v>
      </c>
      <c r="AC14" s="159">
        <f t="shared" si="13"/>
        <v>2.9983867656681462</v>
      </c>
      <c r="AD14" s="159">
        <f t="shared" si="14"/>
        <v>4.0326954608359893</v>
      </c>
      <c r="AE14" s="159">
        <f t="shared" si="15"/>
        <v>4.3929852613277491</v>
      </c>
      <c r="AF14" s="159">
        <f t="shared" si="16"/>
        <v>8.4024559363491065</v>
      </c>
      <c r="AG14" s="159">
        <f t="shared" si="17"/>
        <v>2.1964926306638746</v>
      </c>
      <c r="AH14" s="159">
        <f t="shared" si="18"/>
        <v>6.5234779513523362</v>
      </c>
      <c r="AI14" s="159">
        <f t="shared" si="19"/>
        <v>10.691921800056955</v>
      </c>
      <c r="AJ14" s="159">
        <f t="shared" si="20"/>
        <v>4.8113648100256299</v>
      </c>
      <c r="AK14" s="159">
        <f t="shared" si="21"/>
        <v>2.8296644620151694</v>
      </c>
      <c r="AL14" s="159">
        <f t="shared" si="22"/>
        <v>7.6111299620653856</v>
      </c>
      <c r="AM14" s="159">
        <f t="shared" si="23"/>
        <v>8.7627272143945039</v>
      </c>
      <c r="AN14" s="159">
        <f t="shared" si="24"/>
        <v>8.2281311243916555</v>
      </c>
      <c r="AO14" s="159">
        <f t="shared" si="25"/>
        <v>3.3631366842373907</v>
      </c>
      <c r="AP14" s="159">
        <f t="shared" si="26"/>
        <v>1.9972923895830463</v>
      </c>
      <c r="AQ14" s="159">
        <f t="shared" si="27"/>
        <v>3.1378466152341065</v>
      </c>
      <c r="AR14" s="159">
        <f t="shared" si="28"/>
        <v>6.9032625535150336</v>
      </c>
      <c r="AS14" s="159">
        <f t="shared" si="29"/>
        <v>1.5689233076170532</v>
      </c>
      <c r="AT14" s="159">
        <f t="shared" si="30"/>
        <v>15.99522905474443</v>
      </c>
      <c r="AU14" s="159">
        <f t="shared" si="31"/>
        <v>1.6827328147423475</v>
      </c>
      <c r="AV14" s="159">
        <f t="shared" si="32"/>
        <v>2.5816208824577518</v>
      </c>
      <c r="AW14" s="159">
        <f t="shared" si="33"/>
        <v>0.84136640737117374</v>
      </c>
      <c r="AX14" s="159">
        <f t="shared" si="34"/>
        <v>2.1964926306638746</v>
      </c>
      <c r="AY14" s="159">
        <f t="shared" si="35"/>
        <v>4.6486616521986761</v>
      </c>
      <c r="AZ14" s="159">
        <f t="shared" si="36"/>
        <v>1.0982463153319373</v>
      </c>
      <c r="BA14" s="159">
        <f t="shared" si="37"/>
        <v>16.944098574941133</v>
      </c>
      <c r="BB14" s="159">
        <f t="shared" si="38"/>
        <v>3.2748569394601068</v>
      </c>
      <c r="BC14" s="159">
        <f t="shared" si="39"/>
        <v>5.6621983147925645</v>
      </c>
      <c r="BD14" s="159">
        <f t="shared" si="40"/>
        <v>1.6374284697300534</v>
      </c>
      <c r="BE14" s="159">
        <f t="shared" si="41"/>
        <v>3.3819013519745367</v>
      </c>
      <c r="BF14" s="159">
        <f t="shared" si="42"/>
        <v>4.0443356374128481</v>
      </c>
      <c r="BG14" s="159">
        <f t="shared" si="43"/>
        <v>14.927750844523139</v>
      </c>
      <c r="BH14" s="159">
        <f t="shared" si="44"/>
        <v>11.507303633122667</v>
      </c>
      <c r="BI14" s="159">
        <f t="shared" si="45"/>
        <v>3.1195277565608128</v>
      </c>
      <c r="BJ14" s="159">
        <f t="shared" si="46"/>
        <v>5.636502253290895</v>
      </c>
      <c r="BK14" s="159">
        <f t="shared" si="47"/>
        <v>3.0681166904511263</v>
      </c>
      <c r="BL14" s="159">
        <f t="shared" si="48"/>
        <v>6.4557015570525715</v>
      </c>
      <c r="BM14" s="159">
        <f t="shared" si="49"/>
        <v>11.31314215449855</v>
      </c>
      <c r="BN14" s="159">
        <f t="shared" si="50"/>
        <v>0.67309312589693893</v>
      </c>
      <c r="BO14" s="159">
        <f t="shared" si="51"/>
        <v>2.0918977434894042</v>
      </c>
      <c r="BP14" s="159">
        <f t="shared" si="52"/>
        <v>0.790272480873775</v>
      </c>
      <c r="BQ14" s="159">
        <f t="shared" si="53"/>
        <v>5.1679500653570454</v>
      </c>
      <c r="BR14" s="159">
        <f t="shared" si="54"/>
        <v>16.646110767374296</v>
      </c>
      <c r="BS14" s="159">
        <f t="shared" si="55"/>
        <v>1.7474533076170531</v>
      </c>
      <c r="BT14" s="159">
        <f t="shared" si="56"/>
        <v>3.3005497730610598</v>
      </c>
      <c r="BU14" s="159">
        <f t="shared" si="57"/>
        <v>2.8356836078411924</v>
      </c>
      <c r="BV14" s="159">
        <f t="shared" si="58"/>
        <v>7.7095648515982163</v>
      </c>
      <c r="BW14" s="159">
        <f t="shared" si="59"/>
        <v>14.342061221034776</v>
      </c>
      <c r="BX14" s="159">
        <f t="shared" si="60"/>
        <v>1.566235927567877</v>
      </c>
      <c r="BY14" s="159">
        <f t="shared" si="61"/>
        <v>3.3005497730610598</v>
      </c>
      <c r="BZ14" s="159">
        <f t="shared" si="62"/>
        <v>2.8356836078411924</v>
      </c>
      <c r="CA14" s="159">
        <f t="shared" si="63"/>
        <v>10.691726200787855</v>
      </c>
      <c r="CB14" s="159">
        <f t="shared" si="64"/>
        <v>11.584968224572314</v>
      </c>
      <c r="CC14" s="159">
        <f t="shared" si="65"/>
        <v>1.9157265890912876</v>
      </c>
      <c r="CD14" s="159">
        <f t="shared" si="66"/>
        <v>6.8793040214261003</v>
      </c>
      <c r="CE14" s="159">
        <f t="shared" si="67"/>
        <v>6.8904032435396205</v>
      </c>
      <c r="CF14" s="159">
        <f t="shared" si="68"/>
        <v>10.494054995383717</v>
      </c>
      <c r="CG14" s="159">
        <f t="shared" si="69"/>
        <v>6.8904032435396205</v>
      </c>
      <c r="CH14" s="159">
        <f t="shared" si="70"/>
        <v>6.1141734121883262</v>
      </c>
      <c r="CI14" s="159">
        <f t="shared" si="71"/>
        <v>10.720470949094413</v>
      </c>
      <c r="CJ14" s="159">
        <f t="shared" si="72"/>
        <v>6.1141734121883262</v>
      </c>
      <c r="CK14" s="159">
        <f t="shared" si="73"/>
        <v>4.2360246437352833</v>
      </c>
    </row>
    <row r="15" spans="1:89" x14ac:dyDescent="0.25">
      <c r="A15" t="str">
        <f>PLANTILLA!D17</f>
        <v>E. Gross</v>
      </c>
      <c r="B15" s="487">
        <f>PLANTILLA!E17</f>
        <v>33</v>
      </c>
      <c r="C15" s="487">
        <f ca="1">PLANTILLA!F17</f>
        <v>109</v>
      </c>
      <c r="D15" s="487"/>
      <c r="E15" s="290">
        <v>41552</v>
      </c>
      <c r="F15" s="341">
        <f>PLANTILLA!Q17</f>
        <v>5</v>
      </c>
      <c r="G15" s="406">
        <f t="shared" si="78"/>
        <v>0.84515425472851657</v>
      </c>
      <c r="H15" s="406">
        <f t="shared" si="75"/>
        <v>0.92504826128926143</v>
      </c>
      <c r="I15" s="496">
        <v>1.5</v>
      </c>
      <c r="J15" s="497">
        <f>PLANTILLA!I17</f>
        <v>12</v>
      </c>
      <c r="K15" s="163">
        <f>PLANTILLA!X17</f>
        <v>0</v>
      </c>
      <c r="L15" s="163">
        <f>PLANTILLA!Y17</f>
        <v>10.549999999999995</v>
      </c>
      <c r="M15" s="163">
        <f>PLANTILLA!Z17</f>
        <v>13</v>
      </c>
      <c r="N15" s="163">
        <f>PLANTILLA!AA17</f>
        <v>4.95</v>
      </c>
      <c r="O15" s="163">
        <f>PLANTILLA!AB17</f>
        <v>9.24</v>
      </c>
      <c r="P15" s="163">
        <f>PLANTILLA!AC17</f>
        <v>1.95</v>
      </c>
      <c r="Q15" s="163">
        <f>PLANTILLA!AD17</f>
        <v>17.459999999999997</v>
      </c>
      <c r="R15" s="163">
        <f t="shared" si="2"/>
        <v>4.0037499999999993</v>
      </c>
      <c r="S15" s="163">
        <f t="shared" si="3"/>
        <v>11.734987405020336</v>
      </c>
      <c r="T15" s="163">
        <f t="shared" si="4"/>
        <v>0.62129999999999985</v>
      </c>
      <c r="U15" s="163">
        <f t="shared" si="5"/>
        <v>0.94579999999999964</v>
      </c>
      <c r="V15" s="163">
        <f t="shared" ca="1" si="6"/>
        <v>16.817647037915577</v>
      </c>
      <c r="W15" s="163">
        <f t="shared" ca="1" si="7"/>
        <v>18.407450550429544</v>
      </c>
      <c r="X15" s="159">
        <f t="shared" si="8"/>
        <v>5.4774669703994343</v>
      </c>
      <c r="Y15" s="159">
        <f t="shared" si="9"/>
        <v>8.2778806515299763</v>
      </c>
      <c r="Z15" s="159">
        <f t="shared" si="10"/>
        <v>5.4774669703994343</v>
      </c>
      <c r="AA15" s="159">
        <f t="shared" si="11"/>
        <v>6.9602766972807633</v>
      </c>
      <c r="AB15" s="159">
        <f t="shared" si="12"/>
        <v>13.488908328063495</v>
      </c>
      <c r="AC15" s="159">
        <f t="shared" si="13"/>
        <v>3.4801383486403816</v>
      </c>
      <c r="AD15" s="159">
        <f t="shared" si="14"/>
        <v>3.7934601820791127</v>
      </c>
      <c r="AE15" s="159">
        <f t="shared" si="15"/>
        <v>5.098807348008001</v>
      </c>
      <c r="AF15" s="159">
        <f t="shared" si="16"/>
        <v>9.7524807211899063</v>
      </c>
      <c r="AG15" s="159">
        <f t="shared" si="17"/>
        <v>2.5494036740040005</v>
      </c>
      <c r="AH15" s="159">
        <f t="shared" si="18"/>
        <v>6.1364797063044474</v>
      </c>
      <c r="AI15" s="159">
        <f t="shared" si="19"/>
        <v>12.409795661818416</v>
      </c>
      <c r="AJ15" s="159">
        <f t="shared" si="20"/>
        <v>5.5844080478182869</v>
      </c>
      <c r="AK15" s="159">
        <f t="shared" si="21"/>
        <v>2.6617976907866048</v>
      </c>
      <c r="AL15" s="159">
        <f t="shared" si="22"/>
        <v>4.6386780969013373</v>
      </c>
      <c r="AM15" s="159">
        <f t="shared" si="23"/>
        <v>10.170636879359876</v>
      </c>
      <c r="AN15" s="159">
        <f t="shared" si="24"/>
        <v>9.5501470962689545</v>
      </c>
      <c r="AO15" s="159">
        <f t="shared" si="25"/>
        <v>3.4066176907866046</v>
      </c>
      <c r="AP15" s="159">
        <f t="shared" si="26"/>
        <v>1.9994855984822875</v>
      </c>
      <c r="AQ15" s="159">
        <f t="shared" si="27"/>
        <v>3.6420052485771439</v>
      </c>
      <c r="AR15" s="159">
        <f t="shared" si="28"/>
        <v>8.0124115468697159</v>
      </c>
      <c r="AS15" s="159">
        <f t="shared" si="29"/>
        <v>1.821002624288572</v>
      </c>
      <c r="AT15" s="159">
        <f t="shared" si="30"/>
        <v>15.046329461691943</v>
      </c>
      <c r="AU15" s="159">
        <f t="shared" si="31"/>
        <v>1.583258082648255</v>
      </c>
      <c r="AV15" s="159">
        <f t="shared" si="32"/>
        <v>2.3072501401226053</v>
      </c>
      <c r="AW15" s="159">
        <f t="shared" si="33"/>
        <v>0.79162904132412748</v>
      </c>
      <c r="AX15" s="159">
        <f t="shared" si="34"/>
        <v>2.5494036740040005</v>
      </c>
      <c r="AY15" s="159">
        <f t="shared" si="35"/>
        <v>5.3955633312253983</v>
      </c>
      <c r="AZ15" s="159">
        <f t="shared" si="36"/>
        <v>1.2747018370020002</v>
      </c>
      <c r="BA15" s="159">
        <f t="shared" si="37"/>
        <v>15.9389083280635</v>
      </c>
      <c r="BB15" s="159">
        <f t="shared" si="38"/>
        <v>3.0812638070000653</v>
      </c>
      <c r="BC15" s="159">
        <f t="shared" si="39"/>
        <v>5.1796784887629892</v>
      </c>
      <c r="BD15" s="159">
        <f t="shared" si="40"/>
        <v>1.5406319035000327</v>
      </c>
      <c r="BE15" s="159">
        <f t="shared" si="41"/>
        <v>3.9252723234664768</v>
      </c>
      <c r="BF15" s="159">
        <f t="shared" si="42"/>
        <v>4.6941400981660957</v>
      </c>
      <c r="BG15" s="159">
        <f t="shared" si="43"/>
        <v>14.042178237023943</v>
      </c>
      <c r="BH15" s="159">
        <f t="shared" si="44"/>
        <v>8.3645895036484514</v>
      </c>
      <c r="BI15" s="159">
        <f t="shared" si="45"/>
        <v>2.9351169070633034</v>
      </c>
      <c r="BJ15" s="159">
        <f t="shared" si="46"/>
        <v>6.5421205391107948</v>
      </c>
      <c r="BK15" s="159">
        <f t="shared" si="47"/>
        <v>3.5610717986087628</v>
      </c>
      <c r="BL15" s="159">
        <f t="shared" si="48"/>
        <v>6.0727240729921936</v>
      </c>
      <c r="BM15" s="159">
        <f t="shared" si="49"/>
        <v>7.757195878727499</v>
      </c>
      <c r="BN15" s="159">
        <f t="shared" si="50"/>
        <v>0.63330323305930192</v>
      </c>
      <c r="BO15" s="159">
        <f t="shared" si="51"/>
        <v>2.428003499051429</v>
      </c>
      <c r="BP15" s="159">
        <f t="shared" si="52"/>
        <v>0.91724576630831767</v>
      </c>
      <c r="BQ15" s="159">
        <f t="shared" si="53"/>
        <v>4.8613670400593669</v>
      </c>
      <c r="BR15" s="159">
        <f t="shared" si="54"/>
        <v>11.37207610988966</v>
      </c>
      <c r="BS15" s="159">
        <f t="shared" si="55"/>
        <v>1.6441526242885727</v>
      </c>
      <c r="BT15" s="159">
        <f t="shared" si="56"/>
        <v>3.8308499651700321</v>
      </c>
      <c r="BU15" s="159">
        <f t="shared" si="57"/>
        <v>3.2912936320474926</v>
      </c>
      <c r="BV15" s="159">
        <f t="shared" si="58"/>
        <v>7.2522032892688921</v>
      </c>
      <c r="BW15" s="159">
        <f t="shared" si="59"/>
        <v>9.7876704274943567</v>
      </c>
      <c r="BX15" s="159">
        <f t="shared" si="60"/>
        <v>1.4736479076956834</v>
      </c>
      <c r="BY15" s="159">
        <f t="shared" si="61"/>
        <v>3.8308499651700321</v>
      </c>
      <c r="BZ15" s="159">
        <f t="shared" si="62"/>
        <v>3.2912936320474926</v>
      </c>
      <c r="CA15" s="159">
        <f t="shared" si="63"/>
        <v>10.057451155008069</v>
      </c>
      <c r="CB15" s="159">
        <f t="shared" si="64"/>
        <v>7.8885429536168328</v>
      </c>
      <c r="CC15" s="159">
        <f t="shared" si="65"/>
        <v>1.8024784325533978</v>
      </c>
      <c r="CD15" s="159">
        <f t="shared" si="66"/>
        <v>6.4711967811937816</v>
      </c>
      <c r="CE15" s="159">
        <f t="shared" si="67"/>
        <v>4.8016212389210828</v>
      </c>
      <c r="CF15" s="159">
        <f t="shared" si="68"/>
        <v>9.4633807773995002</v>
      </c>
      <c r="CG15" s="159">
        <f t="shared" si="69"/>
        <v>4.8016212389210828</v>
      </c>
      <c r="CH15" s="159">
        <f t="shared" si="70"/>
        <v>4.6139698883835605</v>
      </c>
      <c r="CI15" s="159">
        <f t="shared" si="71"/>
        <v>9.3829255011189314</v>
      </c>
      <c r="CJ15" s="159">
        <f t="shared" si="72"/>
        <v>4.6139698883835605</v>
      </c>
      <c r="CK15" s="159">
        <f t="shared" si="73"/>
        <v>3.9847270820158749</v>
      </c>
    </row>
    <row r="16" spans="1:89" x14ac:dyDescent="0.25">
      <c r="A16" t="str">
        <f>PLANTILLA!D18</f>
        <v>L. Bauman</v>
      </c>
      <c r="B16" s="487">
        <f>PLANTILLA!E18</f>
        <v>33</v>
      </c>
      <c r="C16" s="487">
        <f ca="1">PLANTILLA!F18</f>
        <v>84</v>
      </c>
      <c r="D16" s="487"/>
      <c r="E16" s="290">
        <v>41686</v>
      </c>
      <c r="F16" s="341">
        <f>PLANTILLA!Q18</f>
        <v>6</v>
      </c>
      <c r="G16" s="406">
        <f t="shared" si="78"/>
        <v>0.92582009977255142</v>
      </c>
      <c r="H16" s="406">
        <f t="shared" si="75"/>
        <v>0.99928545900129484</v>
      </c>
      <c r="I16" s="496">
        <v>1.5</v>
      </c>
      <c r="J16" s="497">
        <f>PLANTILLA!I18</f>
        <v>10.3</v>
      </c>
      <c r="K16" s="163">
        <f>PLANTILLA!X18</f>
        <v>0</v>
      </c>
      <c r="L16" s="163">
        <f>PLANTILLA!Y18</f>
        <v>6</v>
      </c>
      <c r="M16" s="163">
        <f>PLANTILLA!Z18</f>
        <v>14.1</v>
      </c>
      <c r="N16" s="163">
        <f>PLANTILLA!AA18</f>
        <v>3.5124999999999993</v>
      </c>
      <c r="O16" s="163">
        <f>PLANTILLA!AB18</f>
        <v>9.1400000000000041</v>
      </c>
      <c r="P16" s="163">
        <f>PLANTILLA!AC18</f>
        <v>6.95</v>
      </c>
      <c r="Q16" s="163">
        <f>PLANTILLA!AD18</f>
        <v>17</v>
      </c>
      <c r="R16" s="163">
        <f t="shared" si="2"/>
        <v>3.410000000000001</v>
      </c>
      <c r="S16" s="163">
        <f t="shared" si="3"/>
        <v>19.586493688797908</v>
      </c>
      <c r="T16" s="163">
        <f t="shared" si="4"/>
        <v>0.85749999999999993</v>
      </c>
      <c r="U16" s="163">
        <f t="shared" si="5"/>
        <v>0.75</v>
      </c>
      <c r="V16" s="163">
        <f t="shared" ca="1" si="6"/>
        <v>17.915035209812455</v>
      </c>
      <c r="W16" s="163">
        <f t="shared" ca="1" si="7"/>
        <v>19.336622943334113</v>
      </c>
      <c r="X16" s="159">
        <f t="shared" si="8"/>
        <v>4.1444425295568204</v>
      </c>
      <c r="Y16" s="159">
        <f t="shared" si="9"/>
        <v>6.2299304761258361</v>
      </c>
      <c r="Z16" s="159">
        <f t="shared" si="10"/>
        <v>4.1444425295568204</v>
      </c>
      <c r="AA16" s="159">
        <f t="shared" si="11"/>
        <v>4.5668320105971585</v>
      </c>
      <c r="AB16" s="159">
        <f t="shared" si="12"/>
        <v>8.8504496329402293</v>
      </c>
      <c r="AC16" s="159">
        <f t="shared" si="13"/>
        <v>2.2834160052985792</v>
      </c>
      <c r="AD16" s="159">
        <f t="shared" si="14"/>
        <v>4.0342070126397749</v>
      </c>
      <c r="AE16" s="159">
        <f t="shared" si="15"/>
        <v>3.3454699612514065</v>
      </c>
      <c r="AF16" s="159">
        <f t="shared" si="16"/>
        <v>6.3988750846157858</v>
      </c>
      <c r="AG16" s="159">
        <f t="shared" si="17"/>
        <v>1.6727349806257032</v>
      </c>
      <c r="AH16" s="159">
        <f t="shared" si="18"/>
        <v>6.5259231086819893</v>
      </c>
      <c r="AI16" s="159">
        <f t="shared" si="19"/>
        <v>8.1424136623050121</v>
      </c>
      <c r="AJ16" s="159">
        <f t="shared" si="20"/>
        <v>3.6640861480372546</v>
      </c>
      <c r="AK16" s="159">
        <f t="shared" si="21"/>
        <v>2.8307250887010187</v>
      </c>
      <c r="AL16" s="159">
        <f t="shared" si="22"/>
        <v>3.7414143841688543</v>
      </c>
      <c r="AM16" s="159">
        <f t="shared" si="23"/>
        <v>6.673239023236933</v>
      </c>
      <c r="AN16" s="159">
        <f t="shared" si="24"/>
        <v>6.2661183401216825</v>
      </c>
      <c r="AO16" s="159">
        <f t="shared" si="25"/>
        <v>3.3150250887010184</v>
      </c>
      <c r="AP16" s="159">
        <f t="shared" si="26"/>
        <v>1.8030094942867863</v>
      </c>
      <c r="AQ16" s="159">
        <f t="shared" si="27"/>
        <v>2.3896214008938621</v>
      </c>
      <c r="AR16" s="159">
        <f t="shared" si="28"/>
        <v>5.2571670819664957</v>
      </c>
      <c r="AS16" s="159">
        <f t="shared" si="29"/>
        <v>1.1948107004469311</v>
      </c>
      <c r="AT16" s="159">
        <f t="shared" si="30"/>
        <v>16.001224453495578</v>
      </c>
      <c r="AU16" s="159">
        <f t="shared" si="31"/>
        <v>1.5587584522822304</v>
      </c>
      <c r="AV16" s="159">
        <f t="shared" si="32"/>
        <v>3.1343317424514874</v>
      </c>
      <c r="AW16" s="159">
        <f t="shared" si="33"/>
        <v>0.77937922614111521</v>
      </c>
      <c r="AX16" s="159">
        <f t="shared" si="34"/>
        <v>1.6727349806257032</v>
      </c>
      <c r="AY16" s="159">
        <f t="shared" si="35"/>
        <v>3.5401798531760917</v>
      </c>
      <c r="AZ16" s="159">
        <f t="shared" si="36"/>
        <v>0.83636749031285162</v>
      </c>
      <c r="BA16" s="159">
        <f t="shared" si="37"/>
        <v>16.950449632940231</v>
      </c>
      <c r="BB16" s="159">
        <f t="shared" si="38"/>
        <v>3.0335837571338793</v>
      </c>
      <c r="BC16" s="159">
        <f t="shared" si="39"/>
        <v>6.1468377477500677</v>
      </c>
      <c r="BD16" s="159">
        <f t="shared" si="40"/>
        <v>1.5167918785669396</v>
      </c>
      <c r="BE16" s="159">
        <f t="shared" si="41"/>
        <v>2.5754808431856064</v>
      </c>
      <c r="BF16" s="159">
        <f t="shared" si="42"/>
        <v>3.0799564722631998</v>
      </c>
      <c r="BG16" s="159">
        <f t="shared" si="43"/>
        <v>14.933346126620343</v>
      </c>
      <c r="BH16" s="159">
        <f t="shared" si="44"/>
        <v>7.4293247236838642</v>
      </c>
      <c r="BI16" s="159">
        <f t="shared" si="45"/>
        <v>2.889698361538596</v>
      </c>
      <c r="BJ16" s="159">
        <f t="shared" si="46"/>
        <v>4.2924680719760113</v>
      </c>
      <c r="BK16" s="159">
        <f t="shared" si="47"/>
        <v>2.3365187030962207</v>
      </c>
      <c r="BL16" s="159">
        <f t="shared" si="48"/>
        <v>6.4581213101502284</v>
      </c>
      <c r="BM16" s="159">
        <f t="shared" si="49"/>
        <v>6.6923454791897612</v>
      </c>
      <c r="BN16" s="159">
        <f t="shared" si="50"/>
        <v>0.62350338091289215</v>
      </c>
      <c r="BO16" s="159">
        <f t="shared" si="51"/>
        <v>1.5930809339292413</v>
      </c>
      <c r="BP16" s="159">
        <f t="shared" si="52"/>
        <v>0.60183057503993564</v>
      </c>
      <c r="BQ16" s="159">
        <f t="shared" si="53"/>
        <v>5.1698871380467706</v>
      </c>
      <c r="BR16" s="159">
        <f t="shared" si="54"/>
        <v>9.7922182279611345</v>
      </c>
      <c r="BS16" s="159">
        <f t="shared" si="55"/>
        <v>1.6187107004469317</v>
      </c>
      <c r="BT16" s="159">
        <f t="shared" si="56"/>
        <v>2.513527695755025</v>
      </c>
      <c r="BU16" s="159">
        <f t="shared" si="57"/>
        <v>2.1595097104374159</v>
      </c>
      <c r="BV16" s="159">
        <f t="shared" si="58"/>
        <v>7.7124545829878048</v>
      </c>
      <c r="BW16" s="159">
        <f t="shared" si="59"/>
        <v>8.4232581932977748</v>
      </c>
      <c r="BX16" s="159">
        <f t="shared" si="60"/>
        <v>1.4508444055857681</v>
      </c>
      <c r="BY16" s="159">
        <f t="shared" si="61"/>
        <v>2.513527695755025</v>
      </c>
      <c r="BZ16" s="159">
        <f t="shared" si="62"/>
        <v>2.1595097104374159</v>
      </c>
      <c r="CA16" s="159">
        <f t="shared" si="63"/>
        <v>10.695733718385286</v>
      </c>
      <c r="CB16" s="159">
        <f t="shared" si="64"/>
        <v>6.780947421481506</v>
      </c>
      <c r="CC16" s="159">
        <f t="shared" si="65"/>
        <v>1.7745865456751544</v>
      </c>
      <c r="CD16" s="159">
        <f t="shared" si="66"/>
        <v>6.8818825509737342</v>
      </c>
      <c r="CE16" s="159">
        <f t="shared" si="67"/>
        <v>5.1585342587618603</v>
      </c>
      <c r="CF16" s="159">
        <f t="shared" si="68"/>
        <v>12.224476286690701</v>
      </c>
      <c r="CG16" s="159">
        <f t="shared" si="69"/>
        <v>5.1585342587618603</v>
      </c>
      <c r="CH16" s="159">
        <f t="shared" si="70"/>
        <v>5.5269726213217636</v>
      </c>
      <c r="CI16" s="159">
        <f t="shared" si="71"/>
        <v>14.224925547495175</v>
      </c>
      <c r="CJ16" s="159">
        <f t="shared" si="72"/>
        <v>5.5269726213217636</v>
      </c>
      <c r="CK16" s="159">
        <f t="shared" si="73"/>
        <v>4.2376124082350577</v>
      </c>
    </row>
    <row r="17" spans="1:89" x14ac:dyDescent="0.25">
      <c r="A17" t="str">
        <f>PLANTILLA!D19</f>
        <v>W. Gelifini</v>
      </c>
      <c r="B17" s="487">
        <f>PLANTILLA!E19</f>
        <v>32</v>
      </c>
      <c r="C17" s="487">
        <f ca="1">PLANTILLA!F19</f>
        <v>34</v>
      </c>
      <c r="D17" s="487"/>
      <c r="E17" s="290">
        <v>41737</v>
      </c>
      <c r="F17" s="341">
        <f>PLANTILLA!Q19</f>
        <v>5</v>
      </c>
      <c r="G17" s="406">
        <f t="shared" si="78"/>
        <v>0.84515425472851657</v>
      </c>
      <c r="H17" s="406">
        <f t="shared" si="75"/>
        <v>0.92504826128926143</v>
      </c>
      <c r="I17" s="496">
        <v>1.5</v>
      </c>
      <c r="J17" s="497">
        <f>PLANTILLA!I19</f>
        <v>4.5</v>
      </c>
      <c r="K17" s="163">
        <f>PLANTILLA!X19</f>
        <v>0</v>
      </c>
      <c r="L17" s="163">
        <f>PLANTILLA!Y19</f>
        <v>5.6515555555555519</v>
      </c>
      <c r="M17" s="163">
        <f>PLANTILLA!Z19</f>
        <v>9.9499999999999993</v>
      </c>
      <c r="N17" s="163">
        <f>PLANTILLA!AA19</f>
        <v>6.95</v>
      </c>
      <c r="O17" s="163">
        <f>PLANTILLA!AB19</f>
        <v>9.2666666666666639</v>
      </c>
      <c r="P17" s="163">
        <f>PLANTILLA!AC19</f>
        <v>3.5417777777777766</v>
      </c>
      <c r="Q17" s="163">
        <f>PLANTILLA!AD19</f>
        <v>12.847222222222223</v>
      </c>
      <c r="R17" s="163">
        <f t="shared" si="2"/>
        <v>3.3981111111111098</v>
      </c>
      <c r="S17" s="163">
        <f t="shared" si="3"/>
        <v>10.585122873924677</v>
      </c>
      <c r="T17" s="163">
        <f t="shared" si="4"/>
        <v>0.56250555555555548</v>
      </c>
      <c r="U17" s="163">
        <f t="shared" si="5"/>
        <v>0.61147888888888879</v>
      </c>
      <c r="V17" s="163">
        <f t="shared" ca="1" si="6"/>
        <v>12.439125890961233</v>
      </c>
      <c r="W17" s="163">
        <f t="shared" ca="1" si="7"/>
        <v>13.615019640513051</v>
      </c>
      <c r="X17" s="159">
        <f t="shared" si="8"/>
        <v>3.6296686993678327</v>
      </c>
      <c r="Y17" s="159">
        <f t="shared" si="9"/>
        <v>5.4628075848230679</v>
      </c>
      <c r="Z17" s="159">
        <f t="shared" si="10"/>
        <v>3.6296686993678327</v>
      </c>
      <c r="AA17" s="159">
        <f t="shared" si="11"/>
        <v>4.1396128761441018</v>
      </c>
      <c r="AB17" s="159">
        <f t="shared" si="12"/>
        <v>8.0225055739226772</v>
      </c>
      <c r="AC17" s="159">
        <f t="shared" si="13"/>
        <v>2.0698064380720509</v>
      </c>
      <c r="AD17" s="159">
        <f t="shared" si="14"/>
        <v>2.9323861043713757</v>
      </c>
      <c r="AE17" s="159">
        <f t="shared" si="15"/>
        <v>3.0325071069427718</v>
      </c>
      <c r="AF17" s="159">
        <f t="shared" si="16"/>
        <v>5.8002715299460954</v>
      </c>
      <c r="AG17" s="159">
        <f t="shared" si="17"/>
        <v>1.5162535534713859</v>
      </c>
      <c r="AH17" s="159">
        <f t="shared" si="18"/>
        <v>4.7435657570713428</v>
      </c>
      <c r="AI17" s="159">
        <f t="shared" si="19"/>
        <v>7.3807051280088629</v>
      </c>
      <c r="AJ17" s="159">
        <f t="shared" si="20"/>
        <v>3.3213173076039881</v>
      </c>
      <c r="AK17" s="159">
        <f t="shared" si="21"/>
        <v>2.05759865306731</v>
      </c>
      <c r="AL17" s="159">
        <f t="shared" si="22"/>
        <v>5.4807186107998689</v>
      </c>
      <c r="AM17" s="159">
        <f t="shared" si="23"/>
        <v>6.0489692027376982</v>
      </c>
      <c r="AN17" s="159">
        <f t="shared" si="24"/>
        <v>5.6799339463372549</v>
      </c>
      <c r="AO17" s="159">
        <f t="shared" si="25"/>
        <v>2.5414347641784212</v>
      </c>
      <c r="AP17" s="159">
        <f t="shared" si="26"/>
        <v>1.6614896052897317</v>
      </c>
      <c r="AQ17" s="159">
        <f t="shared" si="27"/>
        <v>2.1660765049591229</v>
      </c>
      <c r="AR17" s="159">
        <f t="shared" si="28"/>
        <v>4.7653683109100697</v>
      </c>
      <c r="AS17" s="159">
        <f t="shared" si="29"/>
        <v>1.0830382524795614</v>
      </c>
      <c r="AT17" s="159">
        <f t="shared" si="30"/>
        <v>11.630976817338565</v>
      </c>
      <c r="AU17" s="159">
        <f t="shared" si="31"/>
        <v>1.5128901690543926</v>
      </c>
      <c r="AV17" s="159">
        <f t="shared" si="32"/>
        <v>2.4194159109371229</v>
      </c>
      <c r="AW17" s="159">
        <f t="shared" si="33"/>
        <v>0.75644508452719628</v>
      </c>
      <c r="AX17" s="159">
        <f t="shared" si="34"/>
        <v>1.5162535534713859</v>
      </c>
      <c r="AY17" s="159">
        <f t="shared" si="35"/>
        <v>3.2090022295690712</v>
      </c>
      <c r="AZ17" s="159">
        <f t="shared" si="36"/>
        <v>0.75812677673569295</v>
      </c>
      <c r="BA17" s="159">
        <f t="shared" si="37"/>
        <v>12.320950018367125</v>
      </c>
      <c r="BB17" s="159">
        <f t="shared" si="38"/>
        <v>2.9443170213135486</v>
      </c>
      <c r="BC17" s="159">
        <f t="shared" si="39"/>
        <v>5.2101001267869513</v>
      </c>
      <c r="BD17" s="159">
        <f t="shared" si="40"/>
        <v>1.4721585106567743</v>
      </c>
      <c r="BE17" s="159">
        <f t="shared" si="41"/>
        <v>2.3345491220114991</v>
      </c>
      <c r="BF17" s="159">
        <f t="shared" si="42"/>
        <v>2.7918319397250912</v>
      </c>
      <c r="BG17" s="159">
        <f t="shared" si="43"/>
        <v>10.854756966181437</v>
      </c>
      <c r="BH17" s="159">
        <f t="shared" si="44"/>
        <v>9.0160745663283723</v>
      </c>
      <c r="BI17" s="159">
        <f t="shared" si="45"/>
        <v>2.8046656210931431</v>
      </c>
      <c r="BJ17" s="159">
        <f t="shared" si="46"/>
        <v>3.8909152033524985</v>
      </c>
      <c r="BK17" s="159">
        <f t="shared" si="47"/>
        <v>2.1179414715155866</v>
      </c>
      <c r="BL17" s="159">
        <f t="shared" si="48"/>
        <v>4.6942819569978749</v>
      </c>
      <c r="BM17" s="159">
        <f t="shared" si="49"/>
        <v>8.6121603160528668</v>
      </c>
      <c r="BN17" s="159">
        <f t="shared" si="50"/>
        <v>0.605156067621757</v>
      </c>
      <c r="BO17" s="159">
        <f t="shared" si="51"/>
        <v>1.4440510033060818</v>
      </c>
      <c r="BP17" s="159">
        <f t="shared" si="52"/>
        <v>0.54553037902674206</v>
      </c>
      <c r="BQ17" s="159">
        <f t="shared" si="53"/>
        <v>3.757889755601973</v>
      </c>
      <c r="BR17" s="159">
        <f t="shared" si="54"/>
        <v>12.649308390286787</v>
      </c>
      <c r="BS17" s="159">
        <f t="shared" si="55"/>
        <v>1.5710782524795617</v>
      </c>
      <c r="BT17" s="159">
        <f t="shared" si="56"/>
        <v>2.2783915829940402</v>
      </c>
      <c r="BU17" s="159">
        <f t="shared" si="57"/>
        <v>1.9574913600371331</v>
      </c>
      <c r="BV17" s="159">
        <f t="shared" si="58"/>
        <v>5.6060322583570414</v>
      </c>
      <c r="BW17" s="159">
        <f t="shared" si="59"/>
        <v>10.89287928701744</v>
      </c>
      <c r="BX17" s="159">
        <f t="shared" si="60"/>
        <v>1.4081516188890884</v>
      </c>
      <c r="BY17" s="159">
        <f t="shared" si="61"/>
        <v>2.2783915829940402</v>
      </c>
      <c r="BZ17" s="159">
        <f t="shared" si="62"/>
        <v>1.9574913600371331</v>
      </c>
      <c r="CA17" s="159">
        <f t="shared" si="63"/>
        <v>7.774519461589656</v>
      </c>
      <c r="CB17" s="159">
        <f t="shared" si="64"/>
        <v>8.7893669331052422</v>
      </c>
      <c r="CC17" s="159">
        <f t="shared" si="65"/>
        <v>1.7223672693850007</v>
      </c>
      <c r="CD17" s="159">
        <f t="shared" si="66"/>
        <v>5.0023057074570527</v>
      </c>
      <c r="CE17" s="159">
        <f t="shared" si="67"/>
        <v>5.0025374040137152</v>
      </c>
      <c r="CF17" s="159">
        <f t="shared" si="68"/>
        <v>9.7663461651258245</v>
      </c>
      <c r="CG17" s="159">
        <f t="shared" si="69"/>
        <v>5.0025374040137152</v>
      </c>
      <c r="CH17" s="159">
        <f t="shared" si="70"/>
        <v>5.1197807503316071</v>
      </c>
      <c r="CI17" s="159">
        <f t="shared" si="71"/>
        <v>10.207008352922369</v>
      </c>
      <c r="CJ17" s="159">
        <f t="shared" si="72"/>
        <v>5.1197807503316071</v>
      </c>
      <c r="CK17" s="159">
        <f t="shared" si="73"/>
        <v>3.0802375045917811</v>
      </c>
    </row>
    <row r="18" spans="1:89" x14ac:dyDescent="0.25">
      <c r="A18" t="e">
        <f>PLANTILLA!#REF!</f>
        <v>#REF!</v>
      </c>
      <c r="B18" s="487" t="e">
        <f>PLANTILLA!#REF!</f>
        <v>#REF!</v>
      </c>
      <c r="C18" s="487" t="e">
        <f>PLANTILLA!#REF!</f>
        <v>#REF!</v>
      </c>
      <c r="D18" s="487" t="e">
        <f>PLANTILLA!#REF!</f>
        <v>#REF!</v>
      </c>
      <c r="E18" s="290">
        <v>41730</v>
      </c>
      <c r="F18" s="341" t="e">
        <f>PLANTILLA!#REF!</f>
        <v>#REF!</v>
      </c>
      <c r="G18" s="406" t="e">
        <f t="shared" si="78"/>
        <v>#REF!</v>
      </c>
      <c r="H18" s="406" t="e">
        <f t="shared" si="75"/>
        <v>#REF!</v>
      </c>
      <c r="I18" s="496">
        <v>1.5</v>
      </c>
      <c r="J18" s="497" t="e">
        <f>PLANTILLA!#REF!</f>
        <v>#REF!</v>
      </c>
      <c r="K18" s="163" t="e">
        <f>PLANTILLA!#REF!</f>
        <v>#REF!</v>
      </c>
      <c r="L18" s="163" t="e">
        <f>PLANTILLA!#REF!</f>
        <v>#REF!</v>
      </c>
      <c r="M18" s="163" t="e">
        <f>PLANTILLA!#REF!</f>
        <v>#REF!</v>
      </c>
      <c r="N18" s="163" t="e">
        <f>PLANTILLA!#REF!</f>
        <v>#REF!</v>
      </c>
      <c r="O18" s="163" t="e">
        <f>PLANTILLA!#REF!</f>
        <v>#REF!</v>
      </c>
      <c r="P18" s="163" t="e">
        <f>PLANTILLA!#REF!</f>
        <v>#REF!</v>
      </c>
      <c r="Q18" s="163" t="e">
        <f>PLANTILLA!#REF!</f>
        <v>#REF!</v>
      </c>
      <c r="R18" s="163" t="e">
        <f t="shared" si="2"/>
        <v>#REF!</v>
      </c>
      <c r="S18" s="163" t="e">
        <f t="shared" si="3"/>
        <v>#REF!</v>
      </c>
      <c r="T18" s="163" t="e">
        <f t="shared" si="4"/>
        <v>#REF!</v>
      </c>
      <c r="U18" s="163" t="e">
        <f t="shared" si="5"/>
        <v>#REF!</v>
      </c>
      <c r="V18" s="163" t="e">
        <f t="shared" ca="1" si="6"/>
        <v>#REF!</v>
      </c>
      <c r="W18" s="163" t="e">
        <f t="shared" ca="1" si="7"/>
        <v>#REF!</v>
      </c>
      <c r="X18" s="159" t="e">
        <f t="shared" si="8"/>
        <v>#REF!</v>
      </c>
      <c r="Y18" s="159" t="e">
        <f t="shared" si="9"/>
        <v>#REF!</v>
      </c>
      <c r="Z18" s="159" t="e">
        <f t="shared" si="10"/>
        <v>#REF!</v>
      </c>
      <c r="AA18" s="159" t="e">
        <f t="shared" si="11"/>
        <v>#REF!</v>
      </c>
      <c r="AB18" s="159" t="e">
        <f t="shared" si="12"/>
        <v>#REF!</v>
      </c>
      <c r="AC18" s="159" t="e">
        <f t="shared" si="13"/>
        <v>#REF!</v>
      </c>
      <c r="AD18" s="159" t="e">
        <f t="shared" si="14"/>
        <v>#REF!</v>
      </c>
      <c r="AE18" s="159" t="e">
        <f t="shared" si="15"/>
        <v>#REF!</v>
      </c>
      <c r="AF18" s="159" t="e">
        <f t="shared" si="16"/>
        <v>#REF!</v>
      </c>
      <c r="AG18" s="159" t="e">
        <f t="shared" si="17"/>
        <v>#REF!</v>
      </c>
      <c r="AH18" s="159" t="e">
        <f t="shared" si="18"/>
        <v>#REF!</v>
      </c>
      <c r="AI18" s="159" t="e">
        <f t="shared" si="19"/>
        <v>#REF!</v>
      </c>
      <c r="AJ18" s="159" t="e">
        <f t="shared" si="20"/>
        <v>#REF!</v>
      </c>
      <c r="AK18" s="159" t="e">
        <f t="shared" si="21"/>
        <v>#REF!</v>
      </c>
      <c r="AL18" s="159" t="e">
        <f t="shared" si="22"/>
        <v>#REF!</v>
      </c>
      <c r="AM18" s="159" t="e">
        <f t="shared" si="23"/>
        <v>#REF!</v>
      </c>
      <c r="AN18" s="159" t="e">
        <f t="shared" si="24"/>
        <v>#REF!</v>
      </c>
      <c r="AO18" s="159" t="e">
        <f t="shared" si="25"/>
        <v>#REF!</v>
      </c>
      <c r="AP18" s="159" t="e">
        <f t="shared" si="26"/>
        <v>#REF!</v>
      </c>
      <c r="AQ18" s="159" t="e">
        <f t="shared" si="27"/>
        <v>#REF!</v>
      </c>
      <c r="AR18" s="159" t="e">
        <f t="shared" si="28"/>
        <v>#REF!</v>
      </c>
      <c r="AS18" s="159" t="e">
        <f t="shared" si="29"/>
        <v>#REF!</v>
      </c>
      <c r="AT18" s="159" t="e">
        <f t="shared" si="30"/>
        <v>#REF!</v>
      </c>
      <c r="AU18" s="159" t="e">
        <f t="shared" si="31"/>
        <v>#REF!</v>
      </c>
      <c r="AV18" s="159" t="e">
        <f t="shared" si="32"/>
        <v>#REF!</v>
      </c>
      <c r="AW18" s="159" t="e">
        <f t="shared" si="33"/>
        <v>#REF!</v>
      </c>
      <c r="AX18" s="159" t="e">
        <f t="shared" si="34"/>
        <v>#REF!</v>
      </c>
      <c r="AY18" s="159" t="e">
        <f t="shared" si="35"/>
        <v>#REF!</v>
      </c>
      <c r="AZ18" s="159" t="e">
        <f t="shared" si="36"/>
        <v>#REF!</v>
      </c>
      <c r="BA18" s="159" t="e">
        <f t="shared" si="37"/>
        <v>#REF!</v>
      </c>
      <c r="BB18" s="159" t="e">
        <f t="shared" si="38"/>
        <v>#REF!</v>
      </c>
      <c r="BC18" s="159" t="e">
        <f t="shared" si="39"/>
        <v>#REF!</v>
      </c>
      <c r="BD18" s="159" t="e">
        <f t="shared" si="40"/>
        <v>#REF!</v>
      </c>
      <c r="BE18" s="159" t="e">
        <f t="shared" si="41"/>
        <v>#REF!</v>
      </c>
      <c r="BF18" s="159" t="e">
        <f t="shared" si="42"/>
        <v>#REF!</v>
      </c>
      <c r="BG18" s="159" t="e">
        <f t="shared" si="43"/>
        <v>#REF!</v>
      </c>
      <c r="BH18" s="159" t="e">
        <f t="shared" si="44"/>
        <v>#REF!</v>
      </c>
      <c r="BI18" s="159" t="e">
        <f t="shared" si="45"/>
        <v>#REF!</v>
      </c>
      <c r="BJ18" s="159" t="e">
        <f t="shared" si="46"/>
        <v>#REF!</v>
      </c>
      <c r="BK18" s="159" t="e">
        <f t="shared" si="47"/>
        <v>#REF!</v>
      </c>
      <c r="BL18" s="159" t="e">
        <f t="shared" si="48"/>
        <v>#REF!</v>
      </c>
      <c r="BM18" s="159" t="e">
        <f t="shared" si="49"/>
        <v>#REF!</v>
      </c>
      <c r="BN18" s="159" t="e">
        <f t="shared" si="50"/>
        <v>#REF!</v>
      </c>
      <c r="BO18" s="159" t="e">
        <f t="shared" si="51"/>
        <v>#REF!</v>
      </c>
      <c r="BP18" s="159" t="e">
        <f t="shared" si="52"/>
        <v>#REF!</v>
      </c>
      <c r="BQ18" s="159" t="e">
        <f t="shared" si="53"/>
        <v>#REF!</v>
      </c>
      <c r="BR18" s="159" t="e">
        <f t="shared" si="54"/>
        <v>#REF!</v>
      </c>
      <c r="BS18" s="159" t="e">
        <f t="shared" si="55"/>
        <v>#REF!</v>
      </c>
      <c r="BT18" s="159" t="e">
        <f t="shared" si="56"/>
        <v>#REF!</v>
      </c>
      <c r="BU18" s="159" t="e">
        <f t="shared" si="57"/>
        <v>#REF!</v>
      </c>
      <c r="BV18" s="159" t="e">
        <f t="shared" si="58"/>
        <v>#REF!</v>
      </c>
      <c r="BW18" s="159" t="e">
        <f t="shared" si="59"/>
        <v>#REF!</v>
      </c>
      <c r="BX18" s="159" t="e">
        <f t="shared" si="60"/>
        <v>#REF!</v>
      </c>
      <c r="BY18" s="159" t="e">
        <f t="shared" si="61"/>
        <v>#REF!</v>
      </c>
      <c r="BZ18" s="159" t="e">
        <f t="shared" si="62"/>
        <v>#REF!</v>
      </c>
      <c r="CA18" s="159" t="e">
        <f t="shared" si="63"/>
        <v>#REF!</v>
      </c>
      <c r="CB18" s="159" t="e">
        <f t="shared" si="64"/>
        <v>#REF!</v>
      </c>
      <c r="CC18" s="159" t="e">
        <f t="shared" si="65"/>
        <v>#REF!</v>
      </c>
      <c r="CD18" s="159" t="e">
        <f t="shared" si="66"/>
        <v>#REF!</v>
      </c>
      <c r="CE18" s="159" t="e">
        <f t="shared" si="67"/>
        <v>#REF!</v>
      </c>
      <c r="CF18" s="159" t="e">
        <f t="shared" si="68"/>
        <v>#REF!</v>
      </c>
      <c r="CG18" s="159" t="e">
        <f t="shared" si="69"/>
        <v>#REF!</v>
      </c>
      <c r="CH18" s="159" t="e">
        <f t="shared" si="70"/>
        <v>#REF!</v>
      </c>
      <c r="CI18" s="159" t="e">
        <f t="shared" si="71"/>
        <v>#REF!</v>
      </c>
      <c r="CJ18" s="159" t="e">
        <f t="shared" si="72"/>
        <v>#REF!</v>
      </c>
      <c r="CK18" s="159" t="e">
        <f t="shared" si="73"/>
        <v>#REF!</v>
      </c>
    </row>
    <row r="19" spans="1:89" x14ac:dyDescent="0.25">
      <c r="A19" t="str">
        <f>PLANTILLA!D21</f>
        <v>J. Limon</v>
      </c>
      <c r="B19" s="487">
        <f>PLANTILLA!E21</f>
        <v>33</v>
      </c>
      <c r="C19" s="487">
        <f ca="1">PLANTILLA!F21</f>
        <v>9</v>
      </c>
      <c r="D19" s="487" t="str">
        <f>PLANTILLA!G21</f>
        <v>RAP</v>
      </c>
      <c r="E19" s="290">
        <v>41664</v>
      </c>
      <c r="F19" s="341">
        <f>PLANTILLA!Q21</f>
        <v>6</v>
      </c>
      <c r="G19" s="406">
        <f t="shared" si="78"/>
        <v>0.92582009977255142</v>
      </c>
      <c r="H19" s="406">
        <f t="shared" si="75"/>
        <v>0.99928545900129484</v>
      </c>
      <c r="I19" s="496">
        <v>1.5</v>
      </c>
      <c r="J19" s="497">
        <f>PLANTILLA!I21</f>
        <v>13</v>
      </c>
      <c r="K19" s="163">
        <f>PLANTILLA!X21</f>
        <v>0</v>
      </c>
      <c r="L19" s="163">
        <f>PLANTILLA!Y21</f>
        <v>6.8376190476190493</v>
      </c>
      <c r="M19" s="163">
        <f>PLANTILLA!Z21</f>
        <v>9</v>
      </c>
      <c r="N19" s="163">
        <f>PLANTILLA!AA21</f>
        <v>8.7399999999999967</v>
      </c>
      <c r="O19" s="163">
        <f>PLANTILLA!AB21</f>
        <v>9.9499999999999993</v>
      </c>
      <c r="P19" s="163">
        <f>PLANTILLA!AC21</f>
        <v>7.95</v>
      </c>
      <c r="Q19" s="163">
        <f>PLANTILLA!AD21</f>
        <v>18.999999999999993</v>
      </c>
      <c r="R19" s="163">
        <f t="shared" si="2"/>
        <v>3.7172023809523811</v>
      </c>
      <c r="S19" s="163">
        <f t="shared" si="3"/>
        <v>22.644419744797474</v>
      </c>
      <c r="T19" s="163">
        <f t="shared" si="4"/>
        <v>0.96749999999999969</v>
      </c>
      <c r="U19" s="163">
        <f t="shared" si="5"/>
        <v>0.84350476190476176</v>
      </c>
      <c r="V19" s="163">
        <f t="shared" ca="1" si="6"/>
        <v>19.891483522882602</v>
      </c>
      <c r="W19" s="163">
        <f t="shared" ca="1" si="7"/>
        <v>21.469905705507728</v>
      </c>
      <c r="X19" s="159">
        <f t="shared" si="8"/>
        <v>4.4933129192280159</v>
      </c>
      <c r="Y19" s="159">
        <f t="shared" si="9"/>
        <v>6.7599559190089318</v>
      </c>
      <c r="Z19" s="159">
        <f t="shared" si="10"/>
        <v>4.4933129192280159</v>
      </c>
      <c r="AA19" s="159">
        <f t="shared" si="11"/>
        <v>5.0686044549585336</v>
      </c>
      <c r="AB19" s="159">
        <f t="shared" si="12"/>
        <v>9.8228768506948327</v>
      </c>
      <c r="AC19" s="159">
        <f t="shared" si="13"/>
        <v>2.5343022274792668</v>
      </c>
      <c r="AD19" s="159">
        <f t="shared" si="14"/>
        <v>2.8524913571320361</v>
      </c>
      <c r="AE19" s="159">
        <f t="shared" si="15"/>
        <v>3.7130474495626467</v>
      </c>
      <c r="AF19" s="159">
        <f t="shared" si="16"/>
        <v>7.1019399630523639</v>
      </c>
      <c r="AG19" s="159">
        <f t="shared" si="17"/>
        <v>1.8565237247813233</v>
      </c>
      <c r="AH19" s="159">
        <f t="shared" si="18"/>
        <v>4.6143242541841767</v>
      </c>
      <c r="AI19" s="159">
        <f t="shared" si="19"/>
        <v>9.0370467026392465</v>
      </c>
      <c r="AJ19" s="159">
        <f t="shared" si="20"/>
        <v>4.0666710161876605</v>
      </c>
      <c r="AK19" s="159">
        <f t="shared" si="21"/>
        <v>2.0015380531136557</v>
      </c>
      <c r="AL19" s="159">
        <f t="shared" si="22"/>
        <v>6.8944515882085575</v>
      </c>
      <c r="AM19" s="159">
        <f t="shared" si="23"/>
        <v>7.4064491454239043</v>
      </c>
      <c r="AN19" s="159">
        <f t="shared" si="24"/>
        <v>6.9545968102919415</v>
      </c>
      <c r="AO19" s="159">
        <f t="shared" si="25"/>
        <v>3.6715380531136548</v>
      </c>
      <c r="AP19" s="159">
        <f t="shared" si="26"/>
        <v>1.9303085330001111</v>
      </c>
      <c r="AQ19" s="159">
        <f t="shared" si="27"/>
        <v>2.6521767496876052</v>
      </c>
      <c r="AR19" s="159">
        <f t="shared" si="28"/>
        <v>5.83478884931273</v>
      </c>
      <c r="AS19" s="159">
        <f t="shared" si="29"/>
        <v>1.3260883748438026</v>
      </c>
      <c r="AT19" s="159">
        <f t="shared" si="30"/>
        <v>11.314083366103539</v>
      </c>
      <c r="AU19" s="159">
        <f t="shared" si="31"/>
        <v>1.6815835143998517</v>
      </c>
      <c r="AV19" s="159">
        <f t="shared" si="32"/>
        <v>3.444030536301204</v>
      </c>
      <c r="AW19" s="159">
        <f t="shared" si="33"/>
        <v>0.84079175719992583</v>
      </c>
      <c r="AX19" s="159">
        <f t="shared" si="34"/>
        <v>1.8565237247813233</v>
      </c>
      <c r="AY19" s="159">
        <f t="shared" si="35"/>
        <v>3.9291507402779331</v>
      </c>
      <c r="AZ19" s="159">
        <f t="shared" si="36"/>
        <v>0.92826186239066166</v>
      </c>
      <c r="BA19" s="159">
        <f t="shared" si="37"/>
        <v>11.985257803075783</v>
      </c>
      <c r="BB19" s="159">
        <f t="shared" si="38"/>
        <v>3.2726202241781728</v>
      </c>
      <c r="BC19" s="159">
        <f t="shared" si="39"/>
        <v>6.7073270494947561</v>
      </c>
      <c r="BD19" s="159">
        <f t="shared" si="40"/>
        <v>1.6363101120890864</v>
      </c>
      <c r="BE19" s="159">
        <f t="shared" si="41"/>
        <v>2.8584571635521963</v>
      </c>
      <c r="BF19" s="159">
        <f t="shared" si="42"/>
        <v>3.4183611440418016</v>
      </c>
      <c r="BG19" s="159">
        <f t="shared" si="43"/>
        <v>10.559012124509765</v>
      </c>
      <c r="BH19" s="159">
        <f t="shared" si="44"/>
        <v>10.804904186934369</v>
      </c>
      <c r="BI19" s="159">
        <f t="shared" si="45"/>
        <v>3.1173971305412636</v>
      </c>
      <c r="BJ19" s="159">
        <f t="shared" si="46"/>
        <v>4.7640952725869941</v>
      </c>
      <c r="BK19" s="159">
        <f t="shared" si="47"/>
        <v>2.593239488583436</v>
      </c>
      <c r="BL19" s="159">
        <f t="shared" si="48"/>
        <v>4.566383222971873</v>
      </c>
      <c r="BM19" s="159">
        <f t="shared" si="49"/>
        <v>10.491085319888231</v>
      </c>
      <c r="BN19" s="159">
        <f t="shared" si="50"/>
        <v>0.67263340575994057</v>
      </c>
      <c r="BO19" s="159">
        <f t="shared" si="51"/>
        <v>1.7681178331250698</v>
      </c>
      <c r="BP19" s="159">
        <f t="shared" si="52"/>
        <v>0.66795562584724866</v>
      </c>
      <c r="BQ19" s="159">
        <f t="shared" si="53"/>
        <v>3.6555036299381136</v>
      </c>
      <c r="BR19" s="159">
        <f t="shared" si="54"/>
        <v>15.424741534755452</v>
      </c>
      <c r="BS19" s="159">
        <f t="shared" si="55"/>
        <v>1.7462598034152306</v>
      </c>
      <c r="BT19" s="159">
        <f t="shared" si="56"/>
        <v>2.7896970255973321</v>
      </c>
      <c r="BU19" s="159">
        <f t="shared" si="57"/>
        <v>2.396781951569539</v>
      </c>
      <c r="BV19" s="159">
        <f t="shared" si="58"/>
        <v>5.4532923003994815</v>
      </c>
      <c r="BW19" s="159">
        <f t="shared" si="59"/>
        <v>13.286825645807966</v>
      </c>
      <c r="BX19" s="159">
        <f t="shared" si="60"/>
        <v>1.5651661941721695</v>
      </c>
      <c r="BY19" s="159">
        <f t="shared" si="61"/>
        <v>2.7896970255973321</v>
      </c>
      <c r="BZ19" s="159">
        <f t="shared" si="62"/>
        <v>2.396781951569539</v>
      </c>
      <c r="CA19" s="159">
        <f t="shared" si="63"/>
        <v>7.5626976737408187</v>
      </c>
      <c r="CB19" s="159">
        <f t="shared" si="64"/>
        <v>10.727635733752823</v>
      </c>
      <c r="CC19" s="159">
        <f t="shared" si="65"/>
        <v>1.9144181548552157</v>
      </c>
      <c r="CD19" s="159">
        <f t="shared" si="66"/>
        <v>4.8660146680487681</v>
      </c>
      <c r="CE19" s="159">
        <f t="shared" si="67"/>
        <v>6.3110293154024824</v>
      </c>
      <c r="CF19" s="159">
        <f t="shared" si="68"/>
        <v>13.39910028626333</v>
      </c>
      <c r="CG19" s="159">
        <f t="shared" si="69"/>
        <v>6.3110293154024824</v>
      </c>
      <c r="CH19" s="159">
        <f t="shared" si="70"/>
        <v>7.1412556113162111</v>
      </c>
      <c r="CI19" s="159">
        <f t="shared" si="71"/>
        <v>15.708367932410745</v>
      </c>
      <c r="CJ19" s="159">
        <f t="shared" si="72"/>
        <v>7.1412556113162111</v>
      </c>
      <c r="CK19" s="159">
        <f t="shared" si="73"/>
        <v>2.9963144507689456</v>
      </c>
    </row>
    <row r="20" spans="1:89" x14ac:dyDescent="0.25">
      <c r="A20" t="str">
        <f>PLANTILLA!D22</f>
        <v>L. Calosso</v>
      </c>
      <c r="B20" s="487">
        <f>PLANTILLA!E22</f>
        <v>33</v>
      </c>
      <c r="C20" s="487">
        <f ca="1">PLANTILLA!F22</f>
        <v>78</v>
      </c>
      <c r="D20" s="487" t="str">
        <f>PLANTILLA!G22</f>
        <v>TEC</v>
      </c>
      <c r="E20" s="290">
        <v>41890</v>
      </c>
      <c r="F20" s="341">
        <f>PLANTILLA!Q22</f>
        <v>3</v>
      </c>
      <c r="G20" s="406">
        <f t="shared" si="78"/>
        <v>0.65465367070797709</v>
      </c>
      <c r="H20" s="406">
        <f t="shared" si="75"/>
        <v>0.75498344352707503</v>
      </c>
      <c r="I20" s="496">
        <v>1.5</v>
      </c>
      <c r="J20" s="497">
        <f>PLANTILLA!I22</f>
        <v>13.3</v>
      </c>
      <c r="K20" s="163">
        <f>PLANTILLA!X22</f>
        <v>0</v>
      </c>
      <c r="L20" s="163">
        <f>PLANTILLA!Y22</f>
        <v>2.95</v>
      </c>
      <c r="M20" s="163">
        <f>PLANTILLA!Z22</f>
        <v>13.95</v>
      </c>
      <c r="N20" s="163">
        <f>PLANTILLA!AA22</f>
        <v>3.04</v>
      </c>
      <c r="O20" s="163">
        <f>PLANTILLA!AB22</f>
        <v>15.02</v>
      </c>
      <c r="P20" s="163">
        <f>PLANTILLA!AC22</f>
        <v>9.9499999999999993</v>
      </c>
      <c r="Q20" s="163">
        <f>PLANTILLA!AD22</f>
        <v>11.25</v>
      </c>
      <c r="R20" s="163">
        <f t="shared" si="2"/>
        <v>4.4987500000000002</v>
      </c>
      <c r="S20" s="163">
        <f t="shared" si="3"/>
        <v>21.731116168716341</v>
      </c>
      <c r="T20" s="163">
        <f t="shared" si="4"/>
        <v>0.83499999999999996</v>
      </c>
      <c r="U20" s="163">
        <f t="shared" si="5"/>
        <v>0.45549999999999996</v>
      </c>
      <c r="V20" s="163">
        <f t="shared" ca="1" si="6"/>
        <v>9.0004856022931001</v>
      </c>
      <c r="W20" s="163">
        <f t="shared" ca="1" si="7"/>
        <v>10.379866359087847</v>
      </c>
      <c r="X20" s="159">
        <f t="shared" si="8"/>
        <v>3.4318633100856886</v>
      </c>
      <c r="Y20" s="159">
        <f t="shared" si="9"/>
        <v>5.1247732913180108</v>
      </c>
      <c r="Z20" s="159">
        <f t="shared" si="10"/>
        <v>3.4318633100856886</v>
      </c>
      <c r="AA20" s="159">
        <f t="shared" si="11"/>
        <v>3.0694099289853551</v>
      </c>
      <c r="AB20" s="159">
        <f t="shared" si="12"/>
        <v>5.9484688546227815</v>
      </c>
      <c r="AC20" s="159">
        <f t="shared" si="13"/>
        <v>1.5347049644926776</v>
      </c>
      <c r="AD20" s="159">
        <f t="shared" si="14"/>
        <v>4.0337355874002219</v>
      </c>
      <c r="AE20" s="159">
        <f t="shared" si="15"/>
        <v>2.2485212270474113</v>
      </c>
      <c r="AF20" s="159">
        <f t="shared" si="16"/>
        <v>4.3007429818922711</v>
      </c>
      <c r="AG20" s="159">
        <f t="shared" si="17"/>
        <v>1.1242606135237057</v>
      </c>
      <c r="AH20" s="159">
        <f t="shared" si="18"/>
        <v>6.5251605090297709</v>
      </c>
      <c r="AI20" s="159">
        <f t="shared" si="19"/>
        <v>5.4725913462529592</v>
      </c>
      <c r="AJ20" s="159">
        <f t="shared" si="20"/>
        <v>2.4626661058138315</v>
      </c>
      <c r="AK20" s="159">
        <f t="shared" si="21"/>
        <v>2.8303942987220045</v>
      </c>
      <c r="AL20" s="159">
        <f t="shared" si="22"/>
        <v>3.5506196865181954</v>
      </c>
      <c r="AM20" s="159">
        <f t="shared" si="23"/>
        <v>4.4851455163855771</v>
      </c>
      <c r="AN20" s="159">
        <f t="shared" si="24"/>
        <v>4.211515949072929</v>
      </c>
      <c r="AO20" s="159">
        <f t="shared" si="25"/>
        <v>2.3794942987220047</v>
      </c>
      <c r="AP20" s="159">
        <f t="shared" si="26"/>
        <v>2.1591990301313611</v>
      </c>
      <c r="AQ20" s="159">
        <f t="shared" si="27"/>
        <v>1.6060865907481512</v>
      </c>
      <c r="AR20" s="159">
        <f t="shared" si="28"/>
        <v>3.533390499645932</v>
      </c>
      <c r="AS20" s="159">
        <f t="shared" si="29"/>
        <v>0.80304329537407559</v>
      </c>
      <c r="AT20" s="159">
        <f t="shared" si="30"/>
        <v>15.999354598763905</v>
      </c>
      <c r="AU20" s="159">
        <f t="shared" si="31"/>
        <v>2.3424009511009616</v>
      </c>
      <c r="AV20" s="159">
        <f t="shared" si="32"/>
        <v>4.402301374404475</v>
      </c>
      <c r="AW20" s="159">
        <f t="shared" si="33"/>
        <v>1.1712004755504808</v>
      </c>
      <c r="AX20" s="159">
        <f t="shared" si="34"/>
        <v>1.1242606135237057</v>
      </c>
      <c r="AY20" s="159">
        <f t="shared" si="35"/>
        <v>2.3793875418491126</v>
      </c>
      <c r="AZ20" s="159">
        <f t="shared" si="36"/>
        <v>0.56213030676185283</v>
      </c>
      <c r="BA20" s="159">
        <f t="shared" si="37"/>
        <v>16.948468854622782</v>
      </c>
      <c r="BB20" s="159">
        <f t="shared" si="38"/>
        <v>4.5586726202195642</v>
      </c>
      <c r="BC20" s="159">
        <f t="shared" si="39"/>
        <v>8.8634763388971525</v>
      </c>
      <c r="BD20" s="159">
        <f t="shared" si="40"/>
        <v>2.2793363101097821</v>
      </c>
      <c r="BE20" s="159">
        <f t="shared" si="41"/>
        <v>1.7310044366952293</v>
      </c>
      <c r="BF20" s="159">
        <f t="shared" si="42"/>
        <v>2.070067161408728</v>
      </c>
      <c r="BG20" s="159">
        <f t="shared" si="43"/>
        <v>14.93160106092267</v>
      </c>
      <c r="BH20" s="159">
        <f t="shared" si="44"/>
        <v>9.1418988117596527</v>
      </c>
      <c r="BI20" s="159">
        <f t="shared" si="45"/>
        <v>4.3424509939640901</v>
      </c>
      <c r="BJ20" s="159">
        <f t="shared" si="46"/>
        <v>2.8850073944920491</v>
      </c>
      <c r="BK20" s="159">
        <f t="shared" si="47"/>
        <v>1.5703957776204145</v>
      </c>
      <c r="BL20" s="159">
        <f t="shared" si="48"/>
        <v>6.4573666336112803</v>
      </c>
      <c r="BM20" s="159">
        <f t="shared" si="49"/>
        <v>7.6856017789403115</v>
      </c>
      <c r="BN20" s="159">
        <f t="shared" si="50"/>
        <v>0.93696038044038465</v>
      </c>
      <c r="BO20" s="159">
        <f t="shared" si="51"/>
        <v>1.0707243938321007</v>
      </c>
      <c r="BP20" s="159">
        <f t="shared" si="52"/>
        <v>0.40449588211434917</v>
      </c>
      <c r="BQ20" s="159">
        <f t="shared" si="53"/>
        <v>5.1692830006599486</v>
      </c>
      <c r="BR20" s="159">
        <f t="shared" si="54"/>
        <v>11.191750947044897</v>
      </c>
      <c r="BS20" s="159">
        <f t="shared" si="55"/>
        <v>2.4324932953740759</v>
      </c>
      <c r="BT20" s="159">
        <f t="shared" si="56"/>
        <v>1.6893651547128699</v>
      </c>
      <c r="BU20" s="159">
        <f t="shared" si="57"/>
        <v>1.4514264005279587</v>
      </c>
      <c r="BV20" s="159">
        <f t="shared" si="58"/>
        <v>7.7115533288533662</v>
      </c>
      <c r="BW20" s="159">
        <f t="shared" si="59"/>
        <v>9.6137434909220421</v>
      </c>
      <c r="BX20" s="159">
        <f t="shared" si="60"/>
        <v>2.1802347314093566</v>
      </c>
      <c r="BY20" s="159">
        <f t="shared" si="61"/>
        <v>1.6893651547128699</v>
      </c>
      <c r="BZ20" s="159">
        <f t="shared" si="62"/>
        <v>1.4514264005279587</v>
      </c>
      <c r="CA20" s="159">
        <f t="shared" si="63"/>
        <v>10.694483847266975</v>
      </c>
      <c r="CB20" s="159">
        <f t="shared" si="64"/>
        <v>7.7165696248873896</v>
      </c>
      <c r="CC20" s="159">
        <f t="shared" si="65"/>
        <v>2.6667333904841715</v>
      </c>
      <c r="CD20" s="159">
        <f t="shared" si="66"/>
        <v>6.8810783549768502</v>
      </c>
      <c r="CE20" s="159">
        <f t="shared" si="67"/>
        <v>8.3882097816282908</v>
      </c>
      <c r="CF20" s="159">
        <f t="shared" si="68"/>
        <v>17.332985930305249</v>
      </c>
      <c r="CG20" s="159">
        <f t="shared" si="69"/>
        <v>8.3882097816282908</v>
      </c>
      <c r="CH20" s="159">
        <f t="shared" si="70"/>
        <v>7.1297260964299927</v>
      </c>
      <c r="CI20" s="159">
        <f t="shared" si="71"/>
        <v>19.597283861978585</v>
      </c>
      <c r="CJ20" s="159">
        <f t="shared" si="72"/>
        <v>7.1297260964299927</v>
      </c>
      <c r="CK20" s="159">
        <f t="shared" si="73"/>
        <v>4.2371172136556954</v>
      </c>
    </row>
    <row r="21" spans="1:89" x14ac:dyDescent="0.25">
      <c r="A21" t="str">
        <f>PLANTILLA!D23</f>
        <v>P .Trivadi</v>
      </c>
      <c r="B21" s="487">
        <f>PLANTILLA!E23</f>
        <v>30</v>
      </c>
      <c r="C21" s="487">
        <f ca="1">PLANTILLA!F23</f>
        <v>40</v>
      </c>
      <c r="D21" s="487"/>
      <c r="E21" s="290">
        <v>41973</v>
      </c>
      <c r="F21" s="341">
        <f>PLANTILLA!Q23</f>
        <v>5</v>
      </c>
      <c r="G21" s="406">
        <f t="shared" si="78"/>
        <v>0.84515425472851657</v>
      </c>
      <c r="H21" s="406">
        <f t="shared" si="75"/>
        <v>0.92504826128926143</v>
      </c>
      <c r="I21" s="496">
        <v>1.5</v>
      </c>
      <c r="J21" s="497">
        <f>PLANTILLA!I23</f>
        <v>6.1</v>
      </c>
      <c r="K21" s="163">
        <f>PLANTILLA!X23</f>
        <v>0</v>
      </c>
      <c r="L21" s="163">
        <f>PLANTILLA!Y23</f>
        <v>4.0199999999999996</v>
      </c>
      <c r="M21" s="163">
        <f>PLANTILLA!Z23</f>
        <v>6</v>
      </c>
      <c r="N21" s="163">
        <f>PLANTILLA!AA23</f>
        <v>5.5099999999999989</v>
      </c>
      <c r="O21" s="163">
        <f>PLANTILLA!AB23</f>
        <v>11</v>
      </c>
      <c r="P21" s="163">
        <f>PLANTILLA!AC23</f>
        <v>8.384500000000001</v>
      </c>
      <c r="Q21" s="163">
        <f>PLANTILLA!AD23</f>
        <v>13.566666666666668</v>
      </c>
      <c r="R21" s="163">
        <f t="shared" si="2"/>
        <v>3.6274999999999999</v>
      </c>
      <c r="S21" s="163">
        <f t="shared" si="3"/>
        <v>19.409041913831729</v>
      </c>
      <c r="T21" s="163">
        <f t="shared" si="4"/>
        <v>0.82622500000000021</v>
      </c>
      <c r="U21" s="163">
        <f t="shared" si="5"/>
        <v>0.56779999999999997</v>
      </c>
      <c r="V21" s="163">
        <f t="shared" ca="1" si="6"/>
        <v>13.196046779111517</v>
      </c>
      <c r="W21" s="163">
        <f t="shared" ca="1" si="7"/>
        <v>14.4434936706673</v>
      </c>
      <c r="X21" s="159">
        <f t="shared" si="8"/>
        <v>3.3331439279525328</v>
      </c>
      <c r="Y21" s="159">
        <f t="shared" si="9"/>
        <v>4.9968144226651994</v>
      </c>
      <c r="Z21" s="159">
        <f t="shared" si="10"/>
        <v>3.3331439279525328</v>
      </c>
      <c r="AA21" s="159">
        <f t="shared" si="11"/>
        <v>3.3886269264874072</v>
      </c>
      <c r="AB21" s="159">
        <f t="shared" si="12"/>
        <v>6.5671064466810218</v>
      </c>
      <c r="AC21" s="159">
        <f t="shared" si="13"/>
        <v>1.6943134632437036</v>
      </c>
      <c r="AD21" s="159">
        <f t="shared" si="14"/>
        <v>2.0342113343100832</v>
      </c>
      <c r="AE21" s="159">
        <f t="shared" si="15"/>
        <v>2.4823662368454262</v>
      </c>
      <c r="AF21" s="159">
        <f t="shared" si="16"/>
        <v>4.7480179609503788</v>
      </c>
      <c r="AG21" s="159">
        <f t="shared" si="17"/>
        <v>1.2411831184227131</v>
      </c>
      <c r="AH21" s="159">
        <f t="shared" si="18"/>
        <v>3.2906359819721938</v>
      </c>
      <c r="AI21" s="159">
        <f t="shared" si="19"/>
        <v>6.0417379309465407</v>
      </c>
      <c r="AJ21" s="159">
        <f t="shared" si="20"/>
        <v>2.7187820689259428</v>
      </c>
      <c r="AK21" s="159">
        <f t="shared" si="21"/>
        <v>1.4273667765957307</v>
      </c>
      <c r="AL21" s="159">
        <f t="shared" si="22"/>
        <v>4.7375785906484404</v>
      </c>
      <c r="AM21" s="159">
        <f t="shared" si="23"/>
        <v>4.9515982607974909</v>
      </c>
      <c r="AN21" s="159">
        <f t="shared" si="24"/>
        <v>4.6495113642501629</v>
      </c>
      <c r="AO21" s="159">
        <f t="shared" si="25"/>
        <v>2.6910001099290644</v>
      </c>
      <c r="AP21" s="159">
        <f t="shared" si="26"/>
        <v>1.7782866566441342</v>
      </c>
      <c r="AQ21" s="159">
        <f t="shared" si="27"/>
        <v>1.773118740603876</v>
      </c>
      <c r="AR21" s="159">
        <f t="shared" si="28"/>
        <v>3.9008612293285267</v>
      </c>
      <c r="AS21" s="159">
        <f t="shared" si="29"/>
        <v>0.88655937030193799</v>
      </c>
      <c r="AT21" s="159">
        <f t="shared" si="30"/>
        <v>8.0684684856668838</v>
      </c>
      <c r="AU21" s="159">
        <f t="shared" si="31"/>
        <v>1.761123838068533</v>
      </c>
      <c r="AV21" s="159">
        <f t="shared" si="32"/>
        <v>3.5168206888775395</v>
      </c>
      <c r="AW21" s="159">
        <f t="shared" si="33"/>
        <v>0.8805619190342665</v>
      </c>
      <c r="AX21" s="159">
        <f t="shared" si="34"/>
        <v>1.2411831184227131</v>
      </c>
      <c r="AY21" s="159">
        <f t="shared" si="35"/>
        <v>2.626842578672409</v>
      </c>
      <c r="AZ21" s="159">
        <f t="shared" si="36"/>
        <v>0.62059155921135656</v>
      </c>
      <c r="BA21" s="159">
        <f t="shared" si="37"/>
        <v>8.5471064466810223</v>
      </c>
      <c r="BB21" s="159">
        <f t="shared" si="38"/>
        <v>3.4274179310102988</v>
      </c>
      <c r="BC21" s="159">
        <f t="shared" si="39"/>
        <v>6.9152006521212437</v>
      </c>
      <c r="BD21" s="159">
        <f t="shared" si="40"/>
        <v>1.7137089655051494</v>
      </c>
      <c r="BE21" s="159">
        <f t="shared" si="41"/>
        <v>1.9110279759841773</v>
      </c>
      <c r="BF21" s="159">
        <f t="shared" si="42"/>
        <v>2.2853530434449953</v>
      </c>
      <c r="BG21" s="159">
        <f t="shared" si="43"/>
        <v>7.5300007795259809</v>
      </c>
      <c r="BH21" s="159">
        <f t="shared" si="44"/>
        <v>8.8921176310994277</v>
      </c>
      <c r="BI21" s="159">
        <f t="shared" si="45"/>
        <v>3.2648526536501263</v>
      </c>
      <c r="BJ21" s="159">
        <f t="shared" si="46"/>
        <v>3.1850466266402955</v>
      </c>
      <c r="BK21" s="159">
        <f t="shared" si="47"/>
        <v>1.7337161019237899</v>
      </c>
      <c r="BL21" s="159">
        <f t="shared" si="48"/>
        <v>3.2564475561854693</v>
      </c>
      <c r="BM21" s="159">
        <f t="shared" si="49"/>
        <v>8.1454010343992138</v>
      </c>
      <c r="BN21" s="159">
        <f t="shared" si="50"/>
        <v>0.70444953522741316</v>
      </c>
      <c r="BO21" s="159">
        <f t="shared" si="51"/>
        <v>1.182079160402584</v>
      </c>
      <c r="BP21" s="159">
        <f t="shared" si="52"/>
        <v>0.4465632383743095</v>
      </c>
      <c r="BQ21" s="159">
        <f t="shared" si="53"/>
        <v>2.6068674662377118</v>
      </c>
      <c r="BR21" s="159">
        <f t="shared" si="54"/>
        <v>11.931578890431794</v>
      </c>
      <c r="BS21" s="159">
        <f t="shared" si="55"/>
        <v>1.8288593703019382</v>
      </c>
      <c r="BT21" s="159">
        <f t="shared" si="56"/>
        <v>1.86505823085741</v>
      </c>
      <c r="BU21" s="159">
        <f t="shared" si="57"/>
        <v>1.6023739729901694</v>
      </c>
      <c r="BV21" s="159">
        <f t="shared" si="58"/>
        <v>3.8889334332398651</v>
      </c>
      <c r="BW21" s="159">
        <f t="shared" si="59"/>
        <v>10.266833942922572</v>
      </c>
      <c r="BX21" s="159">
        <f t="shared" si="60"/>
        <v>1.6391998800484036</v>
      </c>
      <c r="BY21" s="159">
        <f t="shared" si="61"/>
        <v>1.86505823085741</v>
      </c>
      <c r="BZ21" s="159">
        <f t="shared" si="62"/>
        <v>1.6023739729901694</v>
      </c>
      <c r="CA21" s="159">
        <f t="shared" si="63"/>
        <v>5.3932241678557249</v>
      </c>
      <c r="CB21" s="159">
        <f t="shared" si="64"/>
        <v>8.2706802697795148</v>
      </c>
      <c r="CC21" s="159">
        <f t="shared" si="65"/>
        <v>2.0049717541087912</v>
      </c>
      <c r="CD21" s="159">
        <f t="shared" si="66"/>
        <v>3.4701252173524955</v>
      </c>
      <c r="CE21" s="159">
        <f t="shared" si="67"/>
        <v>5.9353139587208128</v>
      </c>
      <c r="CF21" s="159">
        <f t="shared" si="68"/>
        <v>13.729205358962831</v>
      </c>
      <c r="CG21" s="159">
        <f t="shared" si="69"/>
        <v>5.9353139587208128</v>
      </c>
      <c r="CH21" s="159">
        <f t="shared" si="70"/>
        <v>6.4165273162822771</v>
      </c>
      <c r="CI21" s="159">
        <f t="shared" si="71"/>
        <v>15.93048872550632</v>
      </c>
      <c r="CJ21" s="159">
        <f t="shared" si="72"/>
        <v>6.4165273162822771</v>
      </c>
      <c r="CK21" s="159">
        <f t="shared" si="73"/>
        <v>2.1367766116702556</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487"/>
      <c r="L25">
        <f>L15*G15</f>
        <v>8.9163773873858467</v>
      </c>
      <c r="M25">
        <f>L15*H15</f>
        <v>9.7592591566017042</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487"/>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487"/>
      <c r="L27">
        <f>L14*G14</f>
        <v>7.9875643452376774</v>
      </c>
      <c r="M27">
        <f>L14*H14</f>
        <v>8.621390813392507</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487"/>
    </row>
    <row r="29" spans="1:89" x14ac:dyDescent="0.25">
      <c r="D29" s="487"/>
      <c r="L29" s="47">
        <f>(M25-L27)/M25</f>
        <v>0.18153988770403276</v>
      </c>
      <c r="M29" s="47">
        <f>(L25-M27)/M27</f>
        <v>3.4215659674667137E-2</v>
      </c>
    </row>
    <row r="30" spans="1:89" x14ac:dyDescent="0.25">
      <c r="D30" s="487"/>
    </row>
    <row r="31" spans="1:89" ht="18.75" x14ac:dyDescent="0.3">
      <c r="A31" s="438" t="s">
        <v>605</v>
      </c>
      <c r="B31" s="438" t="s">
        <v>176</v>
      </c>
      <c r="C31" s="438"/>
      <c r="D31" s="439"/>
      <c r="L31" s="47"/>
      <c r="M31" s="47"/>
    </row>
    <row r="32" spans="1:89" x14ac:dyDescent="0.25">
      <c r="A32" s="256" t="s">
        <v>610</v>
      </c>
      <c r="B32" s="440">
        <v>1</v>
      </c>
      <c r="C32" s="498">
        <v>0.624</v>
      </c>
      <c r="D32" s="499">
        <v>0.245</v>
      </c>
    </row>
    <row r="33" spans="1:4" x14ac:dyDescent="0.25">
      <c r="A33" s="256" t="s">
        <v>611</v>
      </c>
      <c r="B33" s="440">
        <v>1</v>
      </c>
      <c r="C33" s="498">
        <v>1.002</v>
      </c>
      <c r="D33" s="499">
        <v>0.34</v>
      </c>
    </row>
    <row r="34" spans="1:4" x14ac:dyDescent="0.25">
      <c r="A34" s="256" t="s">
        <v>612</v>
      </c>
      <c r="B34" s="440">
        <v>1</v>
      </c>
      <c r="C34" s="498">
        <v>0.46800000000000003</v>
      </c>
      <c r="D34" s="499">
        <v>0.125</v>
      </c>
    </row>
    <row r="35" spans="1:4" x14ac:dyDescent="0.25">
      <c r="A35" s="256" t="s">
        <v>613</v>
      </c>
      <c r="B35" s="440">
        <v>1</v>
      </c>
      <c r="C35" s="498">
        <v>0.877</v>
      </c>
      <c r="D35" s="499">
        <v>0.25</v>
      </c>
    </row>
    <row r="36" spans="1:4" x14ac:dyDescent="0.25">
      <c r="A36" s="256" t="s">
        <v>614</v>
      </c>
      <c r="B36" s="440">
        <v>1</v>
      </c>
      <c r="C36" s="498">
        <v>0.59299999999999997</v>
      </c>
      <c r="D36" s="499">
        <v>0.19</v>
      </c>
    </row>
  </sheetData>
  <conditionalFormatting sqref="V3:W27">
    <cfRule type="cellIs" dxfId="363" priority="27" operator="greaterThan">
      <formula>15</formula>
    </cfRule>
  </conditionalFormatting>
  <conditionalFormatting sqref="R22:S27 R3:R21">
    <cfRule type="cellIs" dxfId="362" priority="26" operator="greaterThan">
      <formula>3.2</formula>
    </cfRule>
  </conditionalFormatting>
  <conditionalFormatting sqref="T3:U27">
    <cfRule type="cellIs" dxfId="361" priority="25" operator="greaterThan">
      <formula>0.6</formula>
    </cfRule>
  </conditionalFormatting>
  <conditionalFormatting sqref="AI22:AJ27 X22:AC27 AC3:AH9 BM3:BS27 BH3:BK27 BB3:BE27 AP3:AS27 AC10:AC21 X3:AA21 AJ3:AJ21 BT3:BX21 BY3:CK27 AD10:AH27 AU3:AZ27 AL3:AN27">
    <cfRule type="cellIs" dxfId="360" priority="24" operator="greaterThan">
      <formula>12.5</formula>
    </cfRule>
  </conditionalFormatting>
  <conditionalFormatting sqref="BL22:BL27 BG22:BG27 AT22:AT27">
    <cfRule type="cellIs" dxfId="359" priority="23" operator="greaterThan">
      <formula>12.5</formula>
    </cfRule>
  </conditionalFormatting>
  <conditionalFormatting sqref="J3:J21">
    <cfRule type="cellIs" dxfId="358" priority="21" operator="greaterThan">
      <formula>7</formula>
    </cfRule>
  </conditionalFormatting>
  <conditionalFormatting sqref="BA22:BA27">
    <cfRule type="cellIs" dxfId="357" priority="13" operator="greaterThan">
      <formula>12.5</formula>
    </cfRule>
  </conditionalFormatting>
  <conditionalFormatting sqref="AB3:AB21 AI3:AI21 AT3:AT21 BA3:BA21 BL3:BL21 BG3:BG21">
    <cfRule type="cellIs" dxfId="356" priority="9" operator="greaterThan">
      <formula>12</formula>
    </cfRule>
  </conditionalFormatting>
  <conditionalFormatting sqref="BT22:BU27">
    <cfRule type="cellIs" dxfId="355" priority="4" operator="greaterThan">
      <formula>12.5</formula>
    </cfRule>
  </conditionalFormatting>
  <conditionalFormatting sqref="BV22:BV27">
    <cfRule type="cellIs" dxfId="354" priority="3" operator="greaterThan">
      <formula>12.5</formula>
    </cfRule>
  </conditionalFormatting>
  <conditionalFormatting sqref="BW22:BX27">
    <cfRule type="cellIs" dxfId="35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90"/>
      <c r="B1" s="290"/>
      <c r="E1" s="632"/>
      <c r="V1" t="s">
        <v>682</v>
      </c>
      <c r="Y1" t="s">
        <v>683</v>
      </c>
      <c r="AC1" t="s">
        <v>684</v>
      </c>
      <c r="AG1" s="4" t="s">
        <v>685</v>
      </c>
      <c r="AK1" t="s">
        <v>686</v>
      </c>
      <c r="AO1" t="s">
        <v>681</v>
      </c>
      <c r="AV1" t="s">
        <v>687</v>
      </c>
      <c r="BC1" t="s">
        <v>503</v>
      </c>
      <c r="BH1" t="s">
        <v>688</v>
      </c>
      <c r="BM1" t="s">
        <v>631</v>
      </c>
      <c r="BR1" t="s">
        <v>805</v>
      </c>
      <c r="BW1" t="s">
        <v>625</v>
      </c>
      <c r="CB1" t="s">
        <v>602</v>
      </c>
      <c r="CF1" t="s">
        <v>66</v>
      </c>
    </row>
    <row r="2" spans="1:87" x14ac:dyDescent="0.25">
      <c r="A2" s="488" t="s">
        <v>179</v>
      </c>
      <c r="B2" s="488" t="s">
        <v>852</v>
      </c>
      <c r="C2" s="488" t="s">
        <v>689</v>
      </c>
      <c r="D2" s="488" t="s">
        <v>62</v>
      </c>
      <c r="E2" s="489" t="s">
        <v>690</v>
      </c>
      <c r="F2" s="488" t="s">
        <v>691</v>
      </c>
      <c r="G2" s="491" t="s">
        <v>695</v>
      </c>
      <c r="H2" s="492" t="s">
        <v>696</v>
      </c>
      <c r="I2" s="492" t="s">
        <v>854</v>
      </c>
      <c r="J2" s="492" t="s">
        <v>1</v>
      </c>
      <c r="K2" s="492" t="s">
        <v>2</v>
      </c>
      <c r="L2" s="492" t="s">
        <v>697</v>
      </c>
      <c r="M2" s="492" t="s">
        <v>65</v>
      </c>
      <c r="N2" s="492" t="s">
        <v>578</v>
      </c>
      <c r="O2" s="492" t="s">
        <v>698</v>
      </c>
      <c r="P2" s="492" t="s">
        <v>0</v>
      </c>
      <c r="Q2" s="493" t="s">
        <v>565</v>
      </c>
      <c r="R2" s="493" t="s">
        <v>827</v>
      </c>
      <c r="S2" s="493" t="s">
        <v>699</v>
      </c>
      <c r="T2" s="493" t="s">
        <v>700</v>
      </c>
      <c r="U2" s="493" t="s">
        <v>588</v>
      </c>
      <c r="V2" s="494" t="s">
        <v>701</v>
      </c>
      <c r="W2" s="494" t="s">
        <v>702</v>
      </c>
      <c r="X2" s="494" t="s">
        <v>701</v>
      </c>
      <c r="Y2" s="495" t="s">
        <v>701</v>
      </c>
      <c r="Z2" s="495" t="s">
        <v>702</v>
      </c>
      <c r="AA2" s="495" t="s">
        <v>701</v>
      </c>
      <c r="AB2" s="495" t="s">
        <v>64</v>
      </c>
      <c r="AC2" s="495" t="s">
        <v>701</v>
      </c>
      <c r="AD2" s="495" t="s">
        <v>702</v>
      </c>
      <c r="AE2" s="495" t="s">
        <v>701</v>
      </c>
      <c r="AF2" s="495" t="s">
        <v>64</v>
      </c>
      <c r="AG2" s="494" t="s">
        <v>701</v>
      </c>
      <c r="AH2" s="494" t="s">
        <v>702</v>
      </c>
      <c r="AI2" s="494" t="s">
        <v>64</v>
      </c>
      <c r="AJ2" s="494" t="s">
        <v>703</v>
      </c>
      <c r="AK2" s="494" t="s">
        <v>701</v>
      </c>
      <c r="AL2" s="494" t="s">
        <v>702</v>
      </c>
      <c r="AM2" s="494" t="s">
        <v>64</v>
      </c>
      <c r="AN2" s="494" t="s">
        <v>703</v>
      </c>
      <c r="AO2" s="494" t="s">
        <v>701</v>
      </c>
      <c r="AP2" s="494" t="s">
        <v>702</v>
      </c>
      <c r="AQ2" s="494" t="s">
        <v>701</v>
      </c>
      <c r="AR2" s="494" t="s">
        <v>64</v>
      </c>
      <c r="AS2" s="494" t="s">
        <v>703</v>
      </c>
      <c r="AT2" s="494" t="s">
        <v>704</v>
      </c>
      <c r="AU2" s="494" t="s">
        <v>703</v>
      </c>
      <c r="AV2" s="494" t="s">
        <v>701</v>
      </c>
      <c r="AW2" s="494" t="s">
        <v>702</v>
      </c>
      <c r="AX2" s="494" t="s">
        <v>701</v>
      </c>
      <c r="AY2" s="494" t="s">
        <v>64</v>
      </c>
      <c r="AZ2" s="494" t="s">
        <v>703</v>
      </c>
      <c r="BA2" s="494" t="s">
        <v>704</v>
      </c>
      <c r="BB2" s="494" t="s">
        <v>703</v>
      </c>
      <c r="BC2" s="495" t="s">
        <v>701</v>
      </c>
      <c r="BD2" s="495" t="s">
        <v>702</v>
      </c>
      <c r="BE2" s="495" t="s">
        <v>64</v>
      </c>
      <c r="BF2" s="495" t="s">
        <v>703</v>
      </c>
      <c r="BG2" s="495" t="s">
        <v>704</v>
      </c>
      <c r="BH2" s="495" t="s">
        <v>701</v>
      </c>
      <c r="BI2" s="495" t="s">
        <v>702</v>
      </c>
      <c r="BJ2" s="495" t="s">
        <v>64</v>
      </c>
      <c r="BK2" s="495" t="s">
        <v>703</v>
      </c>
      <c r="BL2" s="495" t="s">
        <v>704</v>
      </c>
      <c r="BM2" s="494" t="s">
        <v>701</v>
      </c>
      <c r="BN2" s="494" t="s">
        <v>702</v>
      </c>
      <c r="BO2" s="494" t="s">
        <v>64</v>
      </c>
      <c r="BP2" s="494" t="s">
        <v>703</v>
      </c>
      <c r="BQ2" s="494" t="s">
        <v>704</v>
      </c>
      <c r="BR2" s="494" t="s">
        <v>701</v>
      </c>
      <c r="BS2" s="494" t="s">
        <v>702</v>
      </c>
      <c r="BT2" s="494" t="s">
        <v>64</v>
      </c>
      <c r="BU2" s="494" t="s">
        <v>703</v>
      </c>
      <c r="BV2" s="494" t="s">
        <v>704</v>
      </c>
      <c r="BW2" s="494" t="s">
        <v>701</v>
      </c>
      <c r="BX2" s="494" t="s">
        <v>702</v>
      </c>
      <c r="BY2" s="494" t="s">
        <v>64</v>
      </c>
      <c r="BZ2" s="494" t="s">
        <v>703</v>
      </c>
      <c r="CA2" s="494" t="s">
        <v>704</v>
      </c>
      <c r="CB2" s="495" t="s">
        <v>64</v>
      </c>
      <c r="CC2" s="495" t="s">
        <v>703</v>
      </c>
      <c r="CD2" s="495" t="s">
        <v>704</v>
      </c>
      <c r="CE2" s="495" t="s">
        <v>703</v>
      </c>
      <c r="CF2" s="494" t="s">
        <v>703</v>
      </c>
      <c r="CG2" s="494" t="s">
        <v>704</v>
      </c>
      <c r="CH2" s="494" t="s">
        <v>703</v>
      </c>
      <c r="CI2" s="494" t="s">
        <v>64</v>
      </c>
    </row>
    <row r="3" spans="1:87" x14ac:dyDescent="0.25">
      <c r="A3" t="str">
        <f>PLANTILLA!D5</f>
        <v>D. Gehmacher</v>
      </c>
      <c r="C3" s="632">
        <f>PLANTILLA!E5</f>
        <v>33</v>
      </c>
      <c r="D3" s="341">
        <f ca="1">PLANTILLA!F5</f>
        <v>37</v>
      </c>
      <c r="E3" s="632"/>
      <c r="F3" s="290">
        <v>42468</v>
      </c>
      <c r="G3" s="496">
        <v>1</v>
      </c>
      <c r="H3" s="497">
        <f>PLANTILLA!I5</f>
        <v>21.6</v>
      </c>
      <c r="I3" s="497"/>
      <c r="J3" s="163">
        <f>PLANTILLA!X5</f>
        <v>16.666666666666668</v>
      </c>
      <c r="K3" s="163">
        <f>PLANTILLA!Y5</f>
        <v>12.080559440559444</v>
      </c>
      <c r="L3" s="163">
        <f>PLANTILLA!Z5</f>
        <v>2.0699999999999985</v>
      </c>
      <c r="M3" s="163">
        <f>PLANTILLA!AA5</f>
        <v>2.149999999999999</v>
      </c>
      <c r="N3" s="163">
        <f>PLANTILLA!AB5</f>
        <v>1.0400000000000003</v>
      </c>
      <c r="O3" s="163">
        <f>PLANTILLA!AC5</f>
        <v>0.14055555555555557</v>
      </c>
      <c r="P3" s="163">
        <f>PLANTILLA!AD5</f>
        <v>18.2</v>
      </c>
      <c r="Q3" s="163">
        <f>((2*(N3+1))+(K3+1))/8</f>
        <v>2.1450699300699307</v>
      </c>
      <c r="R3" s="163">
        <f>1.66*(O3+(LOG(H3)*4/3)+G3)+0.55*(P3+(LOG(H3)*4/3)+G3)-7.6</f>
        <v>8.7855126089469646</v>
      </c>
      <c r="S3" s="163">
        <f>(0.5*O3+ 0.3*P3)/10</f>
        <v>0.55302777777777778</v>
      </c>
      <c r="T3" s="163">
        <f>(0.4*K3+0.3*P3)/10</f>
        <v>1.0292223776223779</v>
      </c>
      <c r="U3" s="163">
        <f t="shared" ref="U3:U22" ca="1" si="0">IF(TODAY()-F3&gt;335,(P3+1+(LOG(H3)*4/3)),(P3+((TODAY()-F3)^0.5)/(336^0.5)+(LOG(H3)*4/3)))</f>
        <v>20.979271668201239</v>
      </c>
      <c r="V3" s="159">
        <f t="shared" ref="V3:V22" si="1">((J3+G3+(LOG(H3)*4/3))*0.597)+((K3+G3+(LOG(H3)*4/3))*0.276)</f>
        <v>15.710538571934089</v>
      </c>
      <c r="W3" s="159">
        <f t="shared" ref="W3:W22" si="2">((J3+G3+(LOG(H3)*4/3))*0.866)+((K3+G3+(LOG(H3)*4/3))*0.425)</f>
        <v>23.1556108192189</v>
      </c>
      <c r="X3" s="159">
        <f>V3</f>
        <v>15.710538571934089</v>
      </c>
      <c r="Y3" s="159">
        <f t="shared" ref="Y3:Y22" si="3">((K3+G3+(LOG(H3)*4/3))*0.516)</f>
        <v>7.6676728521205142</v>
      </c>
      <c r="Z3" s="159">
        <f t="shared" ref="Z3:Z22" si="4">(K3+G3+(LOG(H3)*4/3))*1</f>
        <v>14.859831108760686</v>
      </c>
      <c r="AA3" s="159">
        <f>Y3/2</f>
        <v>3.8338364260602571</v>
      </c>
      <c r="AB3" s="159">
        <f t="shared" ref="AB3:AB22" si="5">(L3+G3+(LOG(H3)*4/3))*0.238</f>
        <v>1.1541266570318951</v>
      </c>
      <c r="AC3" s="159">
        <f t="shared" ref="AC3:AC22" si="6">((K3+G3+(LOG(H3)*4/3))*0.378)</f>
        <v>5.6170161591115395</v>
      </c>
      <c r="AD3" s="159">
        <f t="shared" ref="AD3:AD22" si="7">(K3+G3+(LOG(H3)*4/3))*0.723</f>
        <v>10.743657891633974</v>
      </c>
      <c r="AE3" s="159">
        <f>AC3/2</f>
        <v>2.8085080795557698</v>
      </c>
      <c r="AF3" s="159">
        <f t="shared" ref="AF3:AF22" si="8">(L3+G3+(LOG(H3)*4/3))*0.385</f>
        <v>1.8669695922574774</v>
      </c>
      <c r="AG3" s="357">
        <f t="shared" ref="AG3:AG22" si="9">((K3+G3+(LOG(H3)*4/3))*0.92)</f>
        <v>13.671044620059831</v>
      </c>
      <c r="AH3" s="159">
        <f t="shared" ref="AH3:AH22" si="10">(K3+G3+(LOG(H3)*4/3))*0.414</f>
        <v>6.1519700790269232</v>
      </c>
      <c r="AI3" s="159">
        <f t="shared" ref="AI3:AI22" si="11">((L3+G3+(LOG(H3)*4/3))*0.167)</f>
        <v>0.80982836858960716</v>
      </c>
      <c r="AJ3" s="357">
        <f t="shared" ref="AJ3:AJ22" si="12">(M3+G3+(LOG(H3)*4/3))*0.588</f>
        <v>2.8984117409023291</v>
      </c>
      <c r="AK3" s="159">
        <f t="shared" ref="AK3:AK22" si="13">((K3+G3+(LOG(H3)*4/3))*0.754)</f>
        <v>11.204312656005557</v>
      </c>
      <c r="AL3" s="159">
        <f t="shared" ref="AL3:AL22" si="14">((K3+G3+(LOG(H3)*4/3))*0.708)</f>
        <v>10.520760425002566</v>
      </c>
      <c r="AM3" s="159">
        <f t="shared" ref="AM3:AM22" si="15">((P3+G3+(LOG(H3)*4/3))*0.167)</f>
        <v>3.5035383685896071</v>
      </c>
      <c r="AN3" s="159">
        <f t="shared" ref="AN3:AN22" si="16">((Q3+G3+(LOG(H3)*4/3))*0.288)</f>
        <v>1.4182103803020976</v>
      </c>
      <c r="AO3" s="159">
        <f t="shared" ref="AO3:AO22" si="17">((K3+G3+(LOG(H3)*4/3))*0.27)</f>
        <v>4.012154399365385</v>
      </c>
      <c r="AP3" s="159">
        <f t="shared" ref="AP3:AP22" si="18">((K3+G3+(LOG(H3)*4/3))*0.594)</f>
        <v>8.8267396786038468</v>
      </c>
      <c r="AQ3" s="159">
        <f>AO3/2</f>
        <v>2.0060771996826925</v>
      </c>
      <c r="AR3" s="159">
        <f t="shared" ref="AR3:AR22" si="19">((L3+G3+(LOG(H3)*4/3))*0.944)</f>
        <v>4.5777124547819703</v>
      </c>
      <c r="AS3" s="159">
        <f t="shared" ref="AS3:AS22" si="20">((N3+G3+(LOG(H3)*4/3))*0.13)</f>
        <v>0.49650531686616139</v>
      </c>
      <c r="AT3" s="159">
        <f t="shared" ref="AT3:AT22" si="21">((O3+G3+(LOG(H3)*4/3))*0.173)+((N3+G3+(LOG(H3)*4/3))*0.12)</f>
        <v>0.96344270989407477</v>
      </c>
      <c r="AU3" s="159">
        <f>AS3/2</f>
        <v>0.2482526584330807</v>
      </c>
      <c r="AV3" s="159">
        <f t="shared" ref="AV3:AV22" si="22">((K3+G3+(LOG(H3)*4/3))*0.189)</f>
        <v>2.8085080795557698</v>
      </c>
      <c r="AW3" s="159">
        <f t="shared" ref="AW3:AW22" si="23">((K3+G3+(LOG(H3)*4/3))*0.4)</f>
        <v>5.9439324435042744</v>
      </c>
      <c r="AX3" s="159">
        <f>AV3/2</f>
        <v>1.4042540397778849</v>
      </c>
      <c r="AY3" s="159">
        <f t="shared" ref="AY3:AY22" si="24">((L3+G3+(LOG(H3)*4/3))*1)</f>
        <v>4.84927166820124</v>
      </c>
      <c r="AZ3" s="159">
        <f t="shared" ref="AZ3:AZ22" si="25">((N3+G3+(LOG(H3)*4/3))*0.253)</f>
        <v>0.96627573205491413</v>
      </c>
      <c r="BA3" s="159">
        <f t="shared" ref="BA3:BA22" si="26">((O3+G3+(LOG(H3)*4/3))*0.21)+((N3+G3+(LOG(H3)*4/3))*0.341)</f>
        <v>1.915535355845551</v>
      </c>
      <c r="BB3" s="159">
        <f>AZ3/2</f>
        <v>0.48313786602745706</v>
      </c>
      <c r="BC3" s="159">
        <f t="shared" ref="BC3:BC22" si="27">((K3+G3+(LOG(H3)*4/3))*0.291)</f>
        <v>4.324210852649359</v>
      </c>
      <c r="BD3" s="159">
        <f t="shared" ref="BD3:BD22" si="28">((K3+G3+(LOG(H3)*4/3))*0.348)</f>
        <v>5.1712212258487185</v>
      </c>
      <c r="BE3" s="159">
        <f t="shared" ref="BE3:BE22" si="29">((L3+G3+(LOG(H3)*4/3))*0.881)</f>
        <v>4.2722083396852923</v>
      </c>
      <c r="BF3" s="159">
        <f t="shared" ref="BF3:BF22" si="30">((M3+G3+(LOG(H3)*4/3))*0.574)+((N3+G3+(LOG(H3)*4/3))*0.315)</f>
        <v>4.0324725130309025</v>
      </c>
      <c r="BG3" s="159">
        <f t="shared" ref="BG3:BG22" si="31">((N3+G3+(LOG(H3)*4/3))*0.241)</f>
        <v>0.92044447203649915</v>
      </c>
      <c r="BH3" s="159">
        <f t="shared" ref="BH3:BH22" si="32">((K3+G3+(LOG(H3)*4/3))*0.485)</f>
        <v>7.2070180877489323</v>
      </c>
      <c r="BI3" s="159">
        <f t="shared" ref="BI3:BI22" si="33">((K3+G3+(LOG(H3)*4/3))*0.264)</f>
        <v>3.922995412712821</v>
      </c>
      <c r="BJ3" s="159">
        <f t="shared" ref="BJ3:BJ22" si="34">((L3+G3+(LOG(H3)*4/3))*0.381)</f>
        <v>1.8475725055846726</v>
      </c>
      <c r="BK3" s="159">
        <f t="shared" ref="BK3:BK22" si="35">((M3+G3+(LOG(H3)*4/3))*0.673)+((N3+G3+(LOG(H3)*4/3))*0.201)</f>
        <v>4.0850734380078846</v>
      </c>
      <c r="BL3" s="159">
        <f t="shared" ref="BL3:BL22" si="36">((N3+G3+(LOG(H3)*4/3))*0.052)</f>
        <v>0.19860212674646455</v>
      </c>
      <c r="BM3" s="159">
        <f t="shared" ref="BM3:BM22" si="37">((K3+G3+(LOG(H3)*4/3))*0.18)</f>
        <v>2.6747695995769232</v>
      </c>
      <c r="BN3" s="159">
        <f t="shared" ref="BN3:BN22" si="38">(K3+G3+(LOG(H3)*4/3))*0.068</f>
        <v>1.0104685153957267</v>
      </c>
      <c r="BO3" s="159">
        <f t="shared" ref="BO3:BO22" si="39">((L3+G3+(LOG(H3)*4/3))*0.305)</f>
        <v>1.4790278588013781</v>
      </c>
      <c r="BP3" s="159">
        <f t="shared" ref="BP3:BP22" si="40">((M3+G3+(LOG(H3)*4/3))*1)+((N3+G3+(LOG(H3)*4/3))*0.286)</f>
        <v>6.0215833653067952</v>
      </c>
      <c r="BQ3" s="159">
        <f t="shared" ref="BQ3:BQ22" si="41">((N3+G3+(LOG(H3)*4/3))*0.135)</f>
        <v>0.5156016752071676</v>
      </c>
      <c r="BR3" s="159">
        <f t="shared" ref="BR3:BR22" si="42">((K3+G3+(LOG(H3)*4/3))*0.284)</f>
        <v>4.2201920348880346</v>
      </c>
      <c r="BS3" s="159">
        <f t="shared" ref="BS3:BS22" si="43">(K3+G3+(LOG(H3)*4/3))*0.244</f>
        <v>3.625798790537607</v>
      </c>
      <c r="BT3" s="159">
        <f t="shared" ref="BT3:BT22" si="44">((L3+G3+(LOG(H3)*4/3))*0.455)</f>
        <v>2.2064186090315641</v>
      </c>
      <c r="BU3" s="159">
        <f t="shared" ref="BU3:BU22" si="45">((M3+G3+(LOG(H3)*4/3))*0.864)+((N3+G3+(LOG(H3)*4/3))*0.244)</f>
        <v>5.190793008366974</v>
      </c>
      <c r="BV3" s="159">
        <f t="shared" ref="BV3:BV22" si="46">((N3+G3+(LOG(H3)*4/3))*0.121)</f>
        <v>0.46213187185235022</v>
      </c>
      <c r="BW3" s="159">
        <f t="shared" ref="BW3:BW22" si="47">((K3+G3+(LOG(H3)*4/3))*0.284)</f>
        <v>4.2201920348880346</v>
      </c>
      <c r="BX3" s="159">
        <f t="shared" ref="BX3:BX22" si="48">((K3+G3+(LOG(H3)*4/3))*0.244)</f>
        <v>3.625798790537607</v>
      </c>
      <c r="BY3" s="159">
        <f t="shared" ref="BY3:BY22" si="49">((L3+G3+(LOG(H3)*4/3))*0.631)</f>
        <v>3.0598904226349823</v>
      </c>
      <c r="BZ3" s="159">
        <f t="shared" ref="BZ3:BZ22" si="50">((M3+G3+(LOG(H3)*4/3))*0.702)+((N3+G3+(LOG(H3)*4/3))*0.193)</f>
        <v>4.1974681430401102</v>
      </c>
      <c r="CA3" s="159">
        <f t="shared" ref="CA3:CA22" si="51">((N3+G3+(LOG(H3)*4/3))*0.148)</f>
        <v>0.56525220689378375</v>
      </c>
      <c r="CB3" s="159">
        <f t="shared" ref="CB3:CB22" si="52">((L3+G3+(LOG(H3)*4/3))*0.406)</f>
        <v>1.9688042972897035</v>
      </c>
      <c r="CC3" s="159">
        <f t="shared" ref="CC3:CC22" si="53">IF(E3="TEC",((M3+G3+(LOG(H3)*4/3))*0.15)+((N3+G3+(LOG(H3)*4/3))*0.324)+((O3+G3+(LOG(H3)*4/3))*0.127),(((M3+G3+(LOG(H3)*4/3))*0.144)+((N3+G3+(LOG(H3)*4/3))*0.25)+((O3+G3+(LOG(H3)*4/3))*0.127)))</f>
        <v>2.0354510946884021</v>
      </c>
      <c r="CD3" s="159">
        <f t="shared" ref="CD3:CD22" si="54">((N3+G3+(LOG(H3)*4/3))*0.543)+((O3+G3+(LOG(H3)*4/3))*0.583)</f>
        <v>3.7761237872834865</v>
      </c>
      <c r="CE3" s="159">
        <f>CC3</f>
        <v>2.0354510946884021</v>
      </c>
      <c r="CF3" s="159">
        <f t="shared" ref="CF3:CF22" si="55">((O3+1+(LOG(H3)*4/3))*0.26)+((M3+G3+(LOG(H3)*4/3))*0.221)+((N3+G3+(LOG(H3)*4/3))*0.142)</f>
        <v>2.3908606937338175</v>
      </c>
      <c r="CG3" s="159">
        <f t="shared" ref="CG3:CG22" si="56">((O3+G3+(LOG(H3)*4/3))*1)+((N3+G3+(LOG(H3)*4/3))*0.369)</f>
        <v>4.3291384693230555</v>
      </c>
      <c r="CH3" s="159">
        <f>CF3</f>
        <v>2.3908606937338175</v>
      </c>
      <c r="CI3" s="159">
        <f>((L3+G3+(LOG(H3)*4/3))*0.25)</f>
        <v>1.21231791705031</v>
      </c>
    </row>
    <row r="4" spans="1:87" x14ac:dyDescent="0.25">
      <c r="A4" t="str">
        <f>PLANTILLA!D6</f>
        <v>T. Hammond</v>
      </c>
      <c r="B4" t="s">
        <v>853</v>
      </c>
      <c r="C4" s="632">
        <f>PLANTILLA!E6</f>
        <v>37</v>
      </c>
      <c r="D4" s="632">
        <f ca="1">PLANTILLA!F6</f>
        <v>46</v>
      </c>
      <c r="E4" s="632" t="str">
        <f>PLANTILLA!G6</f>
        <v>CAB</v>
      </c>
      <c r="F4" s="290">
        <v>41400</v>
      </c>
      <c r="G4" s="496">
        <v>1.5</v>
      </c>
      <c r="H4" s="497">
        <f>PLANTILLA!I6</f>
        <v>8.3000000000000007</v>
      </c>
      <c r="I4" s="497"/>
      <c r="J4" s="163">
        <f>PLANTILLA!X6</f>
        <v>8.9499999999999993</v>
      </c>
      <c r="K4" s="163">
        <f>PLANTILLA!Y6</f>
        <v>8.9499999999999993</v>
      </c>
      <c r="L4" s="163">
        <f>PLANTILLA!Z6</f>
        <v>2.95</v>
      </c>
      <c r="M4" s="163">
        <f>PLANTILLA!AA6</f>
        <v>2.95</v>
      </c>
      <c r="N4" s="163">
        <f>PLANTILLA!AB6</f>
        <v>3.95</v>
      </c>
      <c r="O4" s="163">
        <f>PLANTILLA!AC6</f>
        <v>0.95</v>
      </c>
      <c r="P4" s="163">
        <f>PLANTILLA!AD6</f>
        <v>15.778888888888888</v>
      </c>
      <c r="Q4" s="163">
        <f t="shared" ref="Q4:Q22" si="57">((2*(N4+1))+(K4+1))/8</f>
        <v>2.4812500000000002</v>
      </c>
      <c r="R4" s="163">
        <f t="shared" ref="R4:R22" si="58">1.66*(O4+(LOG(H4)*4/3)+G4)+0.55*(P4+(LOG(H4)*4/3)+G4)-7.6</f>
        <v>8.678605667757056</v>
      </c>
      <c r="S4" s="163">
        <f t="shared" ref="S4:S22" si="59">(0.5*O4+ 0.3*P4)/10</f>
        <v>0.52086666666666659</v>
      </c>
      <c r="T4" s="163">
        <f t="shared" ref="T4:T22" si="60">(0.4*K4+0.3*P4)/10</f>
        <v>0.83136666666666659</v>
      </c>
      <c r="U4" s="163">
        <f t="shared" ca="1" si="0"/>
        <v>18.004326345390318</v>
      </c>
      <c r="V4" s="159">
        <f t="shared" si="1"/>
        <v>10.192656899525749</v>
      </c>
      <c r="W4" s="159">
        <f t="shared" si="2"/>
        <v>15.072989756343347</v>
      </c>
      <c r="X4" s="159">
        <f t="shared" ref="X4:X22" si="61">V4</f>
        <v>10.192656899525749</v>
      </c>
      <c r="Y4" s="159">
        <f t="shared" si="3"/>
        <v>6.0245257275547388</v>
      </c>
      <c r="Z4" s="159">
        <f t="shared" si="4"/>
        <v>11.675437456501431</v>
      </c>
      <c r="AA4" s="159">
        <f t="shared" ref="AA4:AA22" si="62">Y4/2</f>
        <v>3.0122628637773694</v>
      </c>
      <c r="AB4" s="159">
        <f t="shared" si="5"/>
        <v>1.3507541146473407</v>
      </c>
      <c r="AC4" s="159">
        <f t="shared" si="6"/>
        <v>4.4133153585575409</v>
      </c>
      <c r="AD4" s="159">
        <f t="shared" si="7"/>
        <v>8.4413412810505335</v>
      </c>
      <c r="AE4" s="159">
        <f t="shared" ref="AE4:AE22" si="63">AC4/2</f>
        <v>2.2066576792787704</v>
      </c>
      <c r="AF4" s="159">
        <f t="shared" si="8"/>
        <v>2.1850434207530514</v>
      </c>
      <c r="AG4" s="357">
        <f t="shared" si="9"/>
        <v>10.741402459981318</v>
      </c>
      <c r="AH4" s="159">
        <f t="shared" si="10"/>
        <v>4.833631106991592</v>
      </c>
      <c r="AI4" s="159">
        <f t="shared" si="11"/>
        <v>0.94779805523573912</v>
      </c>
      <c r="AJ4" s="357">
        <f t="shared" si="12"/>
        <v>3.3371572244228416</v>
      </c>
      <c r="AK4" s="159">
        <f t="shared" si="13"/>
        <v>8.8032798422020786</v>
      </c>
      <c r="AL4" s="159">
        <f t="shared" si="14"/>
        <v>8.2662097192030135</v>
      </c>
      <c r="AM4" s="159">
        <f t="shared" si="15"/>
        <v>3.0902224996801833</v>
      </c>
      <c r="AN4" s="159">
        <f t="shared" si="16"/>
        <v>1.4995259874724123</v>
      </c>
      <c r="AO4" s="159">
        <f t="shared" si="17"/>
        <v>3.1523681132553865</v>
      </c>
      <c r="AP4" s="159">
        <f t="shared" si="18"/>
        <v>6.9352098491618497</v>
      </c>
      <c r="AQ4" s="159">
        <f t="shared" ref="AQ4:AQ22" si="64">AO4/2</f>
        <v>1.5761840566276932</v>
      </c>
      <c r="AR4" s="159">
        <f t="shared" si="19"/>
        <v>5.3576129589373513</v>
      </c>
      <c r="AS4" s="159">
        <f t="shared" si="20"/>
        <v>0.86780686934518614</v>
      </c>
      <c r="AT4" s="159">
        <f t="shared" si="21"/>
        <v>1.4369031747549195</v>
      </c>
      <c r="AU4" s="159">
        <f t="shared" ref="AU4:AU22" si="65">AS4/2</f>
        <v>0.43390343467259307</v>
      </c>
      <c r="AV4" s="159">
        <f t="shared" si="22"/>
        <v>2.2066576792787704</v>
      </c>
      <c r="AW4" s="159">
        <f t="shared" si="23"/>
        <v>4.6701749826005727</v>
      </c>
      <c r="AX4" s="159">
        <f t="shared" ref="AX4:AX22" si="66">AV4/2</f>
        <v>1.1033288396393852</v>
      </c>
      <c r="AY4" s="159">
        <f t="shared" si="24"/>
        <v>5.6754374565014318</v>
      </c>
      <c r="AZ4" s="159">
        <f t="shared" si="25"/>
        <v>1.6888856764948623</v>
      </c>
      <c r="BA4" s="159">
        <f t="shared" si="26"/>
        <v>3.0481660385322891</v>
      </c>
      <c r="BB4" s="159">
        <f t="shared" ref="BB4:BB22" si="67">AZ4/2</f>
        <v>0.84444283824743116</v>
      </c>
      <c r="BC4" s="159">
        <f t="shared" si="27"/>
        <v>3.3975522998419163</v>
      </c>
      <c r="BD4" s="159">
        <f t="shared" si="28"/>
        <v>4.0630522348624973</v>
      </c>
      <c r="BE4" s="159">
        <f t="shared" si="29"/>
        <v>5.0000603991777615</v>
      </c>
      <c r="BF4" s="159">
        <f t="shared" si="30"/>
        <v>5.3604638988297726</v>
      </c>
      <c r="BG4" s="159">
        <f t="shared" si="31"/>
        <v>1.6087804270168451</v>
      </c>
      <c r="BH4" s="159">
        <f t="shared" si="32"/>
        <v>5.6625871664031937</v>
      </c>
      <c r="BI4" s="159">
        <f t="shared" si="33"/>
        <v>3.0823154885163779</v>
      </c>
      <c r="BJ4" s="159">
        <f t="shared" si="34"/>
        <v>2.1623416709270455</v>
      </c>
      <c r="BK4" s="159">
        <f t="shared" si="35"/>
        <v>5.1613323369822517</v>
      </c>
      <c r="BL4" s="159">
        <f t="shared" si="36"/>
        <v>0.34712274773807444</v>
      </c>
      <c r="BM4" s="159">
        <f t="shared" si="37"/>
        <v>2.1015787421702576</v>
      </c>
      <c r="BN4" s="159">
        <f t="shared" si="38"/>
        <v>0.7939297470420974</v>
      </c>
      <c r="BO4" s="159">
        <f t="shared" si="39"/>
        <v>1.7310084242329367</v>
      </c>
      <c r="BP4" s="159">
        <f t="shared" si="40"/>
        <v>7.584612569060841</v>
      </c>
      <c r="BQ4" s="159">
        <f t="shared" si="41"/>
        <v>0.90118405662769341</v>
      </c>
      <c r="BR4" s="159">
        <f t="shared" si="42"/>
        <v>3.3158242376464062</v>
      </c>
      <c r="BS4" s="159">
        <f t="shared" si="43"/>
        <v>2.8488067393863492</v>
      </c>
      <c r="BT4" s="159">
        <f t="shared" si="44"/>
        <v>2.5823240427081515</v>
      </c>
      <c r="BU4" s="159">
        <f t="shared" si="45"/>
        <v>6.5323847018035863</v>
      </c>
      <c r="BV4" s="159">
        <f t="shared" si="46"/>
        <v>0.80772793223667327</v>
      </c>
      <c r="BW4" s="159">
        <f t="shared" si="47"/>
        <v>3.3158242376464062</v>
      </c>
      <c r="BX4" s="159">
        <f t="shared" si="48"/>
        <v>2.8488067393863492</v>
      </c>
      <c r="BY4" s="159">
        <f t="shared" si="49"/>
        <v>3.5812010350524037</v>
      </c>
      <c r="BZ4" s="159">
        <f t="shared" si="50"/>
        <v>5.2725165235687808</v>
      </c>
      <c r="CA4" s="159">
        <f t="shared" si="51"/>
        <v>0.98796474356221187</v>
      </c>
      <c r="CB4" s="159">
        <f t="shared" si="52"/>
        <v>2.3042276073395813</v>
      </c>
      <c r="CC4" s="159">
        <f t="shared" si="53"/>
        <v>2.9529029148372463</v>
      </c>
      <c r="CD4" s="159">
        <f t="shared" si="54"/>
        <v>5.7675425760206123</v>
      </c>
      <c r="CE4" s="159">
        <f t="shared" ref="CE4:CE22" si="68">CC4</f>
        <v>2.9529029148372463</v>
      </c>
      <c r="CF4" s="159">
        <f t="shared" si="55"/>
        <v>3.0277975354003921</v>
      </c>
      <c r="CG4" s="159">
        <f t="shared" si="56"/>
        <v>6.1386738779504597</v>
      </c>
      <c r="CH4" s="159">
        <f t="shared" ref="CH4:CH22" si="69">CF4</f>
        <v>3.0277975354003921</v>
      </c>
      <c r="CI4" s="159">
        <f t="shared" ref="CI4:CI22" si="70">((L4+G4+(LOG(H4)*4/3))*0.25)</f>
        <v>1.418859364125358</v>
      </c>
    </row>
    <row r="5" spans="1:87" x14ac:dyDescent="0.25">
      <c r="A5" t="str">
        <f>PLANTILLA!D8</f>
        <v>D. Toh</v>
      </c>
      <c r="B5" t="s">
        <v>853</v>
      </c>
      <c r="C5" s="632">
        <f>PLANTILLA!E8</f>
        <v>34</v>
      </c>
      <c r="D5" s="632">
        <f ca="1">PLANTILLA!F8</f>
        <v>94</v>
      </c>
      <c r="E5" s="632" t="str">
        <f>PLANTILLA!G8</f>
        <v>CAB</v>
      </c>
      <c r="F5" s="290">
        <v>41519</v>
      </c>
      <c r="G5" s="496">
        <v>1.5</v>
      </c>
      <c r="H5" s="497">
        <f>PLANTILLA!I8</f>
        <v>9</v>
      </c>
      <c r="I5" s="341"/>
      <c r="J5" s="163">
        <f>PLANTILLA!X8</f>
        <v>0</v>
      </c>
      <c r="K5" s="163">
        <f>PLANTILLA!Y8</f>
        <v>10.95</v>
      </c>
      <c r="L5" s="163">
        <f>PLANTILLA!Z8</f>
        <v>5.95</v>
      </c>
      <c r="M5" s="163">
        <f>PLANTILLA!AA8</f>
        <v>5.95</v>
      </c>
      <c r="N5" s="163">
        <f>PLANTILLA!AB8</f>
        <v>7.7227777777777789</v>
      </c>
      <c r="O5" s="163">
        <f>PLANTILLA!AC8</f>
        <v>2.99</v>
      </c>
      <c r="P5" s="163">
        <f>PLANTILLA!AD8</f>
        <v>16</v>
      </c>
      <c r="Q5" s="163">
        <f t="shared" si="57"/>
        <v>3.6744444444444446</v>
      </c>
      <c r="R5" s="163">
        <f t="shared" si="58"/>
        <v>12.290234594481214</v>
      </c>
      <c r="S5" s="163">
        <f t="shared" si="59"/>
        <v>0.62949999999999995</v>
      </c>
      <c r="T5" s="163">
        <f t="shared" si="60"/>
        <v>0.91799999999999993</v>
      </c>
      <c r="U5" s="163">
        <f t="shared" ca="1" si="0"/>
        <v>18.272323345919101</v>
      </c>
      <c r="V5" s="159">
        <f t="shared" si="1"/>
        <v>5.4424382809873739</v>
      </c>
      <c r="W5" s="159">
        <f t="shared" si="2"/>
        <v>8.2328194395815579</v>
      </c>
      <c r="X5" s="159">
        <f t="shared" si="61"/>
        <v>5.4424382809873739</v>
      </c>
      <c r="Y5" s="159">
        <f t="shared" si="3"/>
        <v>7.0807188464942552</v>
      </c>
      <c r="Z5" s="159">
        <f t="shared" si="4"/>
        <v>13.722323345919099</v>
      </c>
      <c r="AA5" s="159">
        <f t="shared" si="62"/>
        <v>3.5403594232471276</v>
      </c>
      <c r="AB5" s="159">
        <f t="shared" si="5"/>
        <v>2.0759129563287457</v>
      </c>
      <c r="AC5" s="159">
        <f t="shared" si="6"/>
        <v>5.1870382247574192</v>
      </c>
      <c r="AD5" s="159">
        <f t="shared" si="7"/>
        <v>9.9212397790995084</v>
      </c>
      <c r="AE5" s="159">
        <f t="shared" si="63"/>
        <v>2.5935191123787096</v>
      </c>
      <c r="AF5" s="159">
        <f t="shared" si="8"/>
        <v>3.3580944881788537</v>
      </c>
      <c r="AG5" s="357">
        <f t="shared" si="9"/>
        <v>12.624537478245571</v>
      </c>
      <c r="AH5" s="159">
        <f t="shared" si="10"/>
        <v>5.6810418652105064</v>
      </c>
      <c r="AI5" s="159">
        <f t="shared" si="11"/>
        <v>1.4566279987684898</v>
      </c>
      <c r="AJ5" s="357">
        <f t="shared" si="12"/>
        <v>5.128726127400431</v>
      </c>
      <c r="AK5" s="159">
        <f t="shared" si="13"/>
        <v>10.346631802823001</v>
      </c>
      <c r="AL5" s="159">
        <f t="shared" si="14"/>
        <v>9.715404928910722</v>
      </c>
      <c r="AM5" s="159">
        <f t="shared" si="15"/>
        <v>3.1349779987684903</v>
      </c>
      <c r="AN5" s="159">
        <f t="shared" si="16"/>
        <v>1.8566691236247008</v>
      </c>
      <c r="AO5" s="159">
        <f t="shared" si="17"/>
        <v>3.7050273033981571</v>
      </c>
      <c r="AP5" s="159">
        <f t="shared" si="18"/>
        <v>8.1510600674759441</v>
      </c>
      <c r="AQ5" s="159">
        <f t="shared" si="64"/>
        <v>1.8525136516990786</v>
      </c>
      <c r="AR5" s="159">
        <f t="shared" si="19"/>
        <v>8.2338732385476305</v>
      </c>
      <c r="AS5" s="159">
        <f t="shared" si="20"/>
        <v>1.3643631460805943</v>
      </c>
      <c r="AT5" s="159">
        <f t="shared" si="21"/>
        <v>2.2562940736876298</v>
      </c>
      <c r="AU5" s="159">
        <f t="shared" si="65"/>
        <v>0.68218157304029714</v>
      </c>
      <c r="AV5" s="159">
        <f t="shared" si="22"/>
        <v>2.5935191123787096</v>
      </c>
      <c r="AW5" s="159">
        <f t="shared" si="23"/>
        <v>5.4889293383676403</v>
      </c>
      <c r="AX5" s="159">
        <f t="shared" si="66"/>
        <v>1.2967595561893548</v>
      </c>
      <c r="AY5" s="159">
        <f t="shared" si="24"/>
        <v>8.7223233459191007</v>
      </c>
      <c r="AZ5" s="159">
        <f t="shared" si="25"/>
        <v>2.6552605842953101</v>
      </c>
      <c r="BA5" s="159">
        <f t="shared" si="26"/>
        <v>4.7889173858236465</v>
      </c>
      <c r="BB5" s="159">
        <f t="shared" si="67"/>
        <v>1.327630292147655</v>
      </c>
      <c r="BC5" s="159">
        <f t="shared" si="27"/>
        <v>3.9931960936624575</v>
      </c>
      <c r="BD5" s="159">
        <f t="shared" si="28"/>
        <v>4.7753685243798465</v>
      </c>
      <c r="BE5" s="159">
        <f t="shared" si="29"/>
        <v>7.6843668677547274</v>
      </c>
      <c r="BF5" s="159">
        <f t="shared" si="30"/>
        <v>8.3125704545220795</v>
      </c>
      <c r="BG5" s="159">
        <f t="shared" si="31"/>
        <v>2.5293193708109478</v>
      </c>
      <c r="BH5" s="159">
        <f t="shared" si="32"/>
        <v>6.6553268227707632</v>
      </c>
      <c r="BI5" s="159">
        <f t="shared" si="33"/>
        <v>3.6226933633226421</v>
      </c>
      <c r="BJ5" s="159">
        <f t="shared" si="34"/>
        <v>3.3232051947951775</v>
      </c>
      <c r="BK5" s="159">
        <f t="shared" si="35"/>
        <v>7.9796389376666275</v>
      </c>
      <c r="BL5" s="159">
        <f t="shared" si="36"/>
        <v>0.54574525843223765</v>
      </c>
      <c r="BM5" s="159">
        <f t="shared" si="37"/>
        <v>2.4700182022654378</v>
      </c>
      <c r="BN5" s="159">
        <f t="shared" si="38"/>
        <v>0.93311798752249875</v>
      </c>
      <c r="BO5" s="159">
        <f t="shared" si="39"/>
        <v>2.6603086205053255</v>
      </c>
      <c r="BP5" s="159">
        <f t="shared" si="40"/>
        <v>11.723922267296407</v>
      </c>
      <c r="BQ5" s="159">
        <f t="shared" si="41"/>
        <v>1.4168386516990787</v>
      </c>
      <c r="BR5" s="159">
        <f t="shared" si="42"/>
        <v>3.8971398302410236</v>
      </c>
      <c r="BS5" s="159">
        <f t="shared" si="43"/>
        <v>3.3482468964042602</v>
      </c>
      <c r="BT5" s="159">
        <f t="shared" si="44"/>
        <v>3.968657122393191</v>
      </c>
      <c r="BU5" s="159">
        <f t="shared" si="45"/>
        <v>10.096892045056141</v>
      </c>
      <c r="BV5" s="159">
        <f t="shared" si="46"/>
        <v>1.2699072359673222</v>
      </c>
      <c r="BW5" s="159">
        <f t="shared" si="47"/>
        <v>3.8971398302410236</v>
      </c>
      <c r="BX5" s="159">
        <f t="shared" si="48"/>
        <v>3.3482468964042602</v>
      </c>
      <c r="BY5" s="159">
        <f t="shared" si="49"/>
        <v>5.5037860312749523</v>
      </c>
      <c r="BZ5" s="159">
        <f t="shared" si="50"/>
        <v>8.148625505708706</v>
      </c>
      <c r="CA5" s="159">
        <f t="shared" si="51"/>
        <v>1.5532749663071379</v>
      </c>
      <c r="CB5" s="159">
        <f t="shared" si="52"/>
        <v>3.541263278443155</v>
      </c>
      <c r="CC5" s="159">
        <f t="shared" si="53"/>
        <v>4.6116049076682959</v>
      </c>
      <c r="CD5" s="159">
        <f t="shared" si="54"/>
        <v>9.0582744208382415</v>
      </c>
      <c r="CE5" s="159">
        <f t="shared" si="68"/>
        <v>4.6116049076682959</v>
      </c>
      <c r="CF5" s="159">
        <f t="shared" si="55"/>
        <v>4.7861418889520433</v>
      </c>
      <c r="CG5" s="159">
        <f t="shared" si="56"/>
        <v>9.6350156605632478</v>
      </c>
      <c r="CH5" s="159">
        <f t="shared" si="69"/>
        <v>4.7861418889520433</v>
      </c>
      <c r="CI5" s="159">
        <f t="shared" si="70"/>
        <v>2.1805808364797752</v>
      </c>
    </row>
    <row r="6" spans="1:87" x14ac:dyDescent="0.25">
      <c r="A6" t="str">
        <f>PLANTILLA!D9</f>
        <v>E. Toney</v>
      </c>
      <c r="B6" t="s">
        <v>853</v>
      </c>
      <c r="C6" s="632">
        <f>PLANTILLA!E9</f>
        <v>34</v>
      </c>
      <c r="D6" s="632">
        <f ca="1">PLANTILLA!F9</f>
        <v>48</v>
      </c>
      <c r="E6" s="632"/>
      <c r="F6" s="290">
        <v>41539</v>
      </c>
      <c r="G6" s="496">
        <v>1.5</v>
      </c>
      <c r="H6" s="497">
        <f>PLANTILLA!I9</f>
        <v>16</v>
      </c>
      <c r="I6" s="341"/>
      <c r="J6" s="163">
        <f>PLANTILLA!X9</f>
        <v>0</v>
      </c>
      <c r="K6" s="163">
        <f>PLANTILLA!Y9</f>
        <v>12.200000000000005</v>
      </c>
      <c r="L6" s="163">
        <f>PLANTILLA!Z9</f>
        <v>12.95</v>
      </c>
      <c r="M6" s="163">
        <f>PLANTILLA!AA9</f>
        <v>9.8750000000000053</v>
      </c>
      <c r="N6" s="163">
        <f>PLANTILLA!AB9</f>
        <v>9.6</v>
      </c>
      <c r="O6" s="163">
        <f>PLANTILLA!AC9</f>
        <v>2.99</v>
      </c>
      <c r="P6" s="163">
        <f>PLANTILLA!AD9</f>
        <v>17.177777777777774</v>
      </c>
      <c r="Q6" s="163">
        <f t="shared" si="57"/>
        <v>4.3000000000000007</v>
      </c>
      <c r="R6" s="163">
        <f t="shared" si="58"/>
        <v>13.674317993337235</v>
      </c>
      <c r="S6" s="163">
        <f t="shared" si="59"/>
        <v>0.66483333333333317</v>
      </c>
      <c r="T6" s="163">
        <f t="shared" si="60"/>
        <v>1.0033333333333334</v>
      </c>
      <c r="U6" s="163">
        <f t="shared" ca="1" si="0"/>
        <v>19.783271087985675</v>
      </c>
      <c r="V6" s="159">
        <f t="shared" si="1"/>
        <v>6.0782956598114977</v>
      </c>
      <c r="W6" s="159">
        <f t="shared" si="2"/>
        <v>9.1941918634783999</v>
      </c>
      <c r="X6" s="159">
        <f t="shared" si="61"/>
        <v>6.0782956598114977</v>
      </c>
      <c r="Y6" s="159">
        <f t="shared" si="3"/>
        <v>7.8976345480672787</v>
      </c>
      <c r="Z6" s="159">
        <f t="shared" si="4"/>
        <v>15.305493310207904</v>
      </c>
      <c r="AA6" s="159">
        <f t="shared" si="62"/>
        <v>3.9488172740336394</v>
      </c>
      <c r="AB6" s="159">
        <f t="shared" si="5"/>
        <v>3.8212074078294802</v>
      </c>
      <c r="AC6" s="159">
        <f t="shared" si="6"/>
        <v>5.7854764712585878</v>
      </c>
      <c r="AD6" s="159">
        <f t="shared" si="7"/>
        <v>11.065871663280314</v>
      </c>
      <c r="AE6" s="159">
        <f t="shared" si="63"/>
        <v>2.8927382356292939</v>
      </c>
      <c r="AF6" s="159">
        <f t="shared" si="8"/>
        <v>6.1813649244300422</v>
      </c>
      <c r="AG6" s="357">
        <f t="shared" si="9"/>
        <v>14.081053845391272</v>
      </c>
      <c r="AH6" s="159">
        <f t="shared" si="10"/>
        <v>6.3364742304260719</v>
      </c>
      <c r="AI6" s="159">
        <f t="shared" si="11"/>
        <v>2.6812673828047195</v>
      </c>
      <c r="AJ6" s="357">
        <f t="shared" si="12"/>
        <v>7.6325300664022473</v>
      </c>
      <c r="AK6" s="159">
        <f t="shared" si="13"/>
        <v>11.540341955896759</v>
      </c>
      <c r="AL6" s="159">
        <f t="shared" si="14"/>
        <v>10.836289263627195</v>
      </c>
      <c r="AM6" s="159">
        <f t="shared" si="15"/>
        <v>3.3873062716936078</v>
      </c>
      <c r="AN6" s="159">
        <f t="shared" si="16"/>
        <v>2.1327820733398752</v>
      </c>
      <c r="AO6" s="159">
        <f t="shared" si="17"/>
        <v>4.1324831937561344</v>
      </c>
      <c r="AP6" s="159">
        <f t="shared" si="18"/>
        <v>9.0914630262634955</v>
      </c>
      <c r="AQ6" s="159">
        <f t="shared" si="64"/>
        <v>2.0662415968780672</v>
      </c>
      <c r="AR6" s="159">
        <f t="shared" si="19"/>
        <v>15.156385684836257</v>
      </c>
      <c r="AS6" s="159">
        <f t="shared" si="20"/>
        <v>1.6517141303270269</v>
      </c>
      <c r="AT6" s="159">
        <f t="shared" si="21"/>
        <v>2.5791795398909145</v>
      </c>
      <c r="AU6" s="159">
        <f t="shared" si="65"/>
        <v>0.82585706516351343</v>
      </c>
      <c r="AV6" s="159">
        <f t="shared" si="22"/>
        <v>2.8927382356292939</v>
      </c>
      <c r="AW6" s="159">
        <f t="shared" si="23"/>
        <v>6.122197324083162</v>
      </c>
      <c r="AX6" s="159">
        <f t="shared" si="66"/>
        <v>1.4463691178146469</v>
      </c>
      <c r="AY6" s="159">
        <f t="shared" si="24"/>
        <v>16.0554933102079</v>
      </c>
      <c r="AZ6" s="159">
        <f t="shared" si="25"/>
        <v>3.2144898074825985</v>
      </c>
      <c r="BA6" s="159">
        <f t="shared" si="26"/>
        <v>5.6126268139245532</v>
      </c>
      <c r="BB6" s="159">
        <f t="shared" si="67"/>
        <v>1.6072449037412992</v>
      </c>
      <c r="BC6" s="159">
        <f t="shared" si="27"/>
        <v>4.4538985532705002</v>
      </c>
      <c r="BD6" s="159">
        <f t="shared" si="28"/>
        <v>5.3263116719523502</v>
      </c>
      <c r="BE6" s="159">
        <f t="shared" si="29"/>
        <v>14.144889606293161</v>
      </c>
      <c r="BF6" s="159">
        <f t="shared" si="30"/>
        <v>11.453033552774826</v>
      </c>
      <c r="BG6" s="159">
        <f t="shared" si="31"/>
        <v>3.0620238877601036</v>
      </c>
      <c r="BH6" s="159">
        <f t="shared" si="32"/>
        <v>7.4231642554508337</v>
      </c>
      <c r="BI6" s="159">
        <f t="shared" si="33"/>
        <v>4.0406502338948869</v>
      </c>
      <c r="BJ6" s="159">
        <f t="shared" si="34"/>
        <v>6.1171429511892104</v>
      </c>
      <c r="BK6" s="159">
        <f t="shared" si="35"/>
        <v>11.289676153121709</v>
      </c>
      <c r="BL6" s="159">
        <f t="shared" si="36"/>
        <v>0.66068565213081076</v>
      </c>
      <c r="BM6" s="159">
        <f t="shared" si="37"/>
        <v>2.7549887958374226</v>
      </c>
      <c r="BN6" s="159">
        <f t="shared" si="38"/>
        <v>1.0407735450941376</v>
      </c>
      <c r="BO6" s="159">
        <f t="shared" si="39"/>
        <v>4.89692545961341</v>
      </c>
      <c r="BP6" s="159">
        <f t="shared" si="40"/>
        <v>16.614264396927364</v>
      </c>
      <c r="BQ6" s="159">
        <f t="shared" si="41"/>
        <v>1.7152415968780665</v>
      </c>
      <c r="BR6" s="159">
        <f t="shared" si="42"/>
        <v>4.3467601000990443</v>
      </c>
      <c r="BS6" s="159">
        <f t="shared" si="43"/>
        <v>3.7345403676907285</v>
      </c>
      <c r="BT6" s="159">
        <f t="shared" si="44"/>
        <v>7.3052494561445949</v>
      </c>
      <c r="BU6" s="159">
        <f t="shared" si="45"/>
        <v>14.315286587710357</v>
      </c>
      <c r="BV6" s="159">
        <f t="shared" si="46"/>
        <v>1.5373646905351557</v>
      </c>
      <c r="BW6" s="159">
        <f t="shared" si="47"/>
        <v>4.3467601000990443</v>
      </c>
      <c r="BX6" s="159">
        <f t="shared" si="48"/>
        <v>3.7345403676907285</v>
      </c>
      <c r="BY6" s="159">
        <f t="shared" si="49"/>
        <v>10.131016278741185</v>
      </c>
      <c r="BZ6" s="159">
        <f t="shared" si="50"/>
        <v>11.564466512636072</v>
      </c>
      <c r="CA6" s="159">
        <f t="shared" si="51"/>
        <v>1.880413009910769</v>
      </c>
      <c r="CB6" s="159">
        <f t="shared" si="52"/>
        <v>6.5185302839444077</v>
      </c>
      <c r="CC6" s="159">
        <f t="shared" si="53"/>
        <v>5.8196920146183162</v>
      </c>
      <c r="CD6" s="159">
        <f t="shared" si="54"/>
        <v>10.452755467294095</v>
      </c>
      <c r="CE6" s="159">
        <f t="shared" si="68"/>
        <v>5.8196920146183162</v>
      </c>
      <c r="CF6" s="159">
        <f t="shared" si="55"/>
        <v>6.1276973322595225</v>
      </c>
      <c r="CG6" s="159">
        <f t="shared" si="56"/>
        <v>10.783820341674614</v>
      </c>
      <c r="CH6" s="159">
        <f t="shared" si="69"/>
        <v>6.1276973322595225</v>
      </c>
      <c r="CI6" s="159">
        <f t="shared" si="70"/>
        <v>4.0138733275519751</v>
      </c>
    </row>
    <row r="7" spans="1:87" x14ac:dyDescent="0.25">
      <c r="A7" t="str">
        <f>PLANTILLA!D10</f>
        <v>B. Bartolache</v>
      </c>
      <c r="B7" t="s">
        <v>853</v>
      </c>
      <c r="C7" s="632">
        <f>PLANTILLA!E10</f>
        <v>34</v>
      </c>
      <c r="D7" s="632">
        <f ca="1">PLANTILLA!F10</f>
        <v>33</v>
      </c>
      <c r="E7" s="632"/>
      <c r="F7" s="290">
        <v>41527</v>
      </c>
      <c r="G7" s="496">
        <v>1.5</v>
      </c>
      <c r="H7" s="497">
        <f>PLANTILLA!I10</f>
        <v>11</v>
      </c>
      <c r="I7" s="341"/>
      <c r="J7" s="163">
        <f>PLANTILLA!X10</f>
        <v>0</v>
      </c>
      <c r="K7" s="163">
        <f>PLANTILLA!Y10</f>
        <v>11.95</v>
      </c>
      <c r="L7" s="163">
        <f>PLANTILLA!Z10</f>
        <v>6.95</v>
      </c>
      <c r="M7" s="163">
        <f>PLANTILLA!AA10</f>
        <v>7.5000000000000018</v>
      </c>
      <c r="N7" s="163">
        <f>PLANTILLA!AB10</f>
        <v>8.9</v>
      </c>
      <c r="O7" s="163">
        <f>PLANTILLA!AC10</f>
        <v>3.9</v>
      </c>
      <c r="P7" s="163">
        <f>PLANTILLA!AD10</f>
        <v>16</v>
      </c>
      <c r="Q7" s="163">
        <f t="shared" si="57"/>
        <v>4.09375</v>
      </c>
      <c r="R7" s="163">
        <f t="shared" si="58"/>
        <v>14.057637112266237</v>
      </c>
      <c r="S7" s="163">
        <f t="shared" si="59"/>
        <v>0.67500000000000004</v>
      </c>
      <c r="T7" s="163">
        <f t="shared" si="60"/>
        <v>0.95799999999999996</v>
      </c>
      <c r="U7" s="163">
        <f t="shared" ca="1" si="0"/>
        <v>18.388523580210968</v>
      </c>
      <c r="V7" s="159">
        <f t="shared" si="1"/>
        <v>5.819881085524174</v>
      </c>
      <c r="W7" s="159">
        <f t="shared" si="2"/>
        <v>8.8078339420523566</v>
      </c>
      <c r="X7" s="159">
        <f t="shared" si="61"/>
        <v>5.819881085524174</v>
      </c>
      <c r="Y7" s="159">
        <f t="shared" si="3"/>
        <v>7.6566781673888586</v>
      </c>
      <c r="Z7" s="159">
        <f t="shared" si="4"/>
        <v>14.838523580210966</v>
      </c>
      <c r="AA7" s="159">
        <f t="shared" si="62"/>
        <v>3.8283390836944293</v>
      </c>
      <c r="AB7" s="159">
        <f t="shared" si="5"/>
        <v>2.3415686120902097</v>
      </c>
      <c r="AC7" s="159">
        <f t="shared" si="6"/>
        <v>5.608961913319745</v>
      </c>
      <c r="AD7" s="159">
        <f t="shared" si="7"/>
        <v>10.728252548492527</v>
      </c>
      <c r="AE7" s="159">
        <f t="shared" si="63"/>
        <v>2.8044809566598725</v>
      </c>
      <c r="AF7" s="159">
        <f t="shared" si="8"/>
        <v>3.7878315783812218</v>
      </c>
      <c r="AG7" s="357">
        <f t="shared" si="9"/>
        <v>13.651441693794089</v>
      </c>
      <c r="AH7" s="159">
        <f t="shared" si="10"/>
        <v>6.14314876220734</v>
      </c>
      <c r="AI7" s="159">
        <f t="shared" si="11"/>
        <v>1.6430334378952314</v>
      </c>
      <c r="AJ7" s="357">
        <f t="shared" si="12"/>
        <v>6.1084518651640494</v>
      </c>
      <c r="AK7" s="159">
        <f t="shared" si="13"/>
        <v>11.188246779479067</v>
      </c>
      <c r="AL7" s="159">
        <f t="shared" si="14"/>
        <v>10.505674694789363</v>
      </c>
      <c r="AM7" s="159">
        <f t="shared" si="15"/>
        <v>3.1543834378952318</v>
      </c>
      <c r="AN7" s="159">
        <f t="shared" si="16"/>
        <v>2.0108947911007582</v>
      </c>
      <c r="AO7" s="159">
        <f t="shared" si="17"/>
        <v>4.0064013666569611</v>
      </c>
      <c r="AP7" s="159">
        <f t="shared" si="18"/>
        <v>8.8140830066453137</v>
      </c>
      <c r="AQ7" s="159">
        <f t="shared" si="64"/>
        <v>2.0032006833284806</v>
      </c>
      <c r="AR7" s="159">
        <f t="shared" si="19"/>
        <v>9.2875662597191511</v>
      </c>
      <c r="AS7" s="159">
        <f t="shared" si="20"/>
        <v>1.5325080654274257</v>
      </c>
      <c r="AT7" s="159">
        <f t="shared" si="21"/>
        <v>2.5890374090018131</v>
      </c>
      <c r="AU7" s="159">
        <f t="shared" si="65"/>
        <v>0.76625403271371284</v>
      </c>
      <c r="AV7" s="159">
        <f t="shared" si="22"/>
        <v>2.8044809566598725</v>
      </c>
      <c r="AW7" s="159">
        <f t="shared" si="23"/>
        <v>5.9354094320843869</v>
      </c>
      <c r="AX7" s="159">
        <f t="shared" si="66"/>
        <v>1.4022404783299363</v>
      </c>
      <c r="AY7" s="159">
        <f t="shared" si="24"/>
        <v>9.8385235802109658</v>
      </c>
      <c r="AZ7" s="159">
        <f t="shared" si="25"/>
        <v>2.9824964657933748</v>
      </c>
      <c r="BA7" s="159">
        <f t="shared" si="26"/>
        <v>5.4454764926962422</v>
      </c>
      <c r="BB7" s="159">
        <f t="shared" si="67"/>
        <v>1.4912482328966874</v>
      </c>
      <c r="BC7" s="159">
        <f t="shared" si="27"/>
        <v>4.3180103618413908</v>
      </c>
      <c r="BD7" s="159">
        <f t="shared" si="28"/>
        <v>5.1638062059134153</v>
      </c>
      <c r="BE7" s="159">
        <f t="shared" si="29"/>
        <v>8.6677392741658608</v>
      </c>
      <c r="BF7" s="159">
        <f t="shared" si="30"/>
        <v>9.6763974628075502</v>
      </c>
      <c r="BG7" s="159">
        <f t="shared" si="31"/>
        <v>2.841034182830843</v>
      </c>
      <c r="BH7" s="159">
        <f t="shared" si="32"/>
        <v>7.1966839364023185</v>
      </c>
      <c r="BI7" s="159">
        <f t="shared" si="33"/>
        <v>3.917370225175695</v>
      </c>
      <c r="BJ7" s="159">
        <f t="shared" si="34"/>
        <v>3.7484774840603778</v>
      </c>
      <c r="BK7" s="159">
        <f t="shared" si="35"/>
        <v>9.3609696091043872</v>
      </c>
      <c r="BL7" s="159">
        <f t="shared" si="36"/>
        <v>0.61300322617097025</v>
      </c>
      <c r="BM7" s="159">
        <f t="shared" si="37"/>
        <v>2.6709342444379738</v>
      </c>
      <c r="BN7" s="159">
        <f t="shared" si="38"/>
        <v>1.0090196034543457</v>
      </c>
      <c r="BO7" s="159">
        <f t="shared" si="39"/>
        <v>3.0007496919643444</v>
      </c>
      <c r="BP7" s="159">
        <f t="shared" si="40"/>
        <v>13.760041324151304</v>
      </c>
      <c r="BQ7" s="159">
        <f t="shared" si="41"/>
        <v>1.5914506833284807</v>
      </c>
      <c r="BR7" s="159">
        <f t="shared" si="42"/>
        <v>4.2141406967799142</v>
      </c>
      <c r="BS7" s="159">
        <f t="shared" si="43"/>
        <v>3.6205997535714758</v>
      </c>
      <c r="BT7" s="159">
        <f t="shared" si="44"/>
        <v>4.4765282289959893</v>
      </c>
      <c r="BU7" s="159">
        <f t="shared" si="45"/>
        <v>11.852084126873754</v>
      </c>
      <c r="BV7" s="159">
        <f t="shared" si="46"/>
        <v>1.4264113532055269</v>
      </c>
      <c r="BW7" s="159">
        <f t="shared" si="47"/>
        <v>4.2141406967799142</v>
      </c>
      <c r="BX7" s="159">
        <f t="shared" si="48"/>
        <v>3.6205997535714758</v>
      </c>
      <c r="BY7" s="159">
        <f t="shared" si="49"/>
        <v>6.2081083791131197</v>
      </c>
      <c r="BZ7" s="159">
        <f t="shared" si="50"/>
        <v>9.5679286042888165</v>
      </c>
      <c r="CA7" s="159">
        <f t="shared" si="51"/>
        <v>1.744701489871223</v>
      </c>
      <c r="CB7" s="159">
        <f t="shared" si="52"/>
        <v>3.9944405735656523</v>
      </c>
      <c r="CC7" s="159">
        <f t="shared" si="53"/>
        <v>5.3052207852899134</v>
      </c>
      <c r="CD7" s="159">
        <f t="shared" si="54"/>
        <v>10.358877551317548</v>
      </c>
      <c r="CE7" s="159">
        <f t="shared" si="68"/>
        <v>5.3052207852899134</v>
      </c>
      <c r="CF7" s="159">
        <f t="shared" si="55"/>
        <v>5.6048501904714332</v>
      </c>
      <c r="CG7" s="159">
        <f t="shared" si="56"/>
        <v>11.138488781308814</v>
      </c>
      <c r="CH7" s="159">
        <f t="shared" si="69"/>
        <v>5.6048501904714332</v>
      </c>
      <c r="CI7" s="159">
        <f t="shared" si="70"/>
        <v>2.4596308950527415</v>
      </c>
    </row>
    <row r="8" spans="1:87" x14ac:dyDescent="0.25">
      <c r="A8" t="str">
        <f>PLANTILLA!D11</f>
        <v>F. Lasprilla</v>
      </c>
      <c r="B8" t="s">
        <v>853</v>
      </c>
      <c r="C8" s="632">
        <f>PLANTILLA!E11</f>
        <v>30</v>
      </c>
      <c r="D8" s="632">
        <f ca="1">PLANTILLA!F11</f>
        <v>56</v>
      </c>
      <c r="E8" s="632"/>
      <c r="F8" s="290">
        <v>42106</v>
      </c>
      <c r="G8" s="496">
        <v>1.5</v>
      </c>
      <c r="H8" s="497">
        <f>PLANTILLA!I11</f>
        <v>5.5</v>
      </c>
      <c r="I8" s="341"/>
      <c r="J8" s="163">
        <f>PLANTILLA!X11</f>
        <v>0</v>
      </c>
      <c r="K8" s="163">
        <f>PLANTILLA!Y11</f>
        <v>9.6046666666666667</v>
      </c>
      <c r="L8" s="163">
        <f>PLANTILLA!Z11</f>
        <v>7.7607222222222223</v>
      </c>
      <c r="M8" s="163">
        <f>PLANTILLA!AA11</f>
        <v>6.1599999999999984</v>
      </c>
      <c r="N8" s="163">
        <f>PLANTILLA!AB11</f>
        <v>8.8633333333333315</v>
      </c>
      <c r="O8" s="163">
        <f>PLANTILLA!AC11</f>
        <v>3.2566666666666673</v>
      </c>
      <c r="P8" s="163">
        <f>PLANTILLA!AD11</f>
        <v>13.33611111111111</v>
      </c>
      <c r="Q8" s="163">
        <f t="shared" si="57"/>
        <v>3.7914166666666662</v>
      </c>
      <c r="R8" s="163">
        <f t="shared" si="58"/>
        <v>10.637529836154153</v>
      </c>
      <c r="S8" s="163">
        <f t="shared" si="59"/>
        <v>0.56291666666666662</v>
      </c>
      <c r="T8" s="163">
        <f t="shared" si="60"/>
        <v>0.78426999999999991</v>
      </c>
      <c r="U8" s="163">
        <f t="shared" ca="1" si="0"/>
        <v>15.323261363770103</v>
      </c>
      <c r="V8" s="159">
        <f t="shared" si="1"/>
        <v>4.8221701705713</v>
      </c>
      <c r="W8" s="159">
        <f t="shared" si="2"/>
        <v>7.2928943095160914</v>
      </c>
      <c r="X8" s="159">
        <f t="shared" si="61"/>
        <v>4.8221701705713</v>
      </c>
      <c r="Y8" s="159">
        <f t="shared" si="3"/>
        <v>6.2393775303720398</v>
      </c>
      <c r="Z8" s="159">
        <f t="shared" si="4"/>
        <v>12.091816919325659</v>
      </c>
      <c r="AA8" s="159">
        <f t="shared" si="62"/>
        <v>3.1196887651860199</v>
      </c>
      <c r="AB8" s="159">
        <f t="shared" si="5"/>
        <v>2.4389936490217288</v>
      </c>
      <c r="AC8" s="159">
        <f t="shared" si="6"/>
        <v>4.5707067955050995</v>
      </c>
      <c r="AD8" s="159">
        <f t="shared" si="7"/>
        <v>8.7423836326724516</v>
      </c>
      <c r="AE8" s="159">
        <f t="shared" si="63"/>
        <v>2.2853533977525498</v>
      </c>
      <c r="AF8" s="159">
        <f t="shared" si="8"/>
        <v>3.9454309028292678</v>
      </c>
      <c r="AG8" s="357">
        <f t="shared" si="9"/>
        <v>11.124471565779606</v>
      </c>
      <c r="AH8" s="159">
        <f t="shared" si="10"/>
        <v>5.0060122046008226</v>
      </c>
      <c r="AI8" s="159">
        <f t="shared" si="11"/>
        <v>1.7113947033051629</v>
      </c>
      <c r="AJ8" s="357">
        <f t="shared" si="12"/>
        <v>5.0845243485634866</v>
      </c>
      <c r="AK8" s="159">
        <f t="shared" si="13"/>
        <v>9.1172299571715474</v>
      </c>
      <c r="AL8" s="159">
        <f t="shared" si="14"/>
        <v>8.5610063788825652</v>
      </c>
      <c r="AM8" s="159">
        <f t="shared" si="15"/>
        <v>2.6424846477496073</v>
      </c>
      <c r="AN8" s="159">
        <f t="shared" si="16"/>
        <v>1.8082272727657895</v>
      </c>
      <c r="AO8" s="159">
        <f t="shared" si="17"/>
        <v>3.2647905682179279</v>
      </c>
      <c r="AP8" s="159">
        <f t="shared" si="18"/>
        <v>7.1825392500794409</v>
      </c>
      <c r="AQ8" s="159">
        <f t="shared" si="64"/>
        <v>1.632395284108964</v>
      </c>
      <c r="AR8" s="159">
        <f t="shared" si="19"/>
        <v>9.6739916162878661</v>
      </c>
      <c r="AS8" s="159">
        <f t="shared" si="20"/>
        <v>1.4755628661790021</v>
      </c>
      <c r="AT8" s="159">
        <f t="shared" si="21"/>
        <v>2.355738357362418</v>
      </c>
      <c r="AU8" s="159">
        <f t="shared" si="65"/>
        <v>0.73778143308950106</v>
      </c>
      <c r="AV8" s="159">
        <f t="shared" si="22"/>
        <v>2.2853533977525498</v>
      </c>
      <c r="AW8" s="159">
        <f t="shared" si="23"/>
        <v>4.8367267677302639</v>
      </c>
      <c r="AX8" s="159">
        <f t="shared" si="66"/>
        <v>1.1426766988762749</v>
      </c>
      <c r="AY8" s="159">
        <f t="shared" si="24"/>
        <v>10.247872474881214</v>
      </c>
      <c r="AZ8" s="159">
        <f t="shared" si="25"/>
        <v>2.8716723472560579</v>
      </c>
      <c r="BA8" s="159">
        <f t="shared" si="26"/>
        <v>5.0767164558817708</v>
      </c>
      <c r="BB8" s="159">
        <f t="shared" si="67"/>
        <v>1.435836173628029</v>
      </c>
      <c r="BC8" s="159">
        <f t="shared" si="27"/>
        <v>3.5187187235237665</v>
      </c>
      <c r="BD8" s="159">
        <f t="shared" si="28"/>
        <v>4.2079522879253286</v>
      </c>
      <c r="BE8" s="159">
        <f t="shared" si="29"/>
        <v>9.0283756503703501</v>
      </c>
      <c r="BF8" s="159">
        <f t="shared" si="30"/>
        <v>8.5388665746138415</v>
      </c>
      <c r="BG8" s="159">
        <f t="shared" si="31"/>
        <v>2.7354665442241499</v>
      </c>
      <c r="BH8" s="159">
        <f t="shared" si="32"/>
        <v>5.864531205872944</v>
      </c>
      <c r="BI8" s="159">
        <f t="shared" si="33"/>
        <v>3.1922396667019739</v>
      </c>
      <c r="BJ8" s="159">
        <f t="shared" si="34"/>
        <v>3.9044394129297428</v>
      </c>
      <c r="BK8" s="159">
        <f t="shared" si="35"/>
        <v>8.1009793208239582</v>
      </c>
      <c r="BL8" s="159">
        <f t="shared" si="36"/>
        <v>0.59022514647160085</v>
      </c>
      <c r="BM8" s="159">
        <f t="shared" si="37"/>
        <v>2.1765270454786183</v>
      </c>
      <c r="BN8" s="159">
        <f t="shared" si="38"/>
        <v>0.82224355051414488</v>
      </c>
      <c r="BO8" s="159">
        <f t="shared" si="39"/>
        <v>3.1256011048387702</v>
      </c>
      <c r="BP8" s="159">
        <f t="shared" si="40"/>
        <v>11.893388558252795</v>
      </c>
      <c r="BQ8" s="159">
        <f t="shared" si="41"/>
        <v>1.5323152841089638</v>
      </c>
      <c r="BR8" s="159">
        <f t="shared" si="42"/>
        <v>3.4340760050884866</v>
      </c>
      <c r="BS8" s="159">
        <f t="shared" si="43"/>
        <v>2.9504033283154607</v>
      </c>
      <c r="BT8" s="159">
        <f t="shared" si="44"/>
        <v>4.6627819760709528</v>
      </c>
      <c r="BU8" s="159">
        <f t="shared" si="45"/>
        <v>10.240655813279494</v>
      </c>
      <c r="BV8" s="159">
        <f t="shared" si="46"/>
        <v>1.3734085139050711</v>
      </c>
      <c r="BW8" s="159">
        <f t="shared" si="47"/>
        <v>3.4340760050884866</v>
      </c>
      <c r="BX8" s="159">
        <f t="shared" si="48"/>
        <v>2.9504033283154607</v>
      </c>
      <c r="BY8" s="159">
        <f t="shared" si="49"/>
        <v>6.466407531650046</v>
      </c>
      <c r="BZ8" s="159">
        <f t="shared" si="50"/>
        <v>8.2609428094631294</v>
      </c>
      <c r="CA8" s="159">
        <f t="shared" si="51"/>
        <v>1.6798715707268639</v>
      </c>
      <c r="CB8" s="159">
        <f t="shared" si="52"/>
        <v>4.160636224801773</v>
      </c>
      <c r="CC8" s="159">
        <f t="shared" si="53"/>
        <v>4.8122752816353342</v>
      </c>
      <c r="CD8" s="159">
        <f t="shared" si="54"/>
        <v>9.511957851160691</v>
      </c>
      <c r="CE8" s="159">
        <f t="shared" si="68"/>
        <v>4.8122752816353342</v>
      </c>
      <c r="CF8" s="159">
        <f t="shared" si="55"/>
        <v>4.886181274073218</v>
      </c>
      <c r="CG8" s="159">
        <f t="shared" si="56"/>
        <v>9.9321453625568275</v>
      </c>
      <c r="CH8" s="159">
        <f t="shared" si="69"/>
        <v>4.886181274073218</v>
      </c>
      <c r="CI8" s="159">
        <f t="shared" si="70"/>
        <v>2.5619681187203036</v>
      </c>
    </row>
    <row r="9" spans="1:87" x14ac:dyDescent="0.25">
      <c r="A9" t="str">
        <f>PLANTILLA!D7</f>
        <v>B. Pinczehelyi</v>
      </c>
      <c r="C9" s="632">
        <f>PLANTILLA!E7</f>
        <v>33</v>
      </c>
      <c r="D9" s="632">
        <f ca="1">PLANTILLA!F7</f>
        <v>49</v>
      </c>
      <c r="E9" s="632" t="str">
        <f>PLANTILLA!G7</f>
        <v>CAB</v>
      </c>
      <c r="F9" s="290">
        <v>41400</v>
      </c>
      <c r="G9" s="496">
        <v>1</v>
      </c>
      <c r="H9" s="497">
        <f>PLANTILLA!I7</f>
        <v>17</v>
      </c>
      <c r="I9" s="341"/>
      <c r="J9" s="163">
        <f>PLANTILLA!X7</f>
        <v>0</v>
      </c>
      <c r="K9" s="163">
        <f>PLANTILLA!Y7</f>
        <v>14.300000000000004</v>
      </c>
      <c r="L9" s="163">
        <f>PLANTILLA!Z7</f>
        <v>9.3793333333333351</v>
      </c>
      <c r="M9" s="163">
        <f>PLANTILLA!AA7</f>
        <v>13.95</v>
      </c>
      <c r="N9" s="163">
        <f>PLANTILLA!AB7</f>
        <v>9.4199999999999982</v>
      </c>
      <c r="O9" s="163">
        <f>PLANTILLA!AC7</f>
        <v>0.95</v>
      </c>
      <c r="P9" s="163">
        <f>PLANTILLA!AD7</f>
        <v>11.25</v>
      </c>
      <c r="Q9" s="163">
        <f>((2*(N9+1))+(K9+1))/8</f>
        <v>4.5175000000000001</v>
      </c>
      <c r="R9" s="163">
        <f t="shared" si="58"/>
        <v>6.000222821661314</v>
      </c>
      <c r="S9" s="163">
        <f>(0.5*O9+ 0.3*P9)/10</f>
        <v>0.38500000000000001</v>
      </c>
      <c r="T9" s="163">
        <f>(0.4*K9+0.3*P9)/10</f>
        <v>0.9095000000000002</v>
      </c>
      <c r="U9" s="163">
        <f t="shared" ca="1" si="0"/>
        <v>13.890598561837699</v>
      </c>
      <c r="V9" s="159">
        <f t="shared" si="1"/>
        <v>6.2520425444843131</v>
      </c>
      <c r="W9" s="159">
        <f t="shared" si="2"/>
        <v>9.4865127433324705</v>
      </c>
      <c r="X9" s="159">
        <f>V9</f>
        <v>6.2520425444843131</v>
      </c>
      <c r="Y9" s="159">
        <f t="shared" si="3"/>
        <v>8.741348857908255</v>
      </c>
      <c r="Z9" s="159">
        <f t="shared" si="4"/>
        <v>16.940598561837703</v>
      </c>
      <c r="AA9" s="159">
        <f>Y9/2</f>
        <v>4.3706744289541275</v>
      </c>
      <c r="AB9" s="159">
        <f t="shared" si="5"/>
        <v>2.8607437910507061</v>
      </c>
      <c r="AC9" s="159">
        <f t="shared" si="6"/>
        <v>6.4035462563746517</v>
      </c>
      <c r="AD9" s="159">
        <f t="shared" si="7"/>
        <v>12.248052760208658</v>
      </c>
      <c r="AE9" s="159">
        <f>AC9/2</f>
        <v>3.2017731281873258</v>
      </c>
      <c r="AF9" s="159">
        <f t="shared" si="8"/>
        <v>4.6276737796408485</v>
      </c>
      <c r="AG9" s="357">
        <f t="shared" si="9"/>
        <v>15.585350676890688</v>
      </c>
      <c r="AH9" s="159">
        <f t="shared" si="10"/>
        <v>7.013407804600809</v>
      </c>
      <c r="AI9" s="159">
        <f t="shared" si="11"/>
        <v>2.0073286264935626</v>
      </c>
      <c r="AJ9" s="357">
        <f t="shared" si="12"/>
        <v>9.7552719543605662</v>
      </c>
      <c r="AK9" s="159">
        <f t="shared" si="13"/>
        <v>12.773211315625629</v>
      </c>
      <c r="AL9" s="159">
        <f t="shared" si="14"/>
        <v>11.993943781781093</v>
      </c>
      <c r="AM9" s="159">
        <f t="shared" si="15"/>
        <v>2.3197299598268959</v>
      </c>
      <c r="AN9" s="159">
        <f t="shared" si="16"/>
        <v>2.0615323858092571</v>
      </c>
      <c r="AO9" s="159">
        <f t="shared" si="17"/>
        <v>4.5739616116961805</v>
      </c>
      <c r="AP9" s="159">
        <f t="shared" si="18"/>
        <v>10.062715545731596</v>
      </c>
      <c r="AQ9" s="159">
        <f>AO9/2</f>
        <v>2.2869808058480903</v>
      </c>
      <c r="AR9" s="159">
        <f t="shared" si="19"/>
        <v>11.346815709041456</v>
      </c>
      <c r="AS9" s="159">
        <f t="shared" si="20"/>
        <v>1.5678778130389006</v>
      </c>
      <c r="AT9" s="159">
        <f t="shared" si="21"/>
        <v>2.0684453786184456</v>
      </c>
      <c r="AU9" s="159">
        <f>AS9/2</f>
        <v>0.78393890651945031</v>
      </c>
      <c r="AV9" s="159">
        <f t="shared" si="22"/>
        <v>3.2017731281873258</v>
      </c>
      <c r="AW9" s="159">
        <f t="shared" si="23"/>
        <v>6.7762394247350812</v>
      </c>
      <c r="AX9" s="159">
        <f>AV9/2</f>
        <v>1.6008865640936629</v>
      </c>
      <c r="AY9" s="159">
        <f t="shared" si="24"/>
        <v>12.019931895171034</v>
      </c>
      <c r="AZ9" s="159">
        <f t="shared" si="25"/>
        <v>3.0513314361449373</v>
      </c>
      <c r="BA9" s="159">
        <f t="shared" si="26"/>
        <v>4.8666898075725715</v>
      </c>
      <c r="BB9" s="159">
        <f>AZ9/2</f>
        <v>1.5256657180724686</v>
      </c>
      <c r="BC9" s="159">
        <f t="shared" si="27"/>
        <v>4.9297141814947709</v>
      </c>
      <c r="BD9" s="159">
        <f t="shared" si="28"/>
        <v>5.8953282995195204</v>
      </c>
      <c r="BE9" s="159">
        <f t="shared" si="29"/>
        <v>10.589559999645681</v>
      </c>
      <c r="BF9" s="159">
        <f t="shared" si="30"/>
        <v>13.322092121473712</v>
      </c>
      <c r="BG9" s="159">
        <f t="shared" si="31"/>
        <v>2.9066042534028851</v>
      </c>
      <c r="BH9" s="159">
        <f t="shared" si="32"/>
        <v>8.2161903024912863</v>
      </c>
      <c r="BI9" s="159">
        <f t="shared" si="33"/>
        <v>4.4723180203251536</v>
      </c>
      <c r="BJ9" s="159">
        <f t="shared" si="34"/>
        <v>4.5795940520601643</v>
      </c>
      <c r="BK9" s="159">
        <f t="shared" si="35"/>
        <v>13.589653143046149</v>
      </c>
      <c r="BL9" s="159">
        <f t="shared" si="36"/>
        <v>0.62715112521556027</v>
      </c>
      <c r="BM9" s="159">
        <f t="shared" si="37"/>
        <v>3.0493077411307863</v>
      </c>
      <c r="BN9" s="159">
        <f t="shared" si="38"/>
        <v>1.1519607022049638</v>
      </c>
      <c r="BO9" s="159">
        <f t="shared" si="39"/>
        <v>3.6660792280271655</v>
      </c>
      <c r="BP9" s="159">
        <f t="shared" si="40"/>
        <v>20.039929750523278</v>
      </c>
      <c r="BQ9" s="159">
        <f t="shared" si="41"/>
        <v>1.6281808058480891</v>
      </c>
      <c r="BR9" s="159">
        <f t="shared" si="42"/>
        <v>4.8111299915619075</v>
      </c>
      <c r="BS9" s="159">
        <f t="shared" si="43"/>
        <v>4.1335060490883997</v>
      </c>
      <c r="BT9" s="159">
        <f t="shared" si="44"/>
        <v>5.4690690123028203</v>
      </c>
      <c r="BU9" s="159">
        <f t="shared" si="45"/>
        <v>17.277063206516168</v>
      </c>
      <c r="BV9" s="159">
        <f t="shared" si="46"/>
        <v>1.4593324259823612</v>
      </c>
      <c r="BW9" s="159">
        <f t="shared" si="47"/>
        <v>4.8111299915619075</v>
      </c>
      <c r="BX9" s="159">
        <f t="shared" si="48"/>
        <v>4.1335060490883997</v>
      </c>
      <c r="BY9" s="159">
        <f t="shared" si="49"/>
        <v>7.5845770258529228</v>
      </c>
      <c r="BZ9" s="159">
        <f t="shared" si="50"/>
        <v>13.974295712844739</v>
      </c>
      <c r="CA9" s="159">
        <f t="shared" si="51"/>
        <v>1.7849685871519791</v>
      </c>
      <c r="CB9" s="159">
        <f t="shared" si="52"/>
        <v>4.8800923494394404</v>
      </c>
      <c r="CC9" s="159">
        <f t="shared" si="53"/>
        <v>5.8602018507174405</v>
      </c>
      <c r="CD9" s="159">
        <f t="shared" si="54"/>
        <v>8.6422239806292467</v>
      </c>
      <c r="CE9" s="159">
        <f>CC9</f>
        <v>5.8602018507174405</v>
      </c>
      <c r="CF9" s="159">
        <f t="shared" si="55"/>
        <v>6.3126829040248857</v>
      </c>
      <c r="CG9" s="159">
        <f t="shared" si="56"/>
        <v>8.0409594311558088</v>
      </c>
      <c r="CH9" s="159">
        <f>CF9</f>
        <v>6.3126829040248857</v>
      </c>
      <c r="CI9" s="159">
        <f>((L9+G9+(LOG(H9)*4/3))*0.25)</f>
        <v>3.0049829737927585</v>
      </c>
    </row>
    <row r="10" spans="1:87" x14ac:dyDescent="0.25">
      <c r="A10" t="str">
        <f>PLANTILLA!D12</f>
        <v>E. Romweber</v>
      </c>
      <c r="B10" t="s">
        <v>853</v>
      </c>
      <c r="C10" s="632">
        <f>PLANTILLA!E12</f>
        <v>34</v>
      </c>
      <c r="D10" s="632">
        <f ca="1">PLANTILLA!F12</f>
        <v>10</v>
      </c>
      <c r="E10" s="632" t="str">
        <f>PLANTILLA!G12</f>
        <v>IMP</v>
      </c>
      <c r="F10" s="290">
        <v>41583</v>
      </c>
      <c r="G10" s="496">
        <v>1.5</v>
      </c>
      <c r="H10" s="497">
        <f>PLANTILLA!I12</f>
        <v>15</v>
      </c>
      <c r="I10" s="341"/>
      <c r="J10" s="163">
        <f>PLANTILLA!X12</f>
        <v>0</v>
      </c>
      <c r="K10" s="163">
        <f>PLANTILLA!Y12</f>
        <v>11.95</v>
      </c>
      <c r="L10" s="163">
        <f>PLANTILLA!Z12</f>
        <v>12.614111111111114</v>
      </c>
      <c r="M10" s="163">
        <f>PLANTILLA!AA12</f>
        <v>12.95</v>
      </c>
      <c r="N10" s="163">
        <f>PLANTILLA!AB12</f>
        <v>10.95</v>
      </c>
      <c r="O10" s="163">
        <f>PLANTILLA!AC12</f>
        <v>6.99</v>
      </c>
      <c r="P10" s="163">
        <f>PLANTILLA!AD12</f>
        <v>17.529999999999998</v>
      </c>
      <c r="Q10" s="163">
        <f t="shared" si="57"/>
        <v>4.6062499999999993</v>
      </c>
      <c r="R10" s="163">
        <f t="shared" si="58"/>
        <v>20.425448910017408</v>
      </c>
      <c r="S10" s="163">
        <f t="shared" si="59"/>
        <v>0.87539999999999996</v>
      </c>
      <c r="T10" s="163">
        <f t="shared" si="60"/>
        <v>1.0039</v>
      </c>
      <c r="U10" s="163">
        <f t="shared" ca="1" si="0"/>
        <v>20.098121678740906</v>
      </c>
      <c r="V10" s="159">
        <f t="shared" si="1"/>
        <v>5.9766702255408131</v>
      </c>
      <c r="W10" s="159">
        <f t="shared" si="2"/>
        <v>9.0396950872545112</v>
      </c>
      <c r="X10" s="159">
        <f t="shared" si="61"/>
        <v>5.9766702255408131</v>
      </c>
      <c r="Y10" s="159">
        <f t="shared" si="3"/>
        <v>7.749350786230309</v>
      </c>
      <c r="Z10" s="159">
        <f t="shared" si="4"/>
        <v>15.018121678740908</v>
      </c>
      <c r="AA10" s="159">
        <f t="shared" si="62"/>
        <v>3.8746753931151545</v>
      </c>
      <c r="AB10" s="159">
        <f t="shared" si="5"/>
        <v>3.7323714039847813</v>
      </c>
      <c r="AC10" s="159">
        <f t="shared" si="6"/>
        <v>5.6768499945640629</v>
      </c>
      <c r="AD10" s="159">
        <f t="shared" si="7"/>
        <v>10.858101973729676</v>
      </c>
      <c r="AE10" s="159">
        <f t="shared" si="63"/>
        <v>2.8384249972820315</v>
      </c>
      <c r="AF10" s="159">
        <f t="shared" si="8"/>
        <v>6.0376596240930294</v>
      </c>
      <c r="AG10" s="357">
        <f t="shared" si="9"/>
        <v>13.816671944441635</v>
      </c>
      <c r="AH10" s="159">
        <f t="shared" si="10"/>
        <v>6.2175023749987357</v>
      </c>
      <c r="AI10" s="159">
        <f t="shared" si="11"/>
        <v>2.6189328759052879</v>
      </c>
      <c r="AJ10" s="357">
        <f t="shared" si="12"/>
        <v>9.4186555470996538</v>
      </c>
      <c r="AK10" s="159">
        <f t="shared" si="13"/>
        <v>11.323663745770645</v>
      </c>
      <c r="AL10" s="159">
        <f t="shared" si="14"/>
        <v>10.632830148548562</v>
      </c>
      <c r="AM10" s="159">
        <f t="shared" si="15"/>
        <v>3.4398863203497316</v>
      </c>
      <c r="AN10" s="159">
        <f t="shared" si="16"/>
        <v>2.2102190434773812</v>
      </c>
      <c r="AO10" s="159">
        <f t="shared" si="17"/>
        <v>4.0548928532600454</v>
      </c>
      <c r="AP10" s="159">
        <f t="shared" si="18"/>
        <v>8.9207642771720987</v>
      </c>
      <c r="AQ10" s="159">
        <f t="shared" si="64"/>
        <v>2.0274464266300227</v>
      </c>
      <c r="AR10" s="159">
        <f t="shared" si="19"/>
        <v>14.804027753620309</v>
      </c>
      <c r="AS10" s="159">
        <f t="shared" si="20"/>
        <v>1.822355818236318</v>
      </c>
      <c r="AT10" s="159">
        <f t="shared" si="21"/>
        <v>3.4222296518710857</v>
      </c>
      <c r="AU10" s="159">
        <f t="shared" si="65"/>
        <v>0.91117790911815899</v>
      </c>
      <c r="AV10" s="159">
        <f t="shared" si="22"/>
        <v>2.8384249972820315</v>
      </c>
      <c r="AW10" s="159">
        <f t="shared" si="23"/>
        <v>6.0072486714963631</v>
      </c>
      <c r="AX10" s="159">
        <f t="shared" si="66"/>
        <v>1.4192124986410157</v>
      </c>
      <c r="AY10" s="159">
        <f t="shared" si="24"/>
        <v>15.682232789852023</v>
      </c>
      <c r="AZ10" s="159">
        <f t="shared" si="25"/>
        <v>3.5465847847214498</v>
      </c>
      <c r="BA10" s="159">
        <f t="shared" si="26"/>
        <v>6.8923850449862405</v>
      </c>
      <c r="BB10" s="159">
        <f t="shared" si="67"/>
        <v>1.7732923923607249</v>
      </c>
      <c r="BC10" s="159">
        <f t="shared" si="27"/>
        <v>4.3702734085136035</v>
      </c>
      <c r="BD10" s="159">
        <f t="shared" si="28"/>
        <v>5.2263063442018352</v>
      </c>
      <c r="BE10" s="159">
        <f t="shared" si="29"/>
        <v>13.816047087859632</v>
      </c>
      <c r="BF10" s="159">
        <f t="shared" si="30"/>
        <v>13.610110172400667</v>
      </c>
      <c r="BG10" s="159">
        <f t="shared" si="31"/>
        <v>3.3783673245765589</v>
      </c>
      <c r="BH10" s="159">
        <f t="shared" si="32"/>
        <v>7.28378901418934</v>
      </c>
      <c r="BI10" s="159">
        <f t="shared" si="33"/>
        <v>3.9647841231876</v>
      </c>
      <c r="BJ10" s="159">
        <f t="shared" si="34"/>
        <v>5.9749306929336212</v>
      </c>
      <c r="BK10" s="159">
        <f t="shared" si="35"/>
        <v>13.597838347219554</v>
      </c>
      <c r="BL10" s="159">
        <f t="shared" si="36"/>
        <v>0.72894232729452713</v>
      </c>
      <c r="BM10" s="159">
        <f t="shared" si="37"/>
        <v>2.7032619021733635</v>
      </c>
      <c r="BN10" s="159">
        <f t="shared" si="38"/>
        <v>1.0212322741543818</v>
      </c>
      <c r="BO10" s="159">
        <f t="shared" si="39"/>
        <v>4.7830810009048665</v>
      </c>
      <c r="BP10" s="159">
        <f t="shared" si="40"/>
        <v>20.027304478860806</v>
      </c>
      <c r="BQ10" s="159">
        <f t="shared" si="41"/>
        <v>1.8924464266300227</v>
      </c>
      <c r="BR10" s="159">
        <f t="shared" si="42"/>
        <v>4.2651465567624172</v>
      </c>
      <c r="BS10" s="159">
        <f t="shared" si="43"/>
        <v>3.6644216896127815</v>
      </c>
      <c r="BT10" s="159">
        <f t="shared" si="44"/>
        <v>7.1354159193826705</v>
      </c>
      <c r="BU10" s="159">
        <f t="shared" si="45"/>
        <v>17.260078820044924</v>
      </c>
      <c r="BV10" s="159">
        <f t="shared" si="46"/>
        <v>1.6961927231276497</v>
      </c>
      <c r="BW10" s="159">
        <f t="shared" si="47"/>
        <v>4.2651465567624172</v>
      </c>
      <c r="BX10" s="159">
        <f t="shared" si="48"/>
        <v>3.6644216896127815</v>
      </c>
      <c r="BY10" s="159">
        <f t="shared" si="49"/>
        <v>9.895488890396626</v>
      </c>
      <c r="BZ10" s="159">
        <f t="shared" si="50"/>
        <v>13.950218902473111</v>
      </c>
      <c r="CA10" s="159">
        <f t="shared" si="51"/>
        <v>2.0746820084536544</v>
      </c>
      <c r="CB10" s="159">
        <f t="shared" si="52"/>
        <v>6.3669865126799214</v>
      </c>
      <c r="CC10" s="159">
        <f t="shared" si="53"/>
        <v>7.0885213946240127</v>
      </c>
      <c r="CD10" s="159">
        <f t="shared" si="54"/>
        <v>13.475725010262263</v>
      </c>
      <c r="CE10" s="159">
        <f t="shared" si="68"/>
        <v>7.0885213946240127</v>
      </c>
      <c r="CF10" s="159">
        <f t="shared" si="55"/>
        <v>8.015689805855585</v>
      </c>
      <c r="CG10" s="159">
        <f t="shared" si="56"/>
        <v>15.230808578196303</v>
      </c>
      <c r="CH10" s="159">
        <f t="shared" si="69"/>
        <v>8.015689805855585</v>
      </c>
      <c r="CI10" s="159">
        <f t="shared" si="70"/>
        <v>3.9205581974630057</v>
      </c>
    </row>
    <row r="11" spans="1:87" x14ac:dyDescent="0.25">
      <c r="A11" t="str">
        <f>PLANTILLA!D13</f>
        <v>K. Helms</v>
      </c>
      <c r="B11" t="s">
        <v>853</v>
      </c>
      <c r="C11" s="632">
        <f>PLANTILLA!E13</f>
        <v>33</v>
      </c>
      <c r="D11" s="632">
        <f ca="1">PLANTILLA!F13</f>
        <v>69</v>
      </c>
      <c r="E11" s="632" t="str">
        <f>PLANTILLA!G13</f>
        <v>TEC</v>
      </c>
      <c r="F11" s="290">
        <v>41722</v>
      </c>
      <c r="G11" s="496">
        <v>1.5</v>
      </c>
      <c r="H11" s="497">
        <f>PLANTILLA!I13</f>
        <v>12.1</v>
      </c>
      <c r="I11" s="341"/>
      <c r="J11" s="163">
        <f>PLANTILLA!X13</f>
        <v>0</v>
      </c>
      <c r="K11" s="163">
        <f>PLANTILLA!Y13</f>
        <v>7.2503030303030309</v>
      </c>
      <c r="L11" s="163">
        <f>PLANTILLA!Z13</f>
        <v>10.600000000000005</v>
      </c>
      <c r="M11" s="163">
        <f>PLANTILLA!AA13</f>
        <v>13.471666666666668</v>
      </c>
      <c r="N11" s="163">
        <f>PLANTILLA!AB13</f>
        <v>10.359999999999998</v>
      </c>
      <c r="O11" s="163">
        <f>PLANTILLA!AC13</f>
        <v>4.99</v>
      </c>
      <c r="P11" s="163">
        <f>PLANTILLA!AD13</f>
        <v>18</v>
      </c>
      <c r="Q11" s="163">
        <f t="shared" si="57"/>
        <v>3.8712878787878782</v>
      </c>
      <c r="R11" s="163">
        <f t="shared" si="58"/>
        <v>17.089007557865806</v>
      </c>
      <c r="S11" s="163">
        <f t="shared" si="59"/>
        <v>0.78949999999999998</v>
      </c>
      <c r="T11" s="163">
        <f t="shared" si="60"/>
        <v>0.8300121212121212</v>
      </c>
      <c r="U11" s="163">
        <f t="shared" ca="1" si="0"/>
        <v>20.443713827088601</v>
      </c>
      <c r="V11" s="159">
        <f t="shared" si="1"/>
        <v>4.5709458074119844</v>
      </c>
      <c r="W11" s="159">
        <f t="shared" si="2"/>
        <v>6.8817133386501705</v>
      </c>
      <c r="X11" s="159">
        <f t="shared" si="61"/>
        <v>4.5709458074119844</v>
      </c>
      <c r="Y11" s="159">
        <f t="shared" si="3"/>
        <v>5.2601126984140816</v>
      </c>
      <c r="Z11" s="159">
        <f t="shared" si="4"/>
        <v>10.194016857391631</v>
      </c>
      <c r="AA11" s="159">
        <f t="shared" si="62"/>
        <v>2.6300563492070408</v>
      </c>
      <c r="AB11" s="159">
        <f t="shared" si="5"/>
        <v>3.2234038908470879</v>
      </c>
      <c r="AC11" s="159">
        <f t="shared" si="6"/>
        <v>3.8533383720940364</v>
      </c>
      <c r="AD11" s="159">
        <f t="shared" si="7"/>
        <v>7.3702741878941493</v>
      </c>
      <c r="AE11" s="159">
        <f t="shared" si="63"/>
        <v>1.9266691860470182</v>
      </c>
      <c r="AF11" s="159">
        <f t="shared" si="8"/>
        <v>5.2143298234291136</v>
      </c>
      <c r="AG11" s="357">
        <f t="shared" si="9"/>
        <v>9.3784955088003006</v>
      </c>
      <c r="AH11" s="159">
        <f t="shared" si="10"/>
        <v>4.2203229789601346</v>
      </c>
      <c r="AI11" s="159">
        <f t="shared" si="11"/>
        <v>2.2618002091237974</v>
      </c>
      <c r="AJ11" s="357">
        <f t="shared" si="12"/>
        <v>9.652243730328097</v>
      </c>
      <c r="AK11" s="159">
        <f t="shared" si="13"/>
        <v>7.6862887104732902</v>
      </c>
      <c r="AL11" s="159">
        <f t="shared" si="14"/>
        <v>7.2173639350332746</v>
      </c>
      <c r="AM11" s="159">
        <f t="shared" si="15"/>
        <v>3.4976002091237968</v>
      </c>
      <c r="AN11" s="159">
        <f t="shared" si="16"/>
        <v>1.9627204912924257</v>
      </c>
      <c r="AO11" s="159">
        <f t="shared" si="17"/>
        <v>2.7523845514957404</v>
      </c>
      <c r="AP11" s="159">
        <f t="shared" si="18"/>
        <v>6.0552460132906285</v>
      </c>
      <c r="AQ11" s="159">
        <f t="shared" si="64"/>
        <v>1.3761922757478702</v>
      </c>
      <c r="AR11" s="159">
        <f t="shared" si="19"/>
        <v>12.785265852771643</v>
      </c>
      <c r="AS11" s="159">
        <f t="shared" si="20"/>
        <v>1.7294827975215177</v>
      </c>
      <c r="AT11" s="159">
        <f t="shared" si="21"/>
        <v>2.9689781513369593</v>
      </c>
      <c r="AU11" s="159">
        <f t="shared" si="65"/>
        <v>0.86474139876075884</v>
      </c>
      <c r="AV11" s="159">
        <f t="shared" si="22"/>
        <v>1.9266691860470182</v>
      </c>
      <c r="AW11" s="159">
        <f t="shared" si="23"/>
        <v>4.0776067429566529</v>
      </c>
      <c r="AX11" s="159">
        <f t="shared" si="66"/>
        <v>0.9633345930235091</v>
      </c>
      <c r="AY11" s="159">
        <f t="shared" si="24"/>
        <v>13.543713827088606</v>
      </c>
      <c r="AZ11" s="159">
        <f t="shared" si="25"/>
        <v>3.3658395982534151</v>
      </c>
      <c r="BA11" s="159">
        <f t="shared" si="26"/>
        <v>6.2026463187258187</v>
      </c>
      <c r="BB11" s="159">
        <f t="shared" si="67"/>
        <v>1.6829197991267075</v>
      </c>
      <c r="BC11" s="159">
        <f t="shared" si="27"/>
        <v>2.9664589055009642</v>
      </c>
      <c r="BD11" s="159">
        <f t="shared" si="28"/>
        <v>3.5475178663722873</v>
      </c>
      <c r="BE11" s="159">
        <f t="shared" si="29"/>
        <v>11.932011881665062</v>
      </c>
      <c r="BF11" s="159">
        <f t="shared" si="30"/>
        <v>13.613098258948432</v>
      </c>
      <c r="BG11" s="159">
        <f t="shared" si="31"/>
        <v>3.2061950323283517</v>
      </c>
      <c r="BH11" s="159">
        <f t="shared" si="32"/>
        <v>4.9440981758349407</v>
      </c>
      <c r="BI11" s="159">
        <f t="shared" si="33"/>
        <v>2.6912204503513908</v>
      </c>
      <c r="BJ11" s="159">
        <f t="shared" si="34"/>
        <v>5.160154968120759</v>
      </c>
      <c r="BK11" s="159">
        <f t="shared" si="35"/>
        <v>13.721597551542104</v>
      </c>
      <c r="BL11" s="159">
        <f t="shared" si="36"/>
        <v>0.69179311900860696</v>
      </c>
      <c r="BM11" s="159">
        <f t="shared" si="37"/>
        <v>1.8349230343304934</v>
      </c>
      <c r="BN11" s="159">
        <f t="shared" si="38"/>
        <v>0.69319314630263096</v>
      </c>
      <c r="BO11" s="159">
        <f t="shared" si="39"/>
        <v>4.1308327172620247</v>
      </c>
      <c r="BP11" s="159">
        <f t="shared" si="40"/>
        <v>20.220242648302609</v>
      </c>
      <c r="BQ11" s="159">
        <f t="shared" si="41"/>
        <v>1.7960013666569608</v>
      </c>
      <c r="BR11" s="159">
        <f t="shared" si="42"/>
        <v>2.8951007874992229</v>
      </c>
      <c r="BS11" s="159">
        <f t="shared" si="43"/>
        <v>2.4873401132035577</v>
      </c>
      <c r="BT11" s="159">
        <f t="shared" si="44"/>
        <v>6.1623897913253156</v>
      </c>
      <c r="BU11" s="159">
        <f t="shared" si="45"/>
        <v>17.428994920414169</v>
      </c>
      <c r="BV11" s="159">
        <f t="shared" si="46"/>
        <v>1.6097493730777201</v>
      </c>
      <c r="BW11" s="159">
        <f t="shared" si="47"/>
        <v>2.8951007874992229</v>
      </c>
      <c r="BX11" s="159">
        <f t="shared" si="48"/>
        <v>2.4873401132035577</v>
      </c>
      <c r="BY11" s="159">
        <f t="shared" si="49"/>
        <v>8.5460834248929096</v>
      </c>
      <c r="BZ11" s="159">
        <f t="shared" si="50"/>
        <v>14.091213875244296</v>
      </c>
      <c r="CA11" s="159">
        <f t="shared" si="51"/>
        <v>1.9689496464091123</v>
      </c>
      <c r="CB11" s="159">
        <f t="shared" si="52"/>
        <v>5.4987478137979746</v>
      </c>
      <c r="CC11" s="159">
        <f t="shared" si="53"/>
        <v>7.780292010080248</v>
      </c>
      <c r="CD11" s="159">
        <f t="shared" si="54"/>
        <v>11.849271769301762</v>
      </c>
      <c r="CE11" s="159">
        <f t="shared" si="68"/>
        <v>7.780292010080248</v>
      </c>
      <c r="CF11" s="159">
        <f t="shared" si="55"/>
        <v>7.4496920476095312</v>
      </c>
      <c r="CG11" s="159">
        <f t="shared" si="56"/>
        <v>12.842784229284293</v>
      </c>
      <c r="CH11" s="159">
        <f t="shared" si="69"/>
        <v>7.4496920476095312</v>
      </c>
      <c r="CI11" s="159">
        <f t="shared" si="70"/>
        <v>3.3859284567721515</v>
      </c>
    </row>
    <row r="12" spans="1:87" x14ac:dyDescent="0.25">
      <c r="A12" t="str">
        <f>PLANTILLA!D14</f>
        <v>S. Zobbe</v>
      </c>
      <c r="B12" t="s">
        <v>853</v>
      </c>
      <c r="C12" s="632">
        <f>PLANTILLA!E14</f>
        <v>30</v>
      </c>
      <c r="D12" s="632">
        <f ca="1">PLANTILLA!F14</f>
        <v>84</v>
      </c>
      <c r="E12" s="632" t="str">
        <f>PLANTILLA!G14</f>
        <v>CAB</v>
      </c>
      <c r="F12" s="290">
        <v>41911</v>
      </c>
      <c r="G12" s="496">
        <v>1.5</v>
      </c>
      <c r="H12" s="497">
        <f>PLANTILLA!I14</f>
        <v>11.4</v>
      </c>
      <c r="I12" s="341"/>
      <c r="J12" s="163">
        <f>PLANTILLA!X14</f>
        <v>0</v>
      </c>
      <c r="K12" s="163">
        <f>PLANTILLA!Y14</f>
        <v>8.3599999999999977</v>
      </c>
      <c r="L12" s="163">
        <f>PLANTILLA!Z14</f>
        <v>12.253412698412699</v>
      </c>
      <c r="M12" s="163">
        <f>PLANTILLA!AA14</f>
        <v>12.45</v>
      </c>
      <c r="N12" s="163">
        <f>PLANTILLA!AB14</f>
        <v>10.24</v>
      </c>
      <c r="O12" s="163">
        <f>PLANTILLA!AC14</f>
        <v>7.4766666666666666</v>
      </c>
      <c r="P12" s="163">
        <f>PLANTILLA!AD14</f>
        <v>16</v>
      </c>
      <c r="Q12" s="163">
        <f t="shared" si="57"/>
        <v>3.9799999999999995</v>
      </c>
      <c r="R12" s="163">
        <f t="shared" si="58"/>
        <v>20.040612961938137</v>
      </c>
      <c r="S12" s="163">
        <f t="shared" si="59"/>
        <v>0.85383333333333344</v>
      </c>
      <c r="T12" s="163">
        <f t="shared" si="60"/>
        <v>0.81439999999999979</v>
      </c>
      <c r="U12" s="163">
        <f t="shared" ca="1" si="0"/>
        <v>18.40920646844863</v>
      </c>
      <c r="V12" s="159">
        <f t="shared" si="1"/>
        <v>4.8470972469556539</v>
      </c>
      <c r="W12" s="159">
        <f t="shared" si="2"/>
        <v>7.3087855507671797</v>
      </c>
      <c r="X12" s="159">
        <f t="shared" si="61"/>
        <v>4.8470972469556539</v>
      </c>
      <c r="Y12" s="159">
        <f t="shared" si="3"/>
        <v>5.8149105377194923</v>
      </c>
      <c r="Z12" s="159">
        <f t="shared" si="4"/>
        <v>11.269206468448628</v>
      </c>
      <c r="AA12" s="159">
        <f t="shared" si="62"/>
        <v>2.9074552688597461</v>
      </c>
      <c r="AB12" s="159">
        <f t="shared" si="5"/>
        <v>3.6087033617129962</v>
      </c>
      <c r="AC12" s="159">
        <f t="shared" si="6"/>
        <v>4.2597600450735813</v>
      </c>
      <c r="AD12" s="159">
        <f t="shared" si="7"/>
        <v>8.1476362766883579</v>
      </c>
      <c r="AE12" s="159">
        <f t="shared" si="63"/>
        <v>2.1298800225367907</v>
      </c>
      <c r="AF12" s="159">
        <f t="shared" si="8"/>
        <v>5.8376083792416118</v>
      </c>
      <c r="AG12" s="357">
        <f t="shared" si="9"/>
        <v>10.367669950972738</v>
      </c>
      <c r="AH12" s="159">
        <f t="shared" si="10"/>
        <v>4.6654514779377321</v>
      </c>
      <c r="AI12" s="159">
        <f t="shared" si="11"/>
        <v>2.5321574008658421</v>
      </c>
      <c r="AJ12" s="357">
        <f t="shared" si="12"/>
        <v>9.0312134034477936</v>
      </c>
      <c r="AK12" s="159">
        <f t="shared" si="13"/>
        <v>8.4969816772102646</v>
      </c>
      <c r="AL12" s="159">
        <f t="shared" si="14"/>
        <v>7.9785981796616285</v>
      </c>
      <c r="AM12" s="159">
        <f t="shared" si="15"/>
        <v>3.1578374802309215</v>
      </c>
      <c r="AN12" s="159">
        <f t="shared" si="16"/>
        <v>1.9840914629132052</v>
      </c>
      <c r="AO12" s="159">
        <f t="shared" si="17"/>
        <v>3.0426857464811299</v>
      </c>
      <c r="AP12" s="159">
        <f t="shared" si="18"/>
        <v>6.693908642258485</v>
      </c>
      <c r="AQ12" s="159">
        <f t="shared" si="64"/>
        <v>1.5213428732405649</v>
      </c>
      <c r="AR12" s="159">
        <f t="shared" si="19"/>
        <v>14.313512493517095</v>
      </c>
      <c r="AS12" s="159">
        <f t="shared" si="20"/>
        <v>1.709396840898322</v>
      </c>
      <c r="AT12" s="159">
        <f t="shared" si="21"/>
        <v>3.374660828588782</v>
      </c>
      <c r="AU12" s="159">
        <f t="shared" si="65"/>
        <v>0.854698420449161</v>
      </c>
      <c r="AV12" s="159">
        <f t="shared" si="22"/>
        <v>2.1298800225367907</v>
      </c>
      <c r="AW12" s="159">
        <f t="shared" si="23"/>
        <v>4.5076825873794517</v>
      </c>
      <c r="AX12" s="159">
        <f t="shared" si="66"/>
        <v>1.0649400112683953</v>
      </c>
      <c r="AY12" s="159">
        <f t="shared" si="24"/>
        <v>15.162619166861329</v>
      </c>
      <c r="AZ12" s="159">
        <f t="shared" si="25"/>
        <v>3.3267492365175038</v>
      </c>
      <c r="BA12" s="159">
        <f t="shared" si="26"/>
        <v>6.6649127641151953</v>
      </c>
      <c r="BB12" s="159">
        <f t="shared" si="67"/>
        <v>1.6633746182587519</v>
      </c>
      <c r="BC12" s="159">
        <f t="shared" si="27"/>
        <v>3.2793390823185504</v>
      </c>
      <c r="BD12" s="159">
        <f t="shared" si="28"/>
        <v>3.9216838510201222</v>
      </c>
      <c r="BE12" s="159">
        <f t="shared" si="29"/>
        <v>13.358267486004831</v>
      </c>
      <c r="BF12" s="159">
        <f t="shared" si="30"/>
        <v>12.958184550450831</v>
      </c>
      <c r="BG12" s="159">
        <f t="shared" si="31"/>
        <v>3.1689587588961197</v>
      </c>
      <c r="BH12" s="159">
        <f t="shared" si="32"/>
        <v>5.4655651371975846</v>
      </c>
      <c r="BI12" s="159">
        <f t="shared" si="33"/>
        <v>2.9750705076704378</v>
      </c>
      <c r="BJ12" s="159">
        <f t="shared" si="34"/>
        <v>5.7769579025741669</v>
      </c>
      <c r="BK12" s="159">
        <f t="shared" si="35"/>
        <v>12.979736453424104</v>
      </c>
      <c r="BL12" s="159">
        <f t="shared" si="36"/>
        <v>0.68375873635932871</v>
      </c>
      <c r="BM12" s="159">
        <f t="shared" si="37"/>
        <v>2.028457164320753</v>
      </c>
      <c r="BN12" s="159">
        <f t="shared" si="38"/>
        <v>0.76630603985450674</v>
      </c>
      <c r="BO12" s="159">
        <f t="shared" si="39"/>
        <v>4.624598845892705</v>
      </c>
      <c r="BP12" s="159">
        <f t="shared" si="40"/>
        <v>19.119879518424938</v>
      </c>
      <c r="BQ12" s="159">
        <f t="shared" si="41"/>
        <v>1.7751428732405652</v>
      </c>
      <c r="BR12" s="159">
        <f t="shared" si="42"/>
        <v>3.2004546370394102</v>
      </c>
      <c r="BS12" s="159">
        <f t="shared" si="43"/>
        <v>2.7496863783014653</v>
      </c>
      <c r="BT12" s="159">
        <f t="shared" si="44"/>
        <v>6.8989917209219049</v>
      </c>
      <c r="BU12" s="159">
        <f t="shared" si="45"/>
        <v>16.478760767041081</v>
      </c>
      <c r="BV12" s="159">
        <f t="shared" si="46"/>
        <v>1.5910539826822843</v>
      </c>
      <c r="BW12" s="159">
        <f t="shared" si="47"/>
        <v>3.2004546370394102</v>
      </c>
      <c r="BX12" s="159">
        <f t="shared" si="48"/>
        <v>2.7496863783014653</v>
      </c>
      <c r="BY12" s="159">
        <f t="shared" si="49"/>
        <v>9.5676126942894992</v>
      </c>
      <c r="BZ12" s="159">
        <f t="shared" si="50"/>
        <v>13.319959789261524</v>
      </c>
      <c r="CA12" s="159">
        <f t="shared" si="51"/>
        <v>1.9460825573303973</v>
      </c>
      <c r="CB12" s="159">
        <f t="shared" si="52"/>
        <v>6.1560233817457002</v>
      </c>
      <c r="CC12" s="159">
        <f t="shared" si="53"/>
        <v>6.818033236728402</v>
      </c>
      <c r="CD12" s="159">
        <f t="shared" si="54"/>
        <v>13.194983150139823</v>
      </c>
      <c r="CE12" s="159">
        <f t="shared" si="68"/>
        <v>6.818033236728402</v>
      </c>
      <c r="CF12" s="159">
        <f t="shared" si="55"/>
        <v>7.8318989631768297</v>
      </c>
      <c r="CG12" s="159">
        <f t="shared" si="56"/>
        <v>15.237930321972842</v>
      </c>
      <c r="CH12" s="159">
        <f t="shared" si="69"/>
        <v>7.8318989631768297</v>
      </c>
      <c r="CI12" s="159">
        <f t="shared" si="70"/>
        <v>3.7906547917153324</v>
      </c>
    </row>
    <row r="13" spans="1:87" x14ac:dyDescent="0.25">
      <c r="A13" t="str">
        <f>PLANTILLA!D15</f>
        <v>S. Buschelman</v>
      </c>
      <c r="B13" t="s">
        <v>853</v>
      </c>
      <c r="C13" s="632">
        <f>PLANTILLA!E15</f>
        <v>32</v>
      </c>
      <c r="D13" s="632">
        <f ca="1">PLANTILLA!F15</f>
        <v>81</v>
      </c>
      <c r="E13" s="632" t="str">
        <f>PLANTILLA!G15</f>
        <v>TEC</v>
      </c>
      <c r="F13" s="290">
        <v>41747</v>
      </c>
      <c r="G13" s="496">
        <v>1.5</v>
      </c>
      <c r="H13" s="497">
        <f>PLANTILLA!I15</f>
        <v>13</v>
      </c>
      <c r="I13" s="341"/>
      <c r="J13" s="163">
        <f>PLANTILLA!X15</f>
        <v>0</v>
      </c>
      <c r="K13" s="163">
        <f>PLANTILLA!Y15</f>
        <v>9.3036666666666648</v>
      </c>
      <c r="L13" s="163">
        <f>PLANTILLA!Z15</f>
        <v>14</v>
      </c>
      <c r="M13" s="163">
        <f>PLANTILLA!AA15</f>
        <v>12.945</v>
      </c>
      <c r="N13" s="163">
        <f>PLANTILLA!AB15</f>
        <v>10</v>
      </c>
      <c r="O13" s="163">
        <f>PLANTILLA!AC15</f>
        <v>4.99</v>
      </c>
      <c r="P13" s="163">
        <f>PLANTILLA!AD15</f>
        <v>16</v>
      </c>
      <c r="Q13" s="163">
        <f t="shared" si="57"/>
        <v>4.0379583333333331</v>
      </c>
      <c r="R13" s="163">
        <f t="shared" si="58"/>
        <v>16.080819744797481</v>
      </c>
      <c r="S13" s="163">
        <f t="shared" si="59"/>
        <v>0.72950000000000004</v>
      </c>
      <c r="T13" s="163">
        <f t="shared" si="60"/>
        <v>0.8521466666666665</v>
      </c>
      <c r="U13" s="163">
        <f t="shared" ca="1" si="0"/>
        <v>18.485257803075783</v>
      </c>
      <c r="V13" s="159">
        <f t="shared" si="1"/>
        <v>5.1739420620851577</v>
      </c>
      <c r="W13" s="159">
        <f t="shared" si="2"/>
        <v>7.8080261571041678</v>
      </c>
      <c r="X13" s="159">
        <f t="shared" si="61"/>
        <v>5.1739420620851577</v>
      </c>
      <c r="Y13" s="159">
        <f t="shared" si="3"/>
        <v>6.3410850263871028</v>
      </c>
      <c r="Z13" s="159">
        <f t="shared" si="4"/>
        <v>12.288924469742447</v>
      </c>
      <c r="AA13" s="159">
        <f t="shared" si="62"/>
        <v>3.1705425131935514</v>
      </c>
      <c r="AB13" s="159">
        <f t="shared" si="5"/>
        <v>4.042491357132036</v>
      </c>
      <c r="AC13" s="159">
        <f t="shared" si="6"/>
        <v>4.6452134495626449</v>
      </c>
      <c r="AD13" s="159">
        <f t="shared" si="7"/>
        <v>8.8848923916237883</v>
      </c>
      <c r="AE13" s="159">
        <f t="shared" si="63"/>
        <v>2.3226067247813225</v>
      </c>
      <c r="AF13" s="159">
        <f t="shared" si="8"/>
        <v>6.5393242541841765</v>
      </c>
      <c r="AG13" s="357">
        <f t="shared" si="9"/>
        <v>11.305810512163053</v>
      </c>
      <c r="AH13" s="159">
        <f t="shared" si="10"/>
        <v>5.0876147304733728</v>
      </c>
      <c r="AI13" s="159">
        <f t="shared" si="11"/>
        <v>2.8365380531136557</v>
      </c>
      <c r="AJ13" s="357">
        <f t="shared" si="12"/>
        <v>9.3669915882085597</v>
      </c>
      <c r="AK13" s="159">
        <f t="shared" si="13"/>
        <v>9.2658490501858051</v>
      </c>
      <c r="AL13" s="159">
        <f t="shared" si="14"/>
        <v>8.7005585245776516</v>
      </c>
      <c r="AM13" s="159">
        <f t="shared" si="15"/>
        <v>3.1705380531136558</v>
      </c>
      <c r="AN13" s="159">
        <f t="shared" si="16"/>
        <v>2.0226862472858254</v>
      </c>
      <c r="AO13" s="159">
        <f t="shared" si="17"/>
        <v>3.318009606830461</v>
      </c>
      <c r="AP13" s="159">
        <f t="shared" si="18"/>
        <v>7.2996211350270137</v>
      </c>
      <c r="AQ13" s="159">
        <f t="shared" si="64"/>
        <v>1.6590048034152305</v>
      </c>
      <c r="AR13" s="159">
        <f t="shared" si="19"/>
        <v>16.034083366103538</v>
      </c>
      <c r="AS13" s="159">
        <f t="shared" si="20"/>
        <v>1.6880835143998518</v>
      </c>
      <c r="AT13" s="159">
        <f t="shared" si="21"/>
        <v>2.9379505363012042</v>
      </c>
      <c r="AU13" s="159">
        <f t="shared" si="65"/>
        <v>0.84404175719992591</v>
      </c>
      <c r="AV13" s="159">
        <f t="shared" si="22"/>
        <v>2.3226067247813225</v>
      </c>
      <c r="AW13" s="159">
        <f t="shared" si="23"/>
        <v>4.9155697878969793</v>
      </c>
      <c r="AX13" s="159">
        <f t="shared" si="66"/>
        <v>1.1613033623906612</v>
      </c>
      <c r="AY13" s="159">
        <f t="shared" si="24"/>
        <v>16.985257803075783</v>
      </c>
      <c r="AZ13" s="159">
        <f t="shared" si="25"/>
        <v>3.285270224178173</v>
      </c>
      <c r="BA13" s="159">
        <f t="shared" si="26"/>
        <v>6.1027770494947564</v>
      </c>
      <c r="BB13" s="159">
        <f t="shared" si="67"/>
        <v>1.6426351120890865</v>
      </c>
      <c r="BC13" s="159">
        <f t="shared" si="27"/>
        <v>3.5760770206950521</v>
      </c>
      <c r="BD13" s="159">
        <f t="shared" si="28"/>
        <v>4.2765457154703714</v>
      </c>
      <c r="BE13" s="159">
        <f t="shared" si="29"/>
        <v>14.964012124509765</v>
      </c>
      <c r="BF13" s="159">
        <f t="shared" si="30"/>
        <v>13.234324186934369</v>
      </c>
      <c r="BG13" s="159">
        <f t="shared" si="31"/>
        <v>3.1294471305412634</v>
      </c>
      <c r="BH13" s="159">
        <f t="shared" si="32"/>
        <v>5.9601283678250869</v>
      </c>
      <c r="BI13" s="159">
        <f t="shared" si="33"/>
        <v>3.2442760600120062</v>
      </c>
      <c r="BJ13" s="159">
        <f t="shared" si="34"/>
        <v>6.4713832229718733</v>
      </c>
      <c r="BK13" s="159">
        <f t="shared" si="35"/>
        <v>13.331100319888234</v>
      </c>
      <c r="BL13" s="159">
        <f t="shared" si="36"/>
        <v>0.67523340575994062</v>
      </c>
      <c r="BM13" s="159">
        <f t="shared" si="37"/>
        <v>2.2120064045536405</v>
      </c>
      <c r="BN13" s="159">
        <f t="shared" si="38"/>
        <v>0.83564686394248644</v>
      </c>
      <c r="BO13" s="159">
        <f t="shared" si="39"/>
        <v>5.180503629938114</v>
      </c>
      <c r="BP13" s="159">
        <f t="shared" si="40"/>
        <v>19.644041534755456</v>
      </c>
      <c r="BQ13" s="159">
        <f t="shared" si="41"/>
        <v>1.7530098034152308</v>
      </c>
      <c r="BR13" s="159">
        <f t="shared" si="42"/>
        <v>3.4900545494068549</v>
      </c>
      <c r="BS13" s="159">
        <f t="shared" si="43"/>
        <v>2.998497570617157</v>
      </c>
      <c r="BT13" s="159">
        <f t="shared" si="44"/>
        <v>7.728292300399481</v>
      </c>
      <c r="BU13" s="159">
        <f t="shared" si="45"/>
        <v>16.932145645807967</v>
      </c>
      <c r="BV13" s="159">
        <f t="shared" si="46"/>
        <v>1.5712161941721696</v>
      </c>
      <c r="BW13" s="159">
        <f t="shared" si="47"/>
        <v>3.4900545494068549</v>
      </c>
      <c r="BX13" s="159">
        <f t="shared" si="48"/>
        <v>2.998497570617157</v>
      </c>
      <c r="BY13" s="159">
        <f t="shared" si="49"/>
        <v>10.717697673740819</v>
      </c>
      <c r="BZ13" s="159">
        <f t="shared" si="50"/>
        <v>13.689195733752824</v>
      </c>
      <c r="CA13" s="159">
        <f t="shared" si="51"/>
        <v>1.9218181548552158</v>
      </c>
      <c r="CB13" s="159">
        <f t="shared" si="52"/>
        <v>6.8960146680487684</v>
      </c>
      <c r="CC13" s="159">
        <f t="shared" si="53"/>
        <v>7.609619939648546</v>
      </c>
      <c r="CD13" s="159">
        <f t="shared" si="54"/>
        <v>11.700570286263332</v>
      </c>
      <c r="CE13" s="159">
        <f t="shared" si="68"/>
        <v>7.609619939648546</v>
      </c>
      <c r="CF13" s="159">
        <f t="shared" si="55"/>
        <v>7.308060611316213</v>
      </c>
      <c r="CG13" s="159">
        <f t="shared" si="56"/>
        <v>12.766817932410746</v>
      </c>
      <c r="CH13" s="159">
        <f t="shared" si="69"/>
        <v>7.308060611316213</v>
      </c>
      <c r="CI13" s="159">
        <f t="shared" si="70"/>
        <v>4.2463144507689456</v>
      </c>
    </row>
    <row r="14" spans="1:87" x14ac:dyDescent="0.25">
      <c r="A14" t="str">
        <f>PLANTILLA!D16</f>
        <v>C. Rojas</v>
      </c>
      <c r="B14" t="s">
        <v>853</v>
      </c>
      <c r="C14" s="632">
        <f>PLANTILLA!E16</f>
        <v>35</v>
      </c>
      <c r="D14" s="632">
        <f ca="1">PLANTILLA!F16</f>
        <v>3</v>
      </c>
      <c r="E14" s="632" t="str">
        <f>PLANTILLA!G16</f>
        <v>TEC</v>
      </c>
      <c r="F14" s="290">
        <v>41653</v>
      </c>
      <c r="G14" s="496">
        <v>1.5</v>
      </c>
      <c r="H14" s="497">
        <f>PLANTILLA!I16</f>
        <v>13.2</v>
      </c>
      <c r="I14" s="341"/>
      <c r="J14" s="163">
        <f>PLANTILLA!X16</f>
        <v>0</v>
      </c>
      <c r="K14" s="163">
        <f>PLANTILLA!Y16</f>
        <v>8.6275555555555581</v>
      </c>
      <c r="L14" s="163">
        <f>PLANTILLA!Z16</f>
        <v>13.95</v>
      </c>
      <c r="M14" s="163">
        <f>PLANTILLA!AA16</f>
        <v>9.9499999999999993</v>
      </c>
      <c r="N14" s="163">
        <f>PLANTILLA!AB16</f>
        <v>9.9499999999999993</v>
      </c>
      <c r="O14" s="163">
        <f>PLANTILLA!AC16</f>
        <v>2.95</v>
      </c>
      <c r="P14" s="163">
        <f>PLANTILLA!AD16</f>
        <v>17.144444444444439</v>
      </c>
      <c r="Q14" s="163">
        <f t="shared" si="57"/>
        <v>3.9409444444444448</v>
      </c>
      <c r="R14" s="163">
        <f t="shared" si="58"/>
        <v>13.343402295064346</v>
      </c>
      <c r="S14" s="163">
        <f t="shared" si="59"/>
        <v>0.66183333333333327</v>
      </c>
      <c r="T14" s="163">
        <f t="shared" si="60"/>
        <v>0.85943555555555551</v>
      </c>
      <c r="U14" s="163">
        <f t="shared" ca="1" si="0"/>
        <v>19.638543019385573</v>
      </c>
      <c r="V14" s="159">
        <f t="shared" si="1"/>
        <v>4.9950533892569426</v>
      </c>
      <c r="W14" s="159">
        <f t="shared" si="2"/>
        <v>7.5320923713601147</v>
      </c>
      <c r="X14" s="159">
        <f t="shared" si="61"/>
        <v>4.9950533892569426</v>
      </c>
      <c r="Y14" s="159">
        <f t="shared" si="3"/>
        <v>5.9967735313362924</v>
      </c>
      <c r="Z14" s="159">
        <f t="shared" si="4"/>
        <v>11.62165413049669</v>
      </c>
      <c r="AA14" s="159">
        <f t="shared" si="62"/>
        <v>2.9983867656681462</v>
      </c>
      <c r="AB14" s="159">
        <f t="shared" si="5"/>
        <v>4.0326954608359893</v>
      </c>
      <c r="AC14" s="159">
        <f t="shared" si="6"/>
        <v>4.3929852613277491</v>
      </c>
      <c r="AD14" s="159">
        <f t="shared" si="7"/>
        <v>8.4024559363491065</v>
      </c>
      <c r="AE14" s="159">
        <f t="shared" si="63"/>
        <v>2.1964926306638746</v>
      </c>
      <c r="AF14" s="159">
        <f t="shared" si="8"/>
        <v>6.5234779513523362</v>
      </c>
      <c r="AG14" s="357">
        <f t="shared" si="9"/>
        <v>10.691921800056955</v>
      </c>
      <c r="AH14" s="159">
        <f t="shared" si="10"/>
        <v>4.8113648100256299</v>
      </c>
      <c r="AI14" s="159">
        <f t="shared" si="11"/>
        <v>2.8296644620151694</v>
      </c>
      <c r="AJ14" s="357">
        <f t="shared" si="12"/>
        <v>7.6111299620653856</v>
      </c>
      <c r="AK14" s="159">
        <f t="shared" si="13"/>
        <v>8.7627272143945039</v>
      </c>
      <c r="AL14" s="159">
        <f t="shared" si="14"/>
        <v>8.2281311243916555</v>
      </c>
      <c r="AM14" s="159">
        <f t="shared" si="15"/>
        <v>3.3631366842373907</v>
      </c>
      <c r="AN14" s="159">
        <f t="shared" si="16"/>
        <v>1.9972923895830463</v>
      </c>
      <c r="AO14" s="159">
        <f t="shared" si="17"/>
        <v>3.1378466152341065</v>
      </c>
      <c r="AP14" s="159">
        <f t="shared" si="18"/>
        <v>6.9032625535150336</v>
      </c>
      <c r="AQ14" s="159">
        <f t="shared" si="64"/>
        <v>1.5689233076170532</v>
      </c>
      <c r="AR14" s="159">
        <f t="shared" si="19"/>
        <v>15.99522905474443</v>
      </c>
      <c r="AS14" s="159">
        <f t="shared" si="20"/>
        <v>1.6827328147423475</v>
      </c>
      <c r="AT14" s="159">
        <f t="shared" si="21"/>
        <v>2.5816208824577518</v>
      </c>
      <c r="AU14" s="159">
        <f t="shared" si="65"/>
        <v>0.84136640737117374</v>
      </c>
      <c r="AV14" s="159">
        <f t="shared" si="22"/>
        <v>2.1964926306638746</v>
      </c>
      <c r="AW14" s="159">
        <f t="shared" si="23"/>
        <v>4.6486616521986761</v>
      </c>
      <c r="AX14" s="159">
        <f t="shared" si="66"/>
        <v>1.0982463153319373</v>
      </c>
      <c r="AY14" s="159">
        <f t="shared" si="24"/>
        <v>16.944098574941133</v>
      </c>
      <c r="AZ14" s="159">
        <f t="shared" si="25"/>
        <v>3.2748569394601068</v>
      </c>
      <c r="BA14" s="159">
        <f t="shared" si="26"/>
        <v>5.6621983147925645</v>
      </c>
      <c r="BB14" s="159">
        <f t="shared" si="67"/>
        <v>1.6374284697300534</v>
      </c>
      <c r="BC14" s="159">
        <f t="shared" si="27"/>
        <v>3.3819013519745367</v>
      </c>
      <c r="BD14" s="159">
        <f t="shared" si="28"/>
        <v>4.0443356374128481</v>
      </c>
      <c r="BE14" s="159">
        <f t="shared" si="29"/>
        <v>14.927750844523139</v>
      </c>
      <c r="BF14" s="159">
        <f t="shared" si="30"/>
        <v>11.507303633122667</v>
      </c>
      <c r="BG14" s="159">
        <f t="shared" si="31"/>
        <v>3.1195277565608128</v>
      </c>
      <c r="BH14" s="159">
        <f t="shared" si="32"/>
        <v>5.636502253290895</v>
      </c>
      <c r="BI14" s="159">
        <f t="shared" si="33"/>
        <v>3.0681166904511263</v>
      </c>
      <c r="BJ14" s="159">
        <f t="shared" si="34"/>
        <v>6.4557015570525715</v>
      </c>
      <c r="BK14" s="159">
        <f t="shared" si="35"/>
        <v>11.31314215449855</v>
      </c>
      <c r="BL14" s="159">
        <f t="shared" si="36"/>
        <v>0.67309312589693893</v>
      </c>
      <c r="BM14" s="159">
        <f t="shared" si="37"/>
        <v>2.0918977434894042</v>
      </c>
      <c r="BN14" s="159">
        <f t="shared" si="38"/>
        <v>0.790272480873775</v>
      </c>
      <c r="BO14" s="159">
        <f t="shared" si="39"/>
        <v>5.1679500653570454</v>
      </c>
      <c r="BP14" s="159">
        <f t="shared" si="40"/>
        <v>16.646110767374296</v>
      </c>
      <c r="BQ14" s="159">
        <f t="shared" si="41"/>
        <v>1.7474533076170531</v>
      </c>
      <c r="BR14" s="159">
        <f t="shared" si="42"/>
        <v>3.3005497730610598</v>
      </c>
      <c r="BS14" s="159">
        <f t="shared" si="43"/>
        <v>2.8356836078411924</v>
      </c>
      <c r="BT14" s="159">
        <f t="shared" si="44"/>
        <v>7.7095648515982163</v>
      </c>
      <c r="BU14" s="159">
        <f t="shared" si="45"/>
        <v>14.342061221034776</v>
      </c>
      <c r="BV14" s="159">
        <f t="shared" si="46"/>
        <v>1.566235927567877</v>
      </c>
      <c r="BW14" s="159">
        <f t="shared" si="47"/>
        <v>3.3005497730610598</v>
      </c>
      <c r="BX14" s="159">
        <f t="shared" si="48"/>
        <v>2.8356836078411924</v>
      </c>
      <c r="BY14" s="159">
        <f t="shared" si="49"/>
        <v>10.691726200787855</v>
      </c>
      <c r="BZ14" s="159">
        <f t="shared" si="50"/>
        <v>11.584968224572314</v>
      </c>
      <c r="CA14" s="159">
        <f t="shared" si="51"/>
        <v>1.9157265890912876</v>
      </c>
      <c r="CB14" s="159">
        <f t="shared" si="52"/>
        <v>6.8793040214261003</v>
      </c>
      <c r="CC14" s="159">
        <f t="shared" si="53"/>
        <v>6.8904032435396205</v>
      </c>
      <c r="CD14" s="159">
        <f t="shared" si="54"/>
        <v>10.494054995383717</v>
      </c>
      <c r="CE14" s="159">
        <f t="shared" si="68"/>
        <v>6.8904032435396205</v>
      </c>
      <c r="CF14" s="159">
        <f t="shared" si="55"/>
        <v>6.1141734121883262</v>
      </c>
      <c r="CG14" s="159">
        <f t="shared" si="56"/>
        <v>10.720470949094413</v>
      </c>
      <c r="CH14" s="159">
        <f t="shared" si="69"/>
        <v>6.1141734121883262</v>
      </c>
      <c r="CI14" s="159">
        <f t="shared" si="70"/>
        <v>4.2360246437352833</v>
      </c>
    </row>
    <row r="15" spans="1:87" x14ac:dyDescent="0.25">
      <c r="A15" t="str">
        <f>PLANTILLA!D17</f>
        <v>E. Gross</v>
      </c>
      <c r="B15" t="s">
        <v>853</v>
      </c>
      <c r="C15" s="632">
        <f>PLANTILLA!E17</f>
        <v>33</v>
      </c>
      <c r="D15" s="632">
        <f ca="1">PLANTILLA!F17</f>
        <v>109</v>
      </c>
      <c r="E15" s="632"/>
      <c r="F15" s="290">
        <v>41552</v>
      </c>
      <c r="G15" s="496">
        <v>1.5</v>
      </c>
      <c r="H15" s="497">
        <f>PLANTILLA!I17</f>
        <v>12</v>
      </c>
      <c r="I15" s="341"/>
      <c r="J15" s="163">
        <f>PLANTILLA!X17</f>
        <v>0</v>
      </c>
      <c r="K15" s="163">
        <f>PLANTILLA!Y17</f>
        <v>10.549999999999995</v>
      </c>
      <c r="L15" s="163">
        <f>PLANTILLA!Z17</f>
        <v>13</v>
      </c>
      <c r="M15" s="163">
        <f>PLANTILLA!AA17</f>
        <v>4.95</v>
      </c>
      <c r="N15" s="163">
        <f>PLANTILLA!AB17</f>
        <v>9.24</v>
      </c>
      <c r="O15" s="163">
        <f>PLANTILLA!AC17</f>
        <v>1.95</v>
      </c>
      <c r="P15" s="163">
        <f>PLANTILLA!AD17</f>
        <v>17.459999999999997</v>
      </c>
      <c r="Q15" s="163">
        <f t="shared" si="57"/>
        <v>4.0037499999999993</v>
      </c>
      <c r="R15" s="163">
        <f t="shared" si="58"/>
        <v>11.734987405020336</v>
      </c>
      <c r="S15" s="163">
        <f t="shared" si="59"/>
        <v>0.62129999999999985</v>
      </c>
      <c r="T15" s="163">
        <f t="shared" si="60"/>
        <v>0.94579999999999964</v>
      </c>
      <c r="U15" s="163">
        <f t="shared" ca="1" si="0"/>
        <v>19.898908328063499</v>
      </c>
      <c r="V15" s="159">
        <f t="shared" si="1"/>
        <v>5.4774669703994343</v>
      </c>
      <c r="W15" s="159">
        <f t="shared" si="2"/>
        <v>8.2778806515299763</v>
      </c>
      <c r="X15" s="159">
        <f t="shared" si="61"/>
        <v>5.4774669703994343</v>
      </c>
      <c r="Y15" s="159">
        <f t="shared" si="3"/>
        <v>6.9602766972807633</v>
      </c>
      <c r="Z15" s="159">
        <f t="shared" si="4"/>
        <v>13.488908328063495</v>
      </c>
      <c r="AA15" s="159">
        <f t="shared" si="62"/>
        <v>3.4801383486403816</v>
      </c>
      <c r="AB15" s="159">
        <f t="shared" si="5"/>
        <v>3.7934601820791127</v>
      </c>
      <c r="AC15" s="159">
        <f t="shared" si="6"/>
        <v>5.098807348008001</v>
      </c>
      <c r="AD15" s="159">
        <f t="shared" si="7"/>
        <v>9.7524807211899063</v>
      </c>
      <c r="AE15" s="159">
        <f t="shared" si="63"/>
        <v>2.5494036740040005</v>
      </c>
      <c r="AF15" s="159">
        <f t="shared" si="8"/>
        <v>6.1364797063044474</v>
      </c>
      <c r="AG15" s="357">
        <f t="shared" si="9"/>
        <v>12.409795661818416</v>
      </c>
      <c r="AH15" s="159">
        <f t="shared" si="10"/>
        <v>5.5844080478182869</v>
      </c>
      <c r="AI15" s="159">
        <f t="shared" si="11"/>
        <v>2.6617976907866048</v>
      </c>
      <c r="AJ15" s="357">
        <f t="shared" si="12"/>
        <v>4.6386780969013373</v>
      </c>
      <c r="AK15" s="159">
        <f t="shared" si="13"/>
        <v>10.170636879359876</v>
      </c>
      <c r="AL15" s="159">
        <f t="shared" si="14"/>
        <v>9.5501470962689545</v>
      </c>
      <c r="AM15" s="159">
        <f t="shared" si="15"/>
        <v>3.4066176907866046</v>
      </c>
      <c r="AN15" s="159">
        <f t="shared" si="16"/>
        <v>1.9994855984822875</v>
      </c>
      <c r="AO15" s="159">
        <f t="shared" si="17"/>
        <v>3.6420052485771439</v>
      </c>
      <c r="AP15" s="159">
        <f t="shared" si="18"/>
        <v>8.0124115468697159</v>
      </c>
      <c r="AQ15" s="159">
        <f t="shared" si="64"/>
        <v>1.821002624288572</v>
      </c>
      <c r="AR15" s="159">
        <f t="shared" si="19"/>
        <v>15.046329461691943</v>
      </c>
      <c r="AS15" s="159">
        <f t="shared" si="20"/>
        <v>1.583258082648255</v>
      </c>
      <c r="AT15" s="159">
        <f t="shared" si="21"/>
        <v>2.3072501401226053</v>
      </c>
      <c r="AU15" s="159">
        <f t="shared" si="65"/>
        <v>0.79162904132412748</v>
      </c>
      <c r="AV15" s="159">
        <f t="shared" si="22"/>
        <v>2.5494036740040005</v>
      </c>
      <c r="AW15" s="159">
        <f t="shared" si="23"/>
        <v>5.3955633312253983</v>
      </c>
      <c r="AX15" s="159">
        <f t="shared" si="66"/>
        <v>1.2747018370020002</v>
      </c>
      <c r="AY15" s="159">
        <f t="shared" si="24"/>
        <v>15.9389083280635</v>
      </c>
      <c r="AZ15" s="159">
        <f t="shared" si="25"/>
        <v>3.0812638070000653</v>
      </c>
      <c r="BA15" s="159">
        <f t="shared" si="26"/>
        <v>5.1796784887629892</v>
      </c>
      <c r="BB15" s="159">
        <f t="shared" si="67"/>
        <v>1.5406319035000327</v>
      </c>
      <c r="BC15" s="159">
        <f t="shared" si="27"/>
        <v>3.9252723234664768</v>
      </c>
      <c r="BD15" s="159">
        <f t="shared" si="28"/>
        <v>4.6941400981660957</v>
      </c>
      <c r="BE15" s="159">
        <f t="shared" si="29"/>
        <v>14.042178237023943</v>
      </c>
      <c r="BF15" s="159">
        <f t="shared" si="30"/>
        <v>8.3645895036484514</v>
      </c>
      <c r="BG15" s="159">
        <f t="shared" si="31"/>
        <v>2.9351169070633034</v>
      </c>
      <c r="BH15" s="159">
        <f t="shared" si="32"/>
        <v>6.5421205391107948</v>
      </c>
      <c r="BI15" s="159">
        <f t="shared" si="33"/>
        <v>3.5610717986087628</v>
      </c>
      <c r="BJ15" s="159">
        <f t="shared" si="34"/>
        <v>6.0727240729921936</v>
      </c>
      <c r="BK15" s="159">
        <f t="shared" si="35"/>
        <v>7.757195878727499</v>
      </c>
      <c r="BL15" s="159">
        <f t="shared" si="36"/>
        <v>0.63330323305930192</v>
      </c>
      <c r="BM15" s="159">
        <f t="shared" si="37"/>
        <v>2.428003499051429</v>
      </c>
      <c r="BN15" s="159">
        <f t="shared" si="38"/>
        <v>0.91724576630831767</v>
      </c>
      <c r="BO15" s="159">
        <f t="shared" si="39"/>
        <v>4.8613670400593669</v>
      </c>
      <c r="BP15" s="159">
        <f t="shared" si="40"/>
        <v>11.37207610988966</v>
      </c>
      <c r="BQ15" s="159">
        <f t="shared" si="41"/>
        <v>1.6441526242885727</v>
      </c>
      <c r="BR15" s="159">
        <f t="shared" si="42"/>
        <v>3.8308499651700321</v>
      </c>
      <c r="BS15" s="159">
        <f t="shared" si="43"/>
        <v>3.2912936320474926</v>
      </c>
      <c r="BT15" s="159">
        <f t="shared" si="44"/>
        <v>7.2522032892688921</v>
      </c>
      <c r="BU15" s="159">
        <f t="shared" si="45"/>
        <v>9.7876704274943567</v>
      </c>
      <c r="BV15" s="159">
        <f t="shared" si="46"/>
        <v>1.4736479076956834</v>
      </c>
      <c r="BW15" s="159">
        <f t="shared" si="47"/>
        <v>3.8308499651700321</v>
      </c>
      <c r="BX15" s="159">
        <f t="shared" si="48"/>
        <v>3.2912936320474926</v>
      </c>
      <c r="BY15" s="159">
        <f t="shared" si="49"/>
        <v>10.057451155008069</v>
      </c>
      <c r="BZ15" s="159">
        <f t="shared" si="50"/>
        <v>7.8885429536168328</v>
      </c>
      <c r="CA15" s="159">
        <f t="shared" si="51"/>
        <v>1.8024784325533978</v>
      </c>
      <c r="CB15" s="159">
        <f t="shared" si="52"/>
        <v>6.4711967811937816</v>
      </c>
      <c r="CC15" s="159">
        <f t="shared" si="53"/>
        <v>4.8016212389210828</v>
      </c>
      <c r="CD15" s="159">
        <f t="shared" si="54"/>
        <v>9.4633807773995002</v>
      </c>
      <c r="CE15" s="159">
        <f t="shared" si="68"/>
        <v>4.8016212389210828</v>
      </c>
      <c r="CF15" s="159">
        <f t="shared" si="55"/>
        <v>4.6139698883835605</v>
      </c>
      <c r="CG15" s="159">
        <f t="shared" si="56"/>
        <v>9.3829255011189314</v>
      </c>
      <c r="CH15" s="159">
        <f t="shared" si="69"/>
        <v>4.6139698883835605</v>
      </c>
      <c r="CI15" s="159">
        <f t="shared" si="70"/>
        <v>3.9847270820158749</v>
      </c>
    </row>
    <row r="16" spans="1:87" x14ac:dyDescent="0.25">
      <c r="A16" t="str">
        <f>PLANTILLA!D18</f>
        <v>L. Bauman</v>
      </c>
      <c r="B16" t="s">
        <v>853</v>
      </c>
      <c r="C16" s="632">
        <f>PLANTILLA!E18</f>
        <v>33</v>
      </c>
      <c r="D16" s="632">
        <f ca="1">PLANTILLA!F18</f>
        <v>84</v>
      </c>
      <c r="E16" s="632"/>
      <c r="F16" s="290">
        <v>41686</v>
      </c>
      <c r="G16" s="496">
        <v>1.5</v>
      </c>
      <c r="H16" s="497">
        <f>PLANTILLA!I18</f>
        <v>10.3</v>
      </c>
      <c r="I16" s="341"/>
      <c r="J16" s="163">
        <f>PLANTILLA!X18</f>
        <v>0</v>
      </c>
      <c r="K16" s="163">
        <f>PLANTILLA!Y18</f>
        <v>6</v>
      </c>
      <c r="L16" s="163">
        <f>PLANTILLA!Z18</f>
        <v>14.1</v>
      </c>
      <c r="M16" s="163">
        <f>PLANTILLA!AA18</f>
        <v>3.5124999999999993</v>
      </c>
      <c r="N16" s="163">
        <f>PLANTILLA!AB18</f>
        <v>9.1400000000000041</v>
      </c>
      <c r="O16" s="163">
        <f>PLANTILLA!AC18</f>
        <v>6.95</v>
      </c>
      <c r="P16" s="163">
        <f>PLANTILLA!AD18</f>
        <v>17</v>
      </c>
      <c r="Q16" s="163">
        <f t="shared" si="57"/>
        <v>3.410000000000001</v>
      </c>
      <c r="R16" s="163">
        <f t="shared" si="58"/>
        <v>19.586493688797908</v>
      </c>
      <c r="S16" s="163">
        <f t="shared" si="59"/>
        <v>0.85749999999999993</v>
      </c>
      <c r="T16" s="163">
        <f t="shared" si="60"/>
        <v>0.75</v>
      </c>
      <c r="U16" s="163">
        <f t="shared" ca="1" si="0"/>
        <v>19.350449632940229</v>
      </c>
      <c r="V16" s="159">
        <f t="shared" si="1"/>
        <v>4.1444425295568204</v>
      </c>
      <c r="W16" s="159">
        <f t="shared" si="2"/>
        <v>6.2299304761258361</v>
      </c>
      <c r="X16" s="159">
        <f t="shared" si="61"/>
        <v>4.1444425295568204</v>
      </c>
      <c r="Y16" s="159">
        <f t="shared" si="3"/>
        <v>4.5668320105971585</v>
      </c>
      <c r="Z16" s="159">
        <f t="shared" si="4"/>
        <v>8.8504496329402293</v>
      </c>
      <c r="AA16" s="159">
        <f t="shared" si="62"/>
        <v>2.2834160052985792</v>
      </c>
      <c r="AB16" s="159">
        <f t="shared" si="5"/>
        <v>4.0342070126397749</v>
      </c>
      <c r="AC16" s="159">
        <f t="shared" si="6"/>
        <v>3.3454699612514065</v>
      </c>
      <c r="AD16" s="159">
        <f t="shared" si="7"/>
        <v>6.3988750846157858</v>
      </c>
      <c r="AE16" s="159">
        <f t="shared" si="63"/>
        <v>1.6727349806257032</v>
      </c>
      <c r="AF16" s="159">
        <f t="shared" si="8"/>
        <v>6.5259231086819893</v>
      </c>
      <c r="AG16" s="357">
        <f t="shared" si="9"/>
        <v>8.1424136623050121</v>
      </c>
      <c r="AH16" s="159">
        <f t="shared" si="10"/>
        <v>3.6640861480372546</v>
      </c>
      <c r="AI16" s="159">
        <f t="shared" si="11"/>
        <v>2.8307250887010187</v>
      </c>
      <c r="AJ16" s="357">
        <f t="shared" si="12"/>
        <v>3.7414143841688543</v>
      </c>
      <c r="AK16" s="159">
        <f t="shared" si="13"/>
        <v>6.673239023236933</v>
      </c>
      <c r="AL16" s="159">
        <f t="shared" si="14"/>
        <v>6.2661183401216825</v>
      </c>
      <c r="AM16" s="159">
        <f t="shared" si="15"/>
        <v>3.3150250887010184</v>
      </c>
      <c r="AN16" s="159">
        <f t="shared" si="16"/>
        <v>1.8030094942867863</v>
      </c>
      <c r="AO16" s="159">
        <f t="shared" si="17"/>
        <v>2.3896214008938621</v>
      </c>
      <c r="AP16" s="159">
        <f t="shared" si="18"/>
        <v>5.2571670819664957</v>
      </c>
      <c r="AQ16" s="159">
        <f t="shared" si="64"/>
        <v>1.1948107004469311</v>
      </c>
      <c r="AR16" s="159">
        <f t="shared" si="19"/>
        <v>16.001224453495578</v>
      </c>
      <c r="AS16" s="159">
        <f t="shared" si="20"/>
        <v>1.5587584522822304</v>
      </c>
      <c r="AT16" s="159">
        <f t="shared" si="21"/>
        <v>3.1343317424514874</v>
      </c>
      <c r="AU16" s="159">
        <f t="shared" si="65"/>
        <v>0.77937922614111521</v>
      </c>
      <c r="AV16" s="159">
        <f t="shared" si="22"/>
        <v>1.6727349806257032</v>
      </c>
      <c r="AW16" s="159">
        <f t="shared" si="23"/>
        <v>3.5401798531760917</v>
      </c>
      <c r="AX16" s="159">
        <f t="shared" si="66"/>
        <v>0.83636749031285162</v>
      </c>
      <c r="AY16" s="159">
        <f t="shared" si="24"/>
        <v>16.950449632940231</v>
      </c>
      <c r="AZ16" s="159">
        <f t="shared" si="25"/>
        <v>3.0335837571338793</v>
      </c>
      <c r="BA16" s="159">
        <f t="shared" si="26"/>
        <v>6.1468377477500677</v>
      </c>
      <c r="BB16" s="159">
        <f t="shared" si="67"/>
        <v>1.5167918785669396</v>
      </c>
      <c r="BC16" s="159">
        <f t="shared" si="27"/>
        <v>2.5754808431856064</v>
      </c>
      <c r="BD16" s="159">
        <f t="shared" si="28"/>
        <v>3.0799564722631998</v>
      </c>
      <c r="BE16" s="159">
        <f t="shared" si="29"/>
        <v>14.933346126620343</v>
      </c>
      <c r="BF16" s="159">
        <f t="shared" si="30"/>
        <v>7.4293247236838642</v>
      </c>
      <c r="BG16" s="159">
        <f t="shared" si="31"/>
        <v>2.889698361538596</v>
      </c>
      <c r="BH16" s="159">
        <f t="shared" si="32"/>
        <v>4.2924680719760113</v>
      </c>
      <c r="BI16" s="159">
        <f t="shared" si="33"/>
        <v>2.3365187030962207</v>
      </c>
      <c r="BJ16" s="159">
        <f t="shared" si="34"/>
        <v>6.4581213101502284</v>
      </c>
      <c r="BK16" s="159">
        <f t="shared" si="35"/>
        <v>6.6923454791897612</v>
      </c>
      <c r="BL16" s="159">
        <f t="shared" si="36"/>
        <v>0.62350338091289215</v>
      </c>
      <c r="BM16" s="159">
        <f t="shared" si="37"/>
        <v>1.5930809339292413</v>
      </c>
      <c r="BN16" s="159">
        <f t="shared" si="38"/>
        <v>0.60183057503993564</v>
      </c>
      <c r="BO16" s="159">
        <f t="shared" si="39"/>
        <v>5.1698871380467706</v>
      </c>
      <c r="BP16" s="159">
        <f t="shared" si="40"/>
        <v>9.7922182279611345</v>
      </c>
      <c r="BQ16" s="159">
        <f t="shared" si="41"/>
        <v>1.6187107004469317</v>
      </c>
      <c r="BR16" s="159">
        <f t="shared" si="42"/>
        <v>2.513527695755025</v>
      </c>
      <c r="BS16" s="159">
        <f t="shared" si="43"/>
        <v>2.1595097104374159</v>
      </c>
      <c r="BT16" s="159">
        <f t="shared" si="44"/>
        <v>7.7124545829878048</v>
      </c>
      <c r="BU16" s="159">
        <f t="shared" si="45"/>
        <v>8.4232581932977748</v>
      </c>
      <c r="BV16" s="159">
        <f t="shared" si="46"/>
        <v>1.4508444055857681</v>
      </c>
      <c r="BW16" s="159">
        <f t="shared" si="47"/>
        <v>2.513527695755025</v>
      </c>
      <c r="BX16" s="159">
        <f t="shared" si="48"/>
        <v>2.1595097104374159</v>
      </c>
      <c r="BY16" s="159">
        <f t="shared" si="49"/>
        <v>10.695733718385286</v>
      </c>
      <c r="BZ16" s="159">
        <f t="shared" si="50"/>
        <v>6.780947421481506</v>
      </c>
      <c r="CA16" s="159">
        <f t="shared" si="51"/>
        <v>1.7745865456751544</v>
      </c>
      <c r="CB16" s="159">
        <f t="shared" si="52"/>
        <v>6.8818825509737342</v>
      </c>
      <c r="CC16" s="159">
        <f t="shared" si="53"/>
        <v>5.1585342587618603</v>
      </c>
      <c r="CD16" s="159">
        <f t="shared" si="54"/>
        <v>12.224476286690701</v>
      </c>
      <c r="CE16" s="159">
        <f t="shared" si="68"/>
        <v>5.1585342587618603</v>
      </c>
      <c r="CF16" s="159">
        <f t="shared" si="55"/>
        <v>5.5269726213217636</v>
      </c>
      <c r="CG16" s="159">
        <f t="shared" si="56"/>
        <v>14.224925547495175</v>
      </c>
      <c r="CH16" s="159">
        <f t="shared" si="69"/>
        <v>5.5269726213217636</v>
      </c>
      <c r="CI16" s="159">
        <f t="shared" si="70"/>
        <v>4.2376124082350577</v>
      </c>
    </row>
    <row r="17" spans="1:87" x14ac:dyDescent="0.25">
      <c r="A17" t="str">
        <f>PLANTILLA!D19</f>
        <v>W. Gelifini</v>
      </c>
      <c r="B17" t="s">
        <v>853</v>
      </c>
      <c r="C17" s="632">
        <f>PLANTILLA!E19</f>
        <v>32</v>
      </c>
      <c r="D17" s="632">
        <f ca="1">PLANTILLA!F19</f>
        <v>34</v>
      </c>
      <c r="E17" s="632"/>
      <c r="F17" s="290">
        <v>41737</v>
      </c>
      <c r="G17" s="496">
        <v>1.5</v>
      </c>
      <c r="H17" s="497">
        <f>PLANTILLA!I19</f>
        <v>4.5</v>
      </c>
      <c r="I17" s="341"/>
      <c r="J17" s="163">
        <f>PLANTILLA!X19</f>
        <v>0</v>
      </c>
      <c r="K17" s="163">
        <f>PLANTILLA!Y19</f>
        <v>5.6515555555555519</v>
      </c>
      <c r="L17" s="163">
        <f>PLANTILLA!Z19</f>
        <v>9.9499999999999993</v>
      </c>
      <c r="M17" s="163">
        <f>PLANTILLA!AA19</f>
        <v>6.95</v>
      </c>
      <c r="N17" s="163">
        <f>PLANTILLA!AB19</f>
        <v>9.2666666666666639</v>
      </c>
      <c r="O17" s="163">
        <f>PLANTILLA!AC19</f>
        <v>3.5417777777777766</v>
      </c>
      <c r="P17" s="163">
        <f>PLANTILLA!AD19</f>
        <v>12.847222222222223</v>
      </c>
      <c r="Q17" s="163">
        <f t="shared" si="57"/>
        <v>3.3981111111111098</v>
      </c>
      <c r="R17" s="163">
        <f t="shared" si="58"/>
        <v>10.585122873924677</v>
      </c>
      <c r="S17" s="163">
        <f t="shared" si="59"/>
        <v>0.56250555555555548</v>
      </c>
      <c r="T17" s="163">
        <f t="shared" si="60"/>
        <v>0.61147888888888879</v>
      </c>
      <c r="U17" s="163">
        <f t="shared" ca="1" si="0"/>
        <v>14.718172240589348</v>
      </c>
      <c r="V17" s="159">
        <f t="shared" si="1"/>
        <v>3.6296686993678327</v>
      </c>
      <c r="W17" s="159">
        <f t="shared" si="2"/>
        <v>5.4628075848230679</v>
      </c>
      <c r="X17" s="159">
        <f t="shared" si="61"/>
        <v>3.6296686993678327</v>
      </c>
      <c r="Y17" s="159">
        <f t="shared" si="3"/>
        <v>4.1396128761441018</v>
      </c>
      <c r="Z17" s="159">
        <f t="shared" si="4"/>
        <v>8.0225055739226772</v>
      </c>
      <c r="AA17" s="159">
        <f t="shared" si="62"/>
        <v>2.0698064380720509</v>
      </c>
      <c r="AB17" s="159">
        <f t="shared" si="5"/>
        <v>2.9323861043713757</v>
      </c>
      <c r="AC17" s="159">
        <f t="shared" si="6"/>
        <v>3.0325071069427718</v>
      </c>
      <c r="AD17" s="159">
        <f t="shared" si="7"/>
        <v>5.8002715299460954</v>
      </c>
      <c r="AE17" s="159">
        <f t="shared" si="63"/>
        <v>1.5162535534713859</v>
      </c>
      <c r="AF17" s="159">
        <f t="shared" si="8"/>
        <v>4.7435657570713428</v>
      </c>
      <c r="AG17" s="357">
        <f t="shared" si="9"/>
        <v>7.3807051280088629</v>
      </c>
      <c r="AH17" s="159">
        <f t="shared" si="10"/>
        <v>3.3213173076039881</v>
      </c>
      <c r="AI17" s="159">
        <f t="shared" si="11"/>
        <v>2.05759865306731</v>
      </c>
      <c r="AJ17" s="357">
        <f t="shared" si="12"/>
        <v>5.4807186107998689</v>
      </c>
      <c r="AK17" s="159">
        <f t="shared" si="13"/>
        <v>6.0489692027376982</v>
      </c>
      <c r="AL17" s="159">
        <f t="shared" si="14"/>
        <v>5.6799339463372549</v>
      </c>
      <c r="AM17" s="159">
        <f t="shared" si="15"/>
        <v>2.5414347641784212</v>
      </c>
      <c r="AN17" s="159">
        <f t="shared" si="16"/>
        <v>1.6614896052897317</v>
      </c>
      <c r="AO17" s="159">
        <f t="shared" si="17"/>
        <v>2.1660765049591229</v>
      </c>
      <c r="AP17" s="159">
        <f t="shared" si="18"/>
        <v>4.7653683109100697</v>
      </c>
      <c r="AQ17" s="159">
        <f t="shared" si="64"/>
        <v>1.0830382524795614</v>
      </c>
      <c r="AR17" s="159">
        <f t="shared" si="19"/>
        <v>11.630976817338565</v>
      </c>
      <c r="AS17" s="159">
        <f t="shared" si="20"/>
        <v>1.5128901690543926</v>
      </c>
      <c r="AT17" s="159">
        <f t="shared" si="21"/>
        <v>2.4194159109371229</v>
      </c>
      <c r="AU17" s="159">
        <f t="shared" si="65"/>
        <v>0.75644508452719628</v>
      </c>
      <c r="AV17" s="159">
        <f t="shared" si="22"/>
        <v>1.5162535534713859</v>
      </c>
      <c r="AW17" s="159">
        <f t="shared" si="23"/>
        <v>3.2090022295690712</v>
      </c>
      <c r="AX17" s="159">
        <f t="shared" si="66"/>
        <v>0.75812677673569295</v>
      </c>
      <c r="AY17" s="159">
        <f t="shared" si="24"/>
        <v>12.320950018367125</v>
      </c>
      <c r="AZ17" s="159">
        <f t="shared" si="25"/>
        <v>2.9443170213135486</v>
      </c>
      <c r="BA17" s="159">
        <f t="shared" si="26"/>
        <v>5.2101001267869513</v>
      </c>
      <c r="BB17" s="159">
        <f t="shared" si="67"/>
        <v>1.4721585106567743</v>
      </c>
      <c r="BC17" s="159">
        <f t="shared" si="27"/>
        <v>2.3345491220114991</v>
      </c>
      <c r="BD17" s="159">
        <f t="shared" si="28"/>
        <v>2.7918319397250912</v>
      </c>
      <c r="BE17" s="159">
        <f t="shared" si="29"/>
        <v>10.854756966181437</v>
      </c>
      <c r="BF17" s="159">
        <f t="shared" si="30"/>
        <v>9.0160745663283723</v>
      </c>
      <c r="BG17" s="159">
        <f t="shared" si="31"/>
        <v>2.8046656210931431</v>
      </c>
      <c r="BH17" s="159">
        <f t="shared" si="32"/>
        <v>3.8909152033524985</v>
      </c>
      <c r="BI17" s="159">
        <f t="shared" si="33"/>
        <v>2.1179414715155866</v>
      </c>
      <c r="BJ17" s="159">
        <f t="shared" si="34"/>
        <v>4.6942819569978749</v>
      </c>
      <c r="BK17" s="159">
        <f t="shared" si="35"/>
        <v>8.6121603160528668</v>
      </c>
      <c r="BL17" s="159">
        <f t="shared" si="36"/>
        <v>0.605156067621757</v>
      </c>
      <c r="BM17" s="159">
        <f t="shared" si="37"/>
        <v>1.4440510033060818</v>
      </c>
      <c r="BN17" s="159">
        <f t="shared" si="38"/>
        <v>0.54553037902674206</v>
      </c>
      <c r="BO17" s="159">
        <f t="shared" si="39"/>
        <v>3.757889755601973</v>
      </c>
      <c r="BP17" s="159">
        <f t="shared" si="40"/>
        <v>12.649308390286787</v>
      </c>
      <c r="BQ17" s="159">
        <f t="shared" si="41"/>
        <v>1.5710782524795617</v>
      </c>
      <c r="BR17" s="159">
        <f t="shared" si="42"/>
        <v>2.2783915829940402</v>
      </c>
      <c r="BS17" s="159">
        <f t="shared" si="43"/>
        <v>1.9574913600371331</v>
      </c>
      <c r="BT17" s="159">
        <f t="shared" si="44"/>
        <v>5.6060322583570414</v>
      </c>
      <c r="BU17" s="159">
        <f t="shared" si="45"/>
        <v>10.89287928701744</v>
      </c>
      <c r="BV17" s="159">
        <f t="shared" si="46"/>
        <v>1.4081516188890884</v>
      </c>
      <c r="BW17" s="159">
        <f t="shared" si="47"/>
        <v>2.2783915829940402</v>
      </c>
      <c r="BX17" s="159">
        <f t="shared" si="48"/>
        <v>1.9574913600371331</v>
      </c>
      <c r="BY17" s="159">
        <f t="shared" si="49"/>
        <v>7.774519461589656</v>
      </c>
      <c r="BZ17" s="159">
        <f t="shared" si="50"/>
        <v>8.7893669331052422</v>
      </c>
      <c r="CA17" s="159">
        <f t="shared" si="51"/>
        <v>1.7223672693850007</v>
      </c>
      <c r="CB17" s="159">
        <f t="shared" si="52"/>
        <v>5.0023057074570527</v>
      </c>
      <c r="CC17" s="159">
        <f t="shared" si="53"/>
        <v>5.0025374040137152</v>
      </c>
      <c r="CD17" s="159">
        <f t="shared" si="54"/>
        <v>9.7663461651258245</v>
      </c>
      <c r="CE17" s="159">
        <f t="shared" si="68"/>
        <v>5.0025374040137152</v>
      </c>
      <c r="CF17" s="159">
        <f t="shared" si="55"/>
        <v>5.1197807503316071</v>
      </c>
      <c r="CG17" s="159">
        <f t="shared" si="56"/>
        <v>10.207008352922369</v>
      </c>
      <c r="CH17" s="159">
        <f t="shared" si="69"/>
        <v>5.1197807503316071</v>
      </c>
      <c r="CI17" s="159">
        <f t="shared" si="70"/>
        <v>3.0802375045917811</v>
      </c>
    </row>
    <row r="18" spans="1:87" x14ac:dyDescent="0.25">
      <c r="A18" t="e">
        <f>PLANTILLA!#REF!</f>
        <v>#REF!</v>
      </c>
      <c r="B18" t="s">
        <v>853</v>
      </c>
      <c r="C18" s="632" t="e">
        <f>PLANTILLA!#REF!</f>
        <v>#REF!</v>
      </c>
      <c r="D18" s="632" t="e">
        <f>PLANTILLA!#REF!</f>
        <v>#REF!</v>
      </c>
      <c r="E18" s="632" t="e">
        <f>PLANTILLA!#REF!</f>
        <v>#REF!</v>
      </c>
      <c r="F18" s="290">
        <v>41730</v>
      </c>
      <c r="G18" s="496">
        <v>1.5</v>
      </c>
      <c r="H18" s="497" t="e">
        <f>PLANTILLA!#REF!</f>
        <v>#REF!</v>
      </c>
      <c r="I18" s="341"/>
      <c r="J18" s="163" t="e">
        <f>PLANTILLA!#REF!</f>
        <v>#REF!</v>
      </c>
      <c r="K18" s="163" t="e">
        <f>PLANTILLA!#REF!</f>
        <v>#REF!</v>
      </c>
      <c r="L18" s="163" t="e">
        <f>PLANTILLA!#REF!</f>
        <v>#REF!</v>
      </c>
      <c r="M18" s="163" t="e">
        <f>PLANTILLA!#REF!</f>
        <v>#REF!</v>
      </c>
      <c r="N18" s="163" t="e">
        <f>PLANTILLA!#REF!</f>
        <v>#REF!</v>
      </c>
      <c r="O18" s="163" t="e">
        <f>PLANTILLA!#REF!</f>
        <v>#REF!</v>
      </c>
      <c r="P18" s="163" t="e">
        <f>PLANTILLA!#REF!</f>
        <v>#REF!</v>
      </c>
      <c r="Q18" s="163" t="e">
        <f t="shared" si="57"/>
        <v>#REF!</v>
      </c>
      <c r="R18" s="163" t="e">
        <f t="shared" si="58"/>
        <v>#REF!</v>
      </c>
      <c r="S18" s="163" t="e">
        <f t="shared" si="59"/>
        <v>#REF!</v>
      </c>
      <c r="T18" s="163" t="e">
        <f t="shared" si="60"/>
        <v>#REF!</v>
      </c>
      <c r="U18" s="163" t="e">
        <f t="shared" ca="1" si="0"/>
        <v>#REF!</v>
      </c>
      <c r="V18" s="159" t="e">
        <f t="shared" si="1"/>
        <v>#REF!</v>
      </c>
      <c r="W18" s="159" t="e">
        <f t="shared" si="2"/>
        <v>#REF!</v>
      </c>
      <c r="X18" s="159" t="e">
        <f t="shared" si="61"/>
        <v>#REF!</v>
      </c>
      <c r="Y18" s="159" t="e">
        <f t="shared" si="3"/>
        <v>#REF!</v>
      </c>
      <c r="Z18" s="159" t="e">
        <f t="shared" si="4"/>
        <v>#REF!</v>
      </c>
      <c r="AA18" s="159" t="e">
        <f t="shared" si="62"/>
        <v>#REF!</v>
      </c>
      <c r="AB18" s="159" t="e">
        <f t="shared" si="5"/>
        <v>#REF!</v>
      </c>
      <c r="AC18" s="159" t="e">
        <f t="shared" si="6"/>
        <v>#REF!</v>
      </c>
      <c r="AD18" s="159" t="e">
        <f t="shared" si="7"/>
        <v>#REF!</v>
      </c>
      <c r="AE18" s="159" t="e">
        <f t="shared" si="63"/>
        <v>#REF!</v>
      </c>
      <c r="AF18" s="159" t="e">
        <f t="shared" si="8"/>
        <v>#REF!</v>
      </c>
      <c r="AG18" s="357" t="e">
        <f t="shared" si="9"/>
        <v>#REF!</v>
      </c>
      <c r="AH18" s="159" t="e">
        <f t="shared" si="10"/>
        <v>#REF!</v>
      </c>
      <c r="AI18" s="159" t="e">
        <f t="shared" si="11"/>
        <v>#REF!</v>
      </c>
      <c r="AJ18" s="357" t="e">
        <f t="shared" si="12"/>
        <v>#REF!</v>
      </c>
      <c r="AK18" s="159" t="e">
        <f t="shared" si="13"/>
        <v>#REF!</v>
      </c>
      <c r="AL18" s="159" t="e">
        <f t="shared" si="14"/>
        <v>#REF!</v>
      </c>
      <c r="AM18" s="159" t="e">
        <f t="shared" si="15"/>
        <v>#REF!</v>
      </c>
      <c r="AN18" s="159" t="e">
        <f t="shared" si="16"/>
        <v>#REF!</v>
      </c>
      <c r="AO18" s="159" t="e">
        <f t="shared" si="17"/>
        <v>#REF!</v>
      </c>
      <c r="AP18" s="159" t="e">
        <f t="shared" si="18"/>
        <v>#REF!</v>
      </c>
      <c r="AQ18" s="159" t="e">
        <f t="shared" si="64"/>
        <v>#REF!</v>
      </c>
      <c r="AR18" s="159" t="e">
        <f t="shared" si="19"/>
        <v>#REF!</v>
      </c>
      <c r="AS18" s="159" t="e">
        <f t="shared" si="20"/>
        <v>#REF!</v>
      </c>
      <c r="AT18" s="159" t="e">
        <f t="shared" si="21"/>
        <v>#REF!</v>
      </c>
      <c r="AU18" s="159" t="e">
        <f t="shared" si="65"/>
        <v>#REF!</v>
      </c>
      <c r="AV18" s="159" t="e">
        <f t="shared" si="22"/>
        <v>#REF!</v>
      </c>
      <c r="AW18" s="159" t="e">
        <f t="shared" si="23"/>
        <v>#REF!</v>
      </c>
      <c r="AX18" s="159" t="e">
        <f t="shared" si="66"/>
        <v>#REF!</v>
      </c>
      <c r="AY18" s="159" t="e">
        <f t="shared" si="24"/>
        <v>#REF!</v>
      </c>
      <c r="AZ18" s="159" t="e">
        <f t="shared" si="25"/>
        <v>#REF!</v>
      </c>
      <c r="BA18" s="159" t="e">
        <f t="shared" si="26"/>
        <v>#REF!</v>
      </c>
      <c r="BB18" s="159" t="e">
        <f t="shared" si="67"/>
        <v>#REF!</v>
      </c>
      <c r="BC18" s="159" t="e">
        <f t="shared" si="27"/>
        <v>#REF!</v>
      </c>
      <c r="BD18" s="159" t="e">
        <f t="shared" si="28"/>
        <v>#REF!</v>
      </c>
      <c r="BE18" s="159" t="e">
        <f t="shared" si="29"/>
        <v>#REF!</v>
      </c>
      <c r="BF18" s="159" t="e">
        <f t="shared" si="30"/>
        <v>#REF!</v>
      </c>
      <c r="BG18" s="159" t="e">
        <f t="shared" si="31"/>
        <v>#REF!</v>
      </c>
      <c r="BH18" s="159" t="e">
        <f t="shared" si="32"/>
        <v>#REF!</v>
      </c>
      <c r="BI18" s="159" t="e">
        <f t="shared" si="33"/>
        <v>#REF!</v>
      </c>
      <c r="BJ18" s="159" t="e">
        <f t="shared" si="34"/>
        <v>#REF!</v>
      </c>
      <c r="BK18" s="159" t="e">
        <f t="shared" si="35"/>
        <v>#REF!</v>
      </c>
      <c r="BL18" s="159" t="e">
        <f t="shared" si="36"/>
        <v>#REF!</v>
      </c>
      <c r="BM18" s="159" t="e">
        <f t="shared" si="37"/>
        <v>#REF!</v>
      </c>
      <c r="BN18" s="159" t="e">
        <f t="shared" si="38"/>
        <v>#REF!</v>
      </c>
      <c r="BO18" s="159" t="e">
        <f t="shared" si="39"/>
        <v>#REF!</v>
      </c>
      <c r="BP18" s="159" t="e">
        <f t="shared" si="40"/>
        <v>#REF!</v>
      </c>
      <c r="BQ18" s="159" t="e">
        <f t="shared" si="41"/>
        <v>#REF!</v>
      </c>
      <c r="BR18" s="159" t="e">
        <f t="shared" si="42"/>
        <v>#REF!</v>
      </c>
      <c r="BS18" s="159" t="e">
        <f t="shared" si="43"/>
        <v>#REF!</v>
      </c>
      <c r="BT18" s="159" t="e">
        <f t="shared" si="44"/>
        <v>#REF!</v>
      </c>
      <c r="BU18" s="159" t="e">
        <f t="shared" si="45"/>
        <v>#REF!</v>
      </c>
      <c r="BV18" s="159" t="e">
        <f t="shared" si="46"/>
        <v>#REF!</v>
      </c>
      <c r="BW18" s="159" t="e">
        <f t="shared" si="47"/>
        <v>#REF!</v>
      </c>
      <c r="BX18" s="159" t="e">
        <f t="shared" si="48"/>
        <v>#REF!</v>
      </c>
      <c r="BY18" s="159" t="e">
        <f t="shared" si="49"/>
        <v>#REF!</v>
      </c>
      <c r="BZ18" s="159" t="e">
        <f t="shared" si="50"/>
        <v>#REF!</v>
      </c>
      <c r="CA18" s="159" t="e">
        <f t="shared" si="51"/>
        <v>#REF!</v>
      </c>
      <c r="CB18" s="159" t="e">
        <f t="shared" si="52"/>
        <v>#REF!</v>
      </c>
      <c r="CC18" s="159" t="e">
        <f t="shared" si="53"/>
        <v>#REF!</v>
      </c>
      <c r="CD18" s="159" t="e">
        <f t="shared" si="54"/>
        <v>#REF!</v>
      </c>
      <c r="CE18" s="159" t="e">
        <f t="shared" si="68"/>
        <v>#REF!</v>
      </c>
      <c r="CF18" s="159" t="e">
        <f t="shared" si="55"/>
        <v>#REF!</v>
      </c>
      <c r="CG18" s="159" t="e">
        <f t="shared" si="56"/>
        <v>#REF!</v>
      </c>
      <c r="CH18" s="159" t="e">
        <f t="shared" si="69"/>
        <v>#REF!</v>
      </c>
      <c r="CI18" s="159" t="e">
        <f t="shared" si="70"/>
        <v>#REF!</v>
      </c>
    </row>
    <row r="19" spans="1:87" x14ac:dyDescent="0.25">
      <c r="A19" t="str">
        <f>PLANTILLA!D20</f>
        <v>G. Kerschl</v>
      </c>
      <c r="B19" t="s">
        <v>853</v>
      </c>
      <c r="C19" s="668">
        <f>PLANTILLA!E20</f>
        <v>31</v>
      </c>
      <c r="D19" s="668">
        <f ca="1">PLANTILLA!F20</f>
        <v>111</v>
      </c>
      <c r="E19" s="668" t="str">
        <f>PLANTILLA!G20</f>
        <v>CAB</v>
      </c>
      <c r="F19" s="290">
        <v>43060</v>
      </c>
      <c r="G19" s="496">
        <v>2.5</v>
      </c>
      <c r="H19" s="497">
        <f>PLANTILLA!I20</f>
        <v>11.5</v>
      </c>
      <c r="I19" s="341"/>
      <c r="J19" s="163">
        <f>PLANTILLA!X20</f>
        <v>0</v>
      </c>
      <c r="K19" s="163">
        <f>PLANTILLA!Y20</f>
        <v>3</v>
      </c>
      <c r="L19" s="163">
        <f>PLANTILLA!Z20</f>
        <v>15.07</v>
      </c>
      <c r="M19" s="163">
        <f>PLANTILLA!AA20</f>
        <v>12.12</v>
      </c>
      <c r="N19" s="163">
        <f>PLANTILLA!AB20</f>
        <v>13</v>
      </c>
      <c r="O19" s="163">
        <f>PLANTILLA!AC20</f>
        <v>7.95</v>
      </c>
      <c r="P19" s="163">
        <f>PLANTILLA!AD20</f>
        <v>7</v>
      </c>
      <c r="Q19" s="163">
        <f t="shared" ref="Q19" si="71">((2*(N19+1))+(K19+1))/8</f>
        <v>4</v>
      </c>
      <c r="R19" s="163">
        <f t="shared" ref="R19" si="72">1.66*(O19+(LOG(H19)*4/3)+G19)+0.55*(P19+(LOG(H19)*4/3)+G19)-7.6</f>
        <v>18.097522969575309</v>
      </c>
      <c r="S19" s="163">
        <f t="shared" ref="S19" si="73">(0.5*O19+ 0.3*P19)/10</f>
        <v>0.60750000000000004</v>
      </c>
      <c r="T19" s="163">
        <f t="shared" ref="T19" si="74">(0.4*K19+0.3*P19)/10</f>
        <v>0.33</v>
      </c>
      <c r="U19" s="163">
        <f t="shared" ref="U19" ca="1" si="75">IF(TODAY()-F19&gt;335,(P19+1+(LOG(H19)*4/3)),(P19+((TODAY()-F19)^0.5)/(336^0.5)+(LOG(H19)*4/3)))</f>
        <v>9.4142637871381485</v>
      </c>
      <c r="V19" s="159">
        <f t="shared" ref="V19" si="76">((J19+G19+(LOG(H19)*4/3))*0.597)+((K19+G19+(LOG(H19)*4/3))*0.276)</f>
        <v>4.2451522861716038</v>
      </c>
      <c r="W19" s="159">
        <f t="shared" ref="W19" si="77">((J19+G19+(LOG(H19)*4/3))*0.866)+((K19+G19+(LOG(H19)*4/3))*0.425)</f>
        <v>6.3283145491953494</v>
      </c>
      <c r="X19" s="159">
        <f t="shared" ref="X19" si="78">V19</f>
        <v>4.2451522861716038</v>
      </c>
      <c r="Y19" s="159">
        <f t="shared" ref="Y19" si="79">((K19+G19+(LOG(H19)*4/3))*0.516)</f>
        <v>3.5677601141632849</v>
      </c>
      <c r="Z19" s="159">
        <f t="shared" ref="Z19" si="80">(K19+G19+(LOG(H19)*4/3))*1</f>
        <v>6.9142637871381485</v>
      </c>
      <c r="AA19" s="159">
        <f t="shared" ref="AA19" si="81">Y19/2</f>
        <v>1.7838800570816424</v>
      </c>
      <c r="AB19" s="159">
        <f t="shared" ref="AB19" si="82">(L19+G19+(LOG(H19)*4/3))*0.238</f>
        <v>4.5182547813388796</v>
      </c>
      <c r="AC19" s="159">
        <f t="shared" ref="AC19" si="83">((K19+G19+(LOG(H19)*4/3))*0.378)</f>
        <v>2.6135917115382203</v>
      </c>
      <c r="AD19" s="159">
        <f t="shared" ref="AD19" si="84">(K19+G19+(LOG(H19)*4/3))*0.723</f>
        <v>4.9990127181008814</v>
      </c>
      <c r="AE19" s="159">
        <f t="shared" ref="AE19" si="85">AC19/2</f>
        <v>1.3067958557691102</v>
      </c>
      <c r="AF19" s="159">
        <f t="shared" ref="AF19" si="86">(L19+G19+(LOG(H19)*4/3))*0.385</f>
        <v>7.308941558048188</v>
      </c>
      <c r="AG19" s="357">
        <f t="shared" ref="AG19" si="87">((K19+G19+(LOG(H19)*4/3))*0.92)</f>
        <v>6.3611226841670971</v>
      </c>
      <c r="AH19" s="159">
        <f t="shared" ref="AH19" si="88">(K19+G19+(LOG(H19)*4/3))*0.414</f>
        <v>2.8625052078751931</v>
      </c>
      <c r="AI19" s="159">
        <f t="shared" ref="AI19" si="89">((L19+G19+(LOG(H19)*4/3))*0.167)</f>
        <v>3.1703720524520715</v>
      </c>
      <c r="AJ19" s="357">
        <f t="shared" ref="AJ19" si="90">(M19+G19+(LOG(H19)*4/3))*0.588</f>
        <v>9.4281471068372298</v>
      </c>
      <c r="AK19" s="159">
        <f t="shared" ref="AK19" si="91">((K19+G19+(LOG(H19)*4/3))*0.754)</f>
        <v>5.2133548955021638</v>
      </c>
      <c r="AL19" s="159">
        <f t="shared" ref="AL19" si="92">((K19+G19+(LOG(H19)*4/3))*0.708)</f>
        <v>4.8952987612938088</v>
      </c>
      <c r="AM19" s="159">
        <f t="shared" ref="AM19" si="93">((P19+G19+(LOG(H19)*4/3))*0.167)</f>
        <v>1.8226820524520708</v>
      </c>
      <c r="AN19" s="159">
        <f t="shared" ref="AN19" si="94">((Q19+G19+(LOG(H19)*4/3))*0.288)</f>
        <v>2.2793079706957866</v>
      </c>
      <c r="AO19" s="159">
        <f t="shared" ref="AO19" si="95">((K19+G19+(LOG(H19)*4/3))*0.27)</f>
        <v>1.8668512225273002</v>
      </c>
      <c r="AP19" s="159">
        <f t="shared" ref="AP19" si="96">((K19+G19+(LOG(H19)*4/3))*0.594)</f>
        <v>4.1070726895600602</v>
      </c>
      <c r="AQ19" s="159">
        <f t="shared" ref="AQ19" si="97">AO19/2</f>
        <v>0.93342561126365009</v>
      </c>
      <c r="AR19" s="159">
        <f t="shared" ref="AR19" si="98">((L19+G19+(LOG(H19)*4/3))*0.944)</f>
        <v>17.921145015058414</v>
      </c>
      <c r="AS19" s="159">
        <f t="shared" ref="AS19" si="99">((N19+G19+(LOG(H19)*4/3))*0.13)</f>
        <v>2.1988542923279595</v>
      </c>
      <c r="AT19" s="159">
        <f t="shared" ref="AT19" si="100">((O19+G19+(LOG(H19)*4/3))*0.173)+((N19+G19+(LOG(H19)*4/3))*0.12)</f>
        <v>4.0822292896314778</v>
      </c>
      <c r="AU19" s="159">
        <f t="shared" ref="AU19" si="101">AS19/2</f>
        <v>1.0994271461639797</v>
      </c>
      <c r="AV19" s="159">
        <f t="shared" ref="AV19" si="102">((K19+G19+(LOG(H19)*4/3))*0.189)</f>
        <v>1.3067958557691102</v>
      </c>
      <c r="AW19" s="159">
        <f t="shared" ref="AW19" si="103">((K19+G19+(LOG(H19)*4/3))*0.4)</f>
        <v>2.7657055148552594</v>
      </c>
      <c r="AX19" s="159">
        <f t="shared" ref="AX19" si="104">AV19/2</f>
        <v>0.65339792788455509</v>
      </c>
      <c r="AY19" s="159">
        <f t="shared" ref="AY19" si="105">((L19+G19+(LOG(H19)*4/3))*1)</f>
        <v>18.984263787138151</v>
      </c>
      <c r="AZ19" s="159">
        <f t="shared" ref="AZ19" si="106">((N19+G19+(LOG(H19)*4/3))*0.253)</f>
        <v>4.2793087381459518</v>
      </c>
      <c r="BA19" s="159">
        <f t="shared" ref="BA19" si="107">((O19+G19+(LOG(H19)*4/3))*0.21)+((N19+G19+(LOG(H19)*4/3))*0.341)</f>
        <v>8.2592593467131206</v>
      </c>
      <c r="BB19" s="159">
        <f t="shared" ref="BB19" si="108">AZ19/2</f>
        <v>2.1396543690729759</v>
      </c>
      <c r="BC19" s="159">
        <f t="shared" ref="BC19" si="109">((K19+G19+(LOG(H19)*4/3))*0.291)</f>
        <v>2.0120507620572012</v>
      </c>
      <c r="BD19" s="159">
        <f t="shared" ref="BD19" si="110">((K19+G19+(LOG(H19)*4/3))*0.348)</f>
        <v>2.4061637979240755</v>
      </c>
      <c r="BE19" s="159">
        <f t="shared" ref="BE19" si="111">((L19+G19+(LOG(H19)*4/3))*0.881)</f>
        <v>16.725136396468709</v>
      </c>
      <c r="BF19" s="159">
        <f t="shared" ref="BF19" si="112">((M19+G19+(LOG(H19)*4/3))*0.574)+((N19+G19+(LOG(H19)*4/3))*0.315)</f>
        <v>14.531660506765814</v>
      </c>
      <c r="BG19" s="159">
        <f t="shared" ref="BG19" si="113">((N19+G19+(LOG(H19)*4/3))*0.241)</f>
        <v>4.076337572700294</v>
      </c>
      <c r="BH19" s="159">
        <f t="shared" ref="BH19" si="114">((K19+G19+(LOG(H19)*4/3))*0.485)</f>
        <v>3.3534179367620021</v>
      </c>
      <c r="BI19" s="159">
        <f t="shared" ref="BI19" si="115">((K19+G19+(LOG(H19)*4/3))*0.264)</f>
        <v>1.8253656398044713</v>
      </c>
      <c r="BJ19" s="159">
        <f t="shared" ref="BJ19" si="116">((L19+G19+(LOG(H19)*4/3))*0.381)</f>
        <v>7.233004502899635</v>
      </c>
      <c r="BK19" s="159">
        <f t="shared" ref="BK19" si="117">((M19+G19+(LOG(H19)*4/3))*0.673)+((N19+G19+(LOG(H19)*4/3))*0.201)</f>
        <v>14.190826549958743</v>
      </c>
      <c r="BL19" s="159">
        <f t="shared" ref="BL19" si="118">((N19+G19+(LOG(H19)*4/3))*0.052)</f>
        <v>0.87954171693118377</v>
      </c>
      <c r="BM19" s="159">
        <f t="shared" ref="BM19" si="119">((K19+G19+(LOG(H19)*4/3))*0.18)</f>
        <v>1.2445674816848666</v>
      </c>
      <c r="BN19" s="159">
        <f t="shared" ref="BN19" si="120">(K19+G19+(LOG(H19)*4/3))*0.068</f>
        <v>0.47016993752539415</v>
      </c>
      <c r="BO19" s="159">
        <f t="shared" ref="BO19" si="121">((L19+G19+(LOG(H19)*4/3))*0.305)</f>
        <v>5.7902004550771355</v>
      </c>
      <c r="BP19" s="159">
        <f t="shared" ref="BP19" si="122">((M19+G19+(LOG(H19)*4/3))*1)+((N19+G19+(LOG(H19)*4/3))*0.286)</f>
        <v>20.871743230259657</v>
      </c>
      <c r="BQ19" s="159">
        <f t="shared" ref="BQ19" si="123">((N19+G19+(LOG(H19)*4/3))*0.135)</f>
        <v>2.2834256112636506</v>
      </c>
      <c r="BR19" s="159">
        <f t="shared" ref="BR19" si="124">((K19+G19+(LOG(H19)*4/3))*0.284)</f>
        <v>1.9636509155472339</v>
      </c>
      <c r="BS19" s="159">
        <f t="shared" ref="BS19" si="125">(K19+G19+(LOG(H19)*4/3))*0.244</f>
        <v>1.6870803640617082</v>
      </c>
      <c r="BT19" s="159">
        <f t="shared" ref="BT19" si="126">((L19+G19+(LOG(H19)*4/3))*0.455)</f>
        <v>8.6378400231478594</v>
      </c>
      <c r="BU19" s="159">
        <f t="shared" ref="BU19" si="127">((M19+G19+(LOG(H19)*4/3))*0.864)+((N19+G19+(LOG(H19)*4/3))*0.244)</f>
        <v>17.98068427614907</v>
      </c>
      <c r="BV19" s="159">
        <f t="shared" ref="BV19" si="128">((N19+G19+(LOG(H19)*4/3))*0.121)</f>
        <v>2.0466259182437163</v>
      </c>
      <c r="BW19" s="159">
        <f t="shared" ref="BW19" si="129">((K19+G19+(LOG(H19)*4/3))*0.284)</f>
        <v>1.9636509155472339</v>
      </c>
      <c r="BX19" s="159">
        <f t="shared" ref="BX19" si="130">((K19+G19+(LOG(H19)*4/3))*0.244)</f>
        <v>1.6870803640617082</v>
      </c>
      <c r="BY19" s="159">
        <f t="shared" ref="BY19" si="131">((L19+G19+(LOG(H19)*4/3))*0.631)</f>
        <v>11.979070449684173</v>
      </c>
      <c r="BZ19" s="159">
        <f t="shared" ref="BZ19" si="132">((M19+G19+(LOG(H19)*4/3))*0.702)+((N19+G19+(LOG(H19)*4/3))*0.193)</f>
        <v>14.520506089488643</v>
      </c>
      <c r="CA19" s="159">
        <f t="shared" ref="CA19" si="133">((N19+G19+(LOG(H19)*4/3))*0.148)</f>
        <v>2.5033110404964463</v>
      </c>
      <c r="CB19" s="159">
        <f t="shared" ref="CB19" si="134">((L19+G19+(LOG(H19)*4/3))*0.406)</f>
        <v>7.7076110975780896</v>
      </c>
      <c r="CC19" s="159">
        <f t="shared" ref="CC19" si="135">IF(E19="TEC",((M19+G19+(LOG(H19)*4/3))*0.15)+((N19+G19+(LOG(H19)*4/3))*0.324)+((O19+G19+(LOG(H19)*4/3))*0.127),(((M19+G19+(LOG(H19)*4/3))*0.144)+((N19+G19+(LOG(H19)*4/3))*0.25)+((O19+G19+(LOG(H19)*4/3))*0.127)))</f>
        <v>8.0442614330989741</v>
      </c>
      <c r="CD19" s="159">
        <f t="shared" ref="CD19" si="136">((N19+G19+(LOG(H19)*4/3))*0.543)+((O19+G19+(LOG(H19)*4/3))*0.583)</f>
        <v>16.101311024317557</v>
      </c>
      <c r="CE19" s="159">
        <f t="shared" ref="CE19" si="137">CC19</f>
        <v>8.0442614330989741</v>
      </c>
      <c r="CF19" s="159">
        <f t="shared" ref="CF19" si="138">((O19+1+(LOG(H19)*4/3))*0.26)+((M19+G19+(LOG(H19)*4/3))*0.221)+((N19+G19+(LOG(H19)*4/3))*0.142)</f>
        <v>8.6401063393870672</v>
      </c>
      <c r="CG19" s="159">
        <f t="shared" ref="CG19" si="139">((O19+G19+(LOG(H19)*4/3))*1)+((N19+G19+(LOG(H19)*4/3))*0.369)</f>
        <v>18.105627124592125</v>
      </c>
      <c r="CH19" s="159">
        <f t="shared" ref="CH19" si="140">CF19</f>
        <v>8.6401063393870672</v>
      </c>
      <c r="CI19" s="159">
        <f t="shared" ref="CI19" si="141">((L19+G19+(LOG(H19)*4/3))*0.25)</f>
        <v>4.7460659467845376</v>
      </c>
    </row>
    <row r="20" spans="1:87" x14ac:dyDescent="0.25">
      <c r="A20" t="str">
        <f>PLANTILLA!D21</f>
        <v>J. Limon</v>
      </c>
      <c r="B20" t="s">
        <v>853</v>
      </c>
      <c r="C20" s="632">
        <f>PLANTILLA!E21</f>
        <v>33</v>
      </c>
      <c r="D20" s="632">
        <f ca="1">PLANTILLA!F21</f>
        <v>9</v>
      </c>
      <c r="E20" s="632" t="str">
        <f>PLANTILLA!G21</f>
        <v>RAP</v>
      </c>
      <c r="F20" s="290">
        <v>41664</v>
      </c>
      <c r="G20" s="496">
        <v>1.5</v>
      </c>
      <c r="H20" s="497">
        <f>PLANTILLA!I21</f>
        <v>13</v>
      </c>
      <c r="I20" s="341"/>
      <c r="J20" s="163">
        <f>PLANTILLA!X21</f>
        <v>0</v>
      </c>
      <c r="K20" s="163">
        <f>PLANTILLA!Y21</f>
        <v>6.8376190476190493</v>
      </c>
      <c r="L20" s="163">
        <f>PLANTILLA!Z21</f>
        <v>9</v>
      </c>
      <c r="M20" s="163">
        <f>PLANTILLA!AA21</f>
        <v>8.7399999999999967</v>
      </c>
      <c r="N20" s="163">
        <f>PLANTILLA!AB21</f>
        <v>9.9499999999999993</v>
      </c>
      <c r="O20" s="163">
        <f>PLANTILLA!AC21</f>
        <v>7.95</v>
      </c>
      <c r="P20" s="163">
        <f>PLANTILLA!AD21</f>
        <v>18.999999999999993</v>
      </c>
      <c r="Q20" s="163">
        <f t="shared" si="57"/>
        <v>3.7172023809523811</v>
      </c>
      <c r="R20" s="163">
        <f t="shared" si="58"/>
        <v>22.644419744797474</v>
      </c>
      <c r="S20" s="163">
        <f t="shared" si="59"/>
        <v>0.96749999999999969</v>
      </c>
      <c r="T20" s="163">
        <f t="shared" si="60"/>
        <v>0.84350476190476176</v>
      </c>
      <c r="U20" s="163">
        <f t="shared" ca="1" si="0"/>
        <v>21.485257803075775</v>
      </c>
      <c r="V20" s="159">
        <f t="shared" si="1"/>
        <v>4.4933129192280159</v>
      </c>
      <c r="W20" s="159">
        <f t="shared" si="2"/>
        <v>6.7599559190089318</v>
      </c>
      <c r="X20" s="159">
        <f t="shared" si="61"/>
        <v>4.4933129192280159</v>
      </c>
      <c r="Y20" s="159">
        <f t="shared" si="3"/>
        <v>5.0686044549585336</v>
      </c>
      <c r="Z20" s="159">
        <f t="shared" si="4"/>
        <v>9.8228768506948327</v>
      </c>
      <c r="AA20" s="159">
        <f t="shared" si="62"/>
        <v>2.5343022274792668</v>
      </c>
      <c r="AB20" s="159">
        <f t="shared" si="5"/>
        <v>2.8524913571320361</v>
      </c>
      <c r="AC20" s="159">
        <f t="shared" si="6"/>
        <v>3.7130474495626467</v>
      </c>
      <c r="AD20" s="159">
        <f t="shared" si="7"/>
        <v>7.1019399630523639</v>
      </c>
      <c r="AE20" s="159">
        <f t="shared" si="63"/>
        <v>1.8565237247813233</v>
      </c>
      <c r="AF20" s="159">
        <f t="shared" si="8"/>
        <v>4.6143242541841767</v>
      </c>
      <c r="AG20" s="357">
        <f t="shared" si="9"/>
        <v>9.0370467026392465</v>
      </c>
      <c r="AH20" s="159">
        <f t="shared" si="10"/>
        <v>4.0666710161876605</v>
      </c>
      <c r="AI20" s="159">
        <f t="shared" si="11"/>
        <v>2.0015380531136557</v>
      </c>
      <c r="AJ20" s="357">
        <f t="shared" si="12"/>
        <v>6.8944515882085575</v>
      </c>
      <c r="AK20" s="159">
        <f t="shared" si="13"/>
        <v>7.4064491454239043</v>
      </c>
      <c r="AL20" s="159">
        <f t="shared" si="14"/>
        <v>6.9545968102919415</v>
      </c>
      <c r="AM20" s="159">
        <f t="shared" si="15"/>
        <v>3.6715380531136548</v>
      </c>
      <c r="AN20" s="159">
        <f t="shared" si="16"/>
        <v>1.9303085330001111</v>
      </c>
      <c r="AO20" s="159">
        <f t="shared" si="17"/>
        <v>2.6521767496876052</v>
      </c>
      <c r="AP20" s="159">
        <f t="shared" si="18"/>
        <v>5.83478884931273</v>
      </c>
      <c r="AQ20" s="159">
        <f t="shared" si="64"/>
        <v>1.3260883748438026</v>
      </c>
      <c r="AR20" s="159">
        <f t="shared" si="19"/>
        <v>11.314083366103539</v>
      </c>
      <c r="AS20" s="159">
        <f t="shared" si="20"/>
        <v>1.6815835143998517</v>
      </c>
      <c r="AT20" s="159">
        <f t="shared" si="21"/>
        <v>3.444030536301204</v>
      </c>
      <c r="AU20" s="159">
        <f t="shared" si="65"/>
        <v>0.84079175719992583</v>
      </c>
      <c r="AV20" s="357">
        <f t="shared" si="22"/>
        <v>1.8565237247813233</v>
      </c>
      <c r="AW20" s="357">
        <f t="shared" si="23"/>
        <v>3.9291507402779331</v>
      </c>
      <c r="AX20" s="357">
        <f t="shared" si="66"/>
        <v>0.92826186239066166</v>
      </c>
      <c r="AY20" s="357">
        <f t="shared" si="24"/>
        <v>11.985257803075783</v>
      </c>
      <c r="AZ20" s="357">
        <f t="shared" si="25"/>
        <v>3.2726202241781728</v>
      </c>
      <c r="BA20" s="357">
        <f t="shared" si="26"/>
        <v>6.7073270494947561</v>
      </c>
      <c r="BB20" s="357">
        <f t="shared" si="67"/>
        <v>1.6363101120890864</v>
      </c>
      <c r="BC20" s="357">
        <f t="shared" si="27"/>
        <v>2.8584571635521963</v>
      </c>
      <c r="BD20" s="357">
        <f t="shared" si="28"/>
        <v>3.4183611440418016</v>
      </c>
      <c r="BE20" s="357">
        <f t="shared" si="29"/>
        <v>10.559012124509765</v>
      </c>
      <c r="BF20" s="357">
        <f t="shared" si="30"/>
        <v>10.804904186934369</v>
      </c>
      <c r="BG20" s="357">
        <f t="shared" si="31"/>
        <v>3.1173971305412636</v>
      </c>
      <c r="BH20" s="357">
        <f t="shared" si="32"/>
        <v>4.7640952725869941</v>
      </c>
      <c r="BI20" s="357">
        <f t="shared" si="33"/>
        <v>2.593239488583436</v>
      </c>
      <c r="BJ20" s="357">
        <f t="shared" si="34"/>
        <v>4.566383222971873</v>
      </c>
      <c r="BK20" s="357">
        <f t="shared" si="35"/>
        <v>10.491085319888231</v>
      </c>
      <c r="BL20" s="357">
        <f t="shared" si="36"/>
        <v>0.67263340575994057</v>
      </c>
      <c r="BM20" s="357">
        <f t="shared" si="37"/>
        <v>1.7681178331250698</v>
      </c>
      <c r="BN20" s="357">
        <f t="shared" si="38"/>
        <v>0.66795562584724866</v>
      </c>
      <c r="BO20" s="357">
        <f t="shared" si="39"/>
        <v>3.6555036299381136</v>
      </c>
      <c r="BP20" s="357">
        <f t="shared" si="40"/>
        <v>15.424741534755452</v>
      </c>
      <c r="BQ20" s="357">
        <f t="shared" si="41"/>
        <v>1.7462598034152306</v>
      </c>
      <c r="BR20" s="357">
        <f t="shared" si="42"/>
        <v>2.7896970255973321</v>
      </c>
      <c r="BS20" s="357">
        <f t="shared" si="43"/>
        <v>2.396781951569539</v>
      </c>
      <c r="BT20" s="357">
        <f t="shared" si="44"/>
        <v>5.4532923003994815</v>
      </c>
      <c r="BU20" s="357">
        <f t="shared" si="45"/>
        <v>13.286825645807966</v>
      </c>
      <c r="BV20" s="357">
        <f t="shared" si="46"/>
        <v>1.5651661941721695</v>
      </c>
      <c r="BW20" s="357">
        <f t="shared" si="47"/>
        <v>2.7896970255973321</v>
      </c>
      <c r="BX20" s="357">
        <f t="shared" si="48"/>
        <v>2.396781951569539</v>
      </c>
      <c r="BY20" s="357">
        <f t="shared" si="49"/>
        <v>7.5626976737408187</v>
      </c>
      <c r="BZ20" s="357">
        <f t="shared" si="50"/>
        <v>10.727635733752823</v>
      </c>
      <c r="CA20" s="357">
        <f t="shared" si="51"/>
        <v>1.9144181548552157</v>
      </c>
      <c r="CB20" s="357">
        <f t="shared" si="52"/>
        <v>4.8660146680487681</v>
      </c>
      <c r="CC20" s="357">
        <f t="shared" si="53"/>
        <v>6.3110293154024824</v>
      </c>
      <c r="CD20" s="357">
        <f t="shared" si="54"/>
        <v>13.39910028626333</v>
      </c>
      <c r="CE20" s="357">
        <f t="shared" si="68"/>
        <v>6.3110293154024824</v>
      </c>
      <c r="CF20" s="357">
        <f t="shared" si="55"/>
        <v>7.1412556113162111</v>
      </c>
      <c r="CG20" s="357">
        <f t="shared" si="56"/>
        <v>15.708367932410745</v>
      </c>
      <c r="CH20" s="357">
        <f t="shared" si="69"/>
        <v>7.1412556113162111</v>
      </c>
      <c r="CI20" s="357">
        <f t="shared" si="70"/>
        <v>2.9963144507689456</v>
      </c>
    </row>
    <row r="21" spans="1:87" x14ac:dyDescent="0.25">
      <c r="A21" t="str">
        <f>PLANTILLA!D22</f>
        <v>L. Calosso</v>
      </c>
      <c r="C21" s="632">
        <f>PLANTILLA!E22</f>
        <v>33</v>
      </c>
      <c r="D21" s="632">
        <f ca="1">PLANTILLA!F22</f>
        <v>78</v>
      </c>
      <c r="E21" s="632" t="str">
        <f>PLANTILLA!G22</f>
        <v>TEC</v>
      </c>
      <c r="F21" s="290">
        <v>41890</v>
      </c>
      <c r="G21" s="496">
        <v>1</v>
      </c>
      <c r="H21" s="497">
        <f>PLANTILLA!I22</f>
        <v>13.3</v>
      </c>
      <c r="I21" s="341"/>
      <c r="J21" s="163">
        <f>PLANTILLA!X22</f>
        <v>0</v>
      </c>
      <c r="K21" s="163">
        <f>PLANTILLA!Y22</f>
        <v>2.95</v>
      </c>
      <c r="L21" s="163">
        <f>PLANTILLA!Z22</f>
        <v>13.95</v>
      </c>
      <c r="M21" s="163">
        <f>PLANTILLA!AA22</f>
        <v>3.04</v>
      </c>
      <c r="N21" s="163">
        <f>PLANTILLA!AB22</f>
        <v>15.02</v>
      </c>
      <c r="O21" s="163">
        <f>PLANTILLA!AC22</f>
        <v>9.9499999999999993</v>
      </c>
      <c r="P21" s="163">
        <f>PLANTILLA!AD22</f>
        <v>11.25</v>
      </c>
      <c r="Q21" s="163">
        <f t="shared" si="57"/>
        <v>4.4987500000000002</v>
      </c>
      <c r="R21" s="163">
        <f t="shared" si="58"/>
        <v>20.626116168716344</v>
      </c>
      <c r="S21" s="163">
        <f t="shared" si="59"/>
        <v>0.83499999999999996</v>
      </c>
      <c r="T21" s="163">
        <f t="shared" si="60"/>
        <v>0.45549999999999996</v>
      </c>
      <c r="U21" s="163">
        <f t="shared" ca="1" si="0"/>
        <v>13.74846885462278</v>
      </c>
      <c r="V21" s="159">
        <f t="shared" si="1"/>
        <v>2.995363310085688</v>
      </c>
      <c r="W21" s="159">
        <f t="shared" si="2"/>
        <v>4.4792732913180107</v>
      </c>
      <c r="X21" s="159">
        <f t="shared" si="61"/>
        <v>2.995363310085688</v>
      </c>
      <c r="Y21" s="159">
        <f t="shared" si="3"/>
        <v>2.8114099289853551</v>
      </c>
      <c r="Z21" s="159">
        <f t="shared" si="4"/>
        <v>5.4484688546227815</v>
      </c>
      <c r="AA21" s="159">
        <f t="shared" si="62"/>
        <v>1.4057049644926776</v>
      </c>
      <c r="AB21" s="159">
        <f t="shared" si="5"/>
        <v>3.9147355874002217</v>
      </c>
      <c r="AC21" s="159">
        <f t="shared" si="6"/>
        <v>2.0595212270474113</v>
      </c>
      <c r="AD21" s="159">
        <f t="shared" si="7"/>
        <v>3.9392429818922707</v>
      </c>
      <c r="AE21" s="159">
        <f t="shared" si="63"/>
        <v>1.0297606135237056</v>
      </c>
      <c r="AF21" s="159">
        <f t="shared" si="8"/>
        <v>6.332660509029771</v>
      </c>
      <c r="AG21" s="357">
        <f t="shared" si="9"/>
        <v>5.0125913462529592</v>
      </c>
      <c r="AH21" s="159">
        <f t="shared" si="10"/>
        <v>2.2556661058138316</v>
      </c>
      <c r="AI21" s="159">
        <f t="shared" si="11"/>
        <v>2.7468942987220046</v>
      </c>
      <c r="AJ21" s="357">
        <f t="shared" si="12"/>
        <v>3.2566196865181953</v>
      </c>
      <c r="AK21" s="159">
        <f t="shared" si="13"/>
        <v>4.1081455163855773</v>
      </c>
      <c r="AL21" s="159">
        <f t="shared" si="14"/>
        <v>3.8575159490729289</v>
      </c>
      <c r="AM21" s="159">
        <f t="shared" si="15"/>
        <v>2.2959942987220043</v>
      </c>
      <c r="AN21" s="159">
        <f t="shared" si="16"/>
        <v>2.0151990301313609</v>
      </c>
      <c r="AO21" s="159">
        <f t="shared" si="17"/>
        <v>1.4710865907481512</v>
      </c>
      <c r="AP21" s="159">
        <f t="shared" si="18"/>
        <v>3.2363904996459323</v>
      </c>
      <c r="AQ21" s="159">
        <f t="shared" si="64"/>
        <v>0.73554329537407559</v>
      </c>
      <c r="AR21" s="159">
        <f t="shared" si="19"/>
        <v>15.527354598763905</v>
      </c>
      <c r="AS21" s="159">
        <f t="shared" si="20"/>
        <v>2.2774009511009616</v>
      </c>
      <c r="AT21" s="159">
        <f t="shared" si="21"/>
        <v>4.2558013744044745</v>
      </c>
      <c r="AU21" s="159">
        <f t="shared" si="65"/>
        <v>1.1387004755504808</v>
      </c>
      <c r="AV21" s="357">
        <f t="shared" si="22"/>
        <v>1.0297606135237056</v>
      </c>
      <c r="AW21" s="357">
        <f t="shared" si="23"/>
        <v>2.1793875418491129</v>
      </c>
      <c r="AX21" s="357">
        <f t="shared" si="66"/>
        <v>0.51488030676185281</v>
      </c>
      <c r="AY21" s="357">
        <f t="shared" si="24"/>
        <v>16.448468854622782</v>
      </c>
      <c r="AZ21" s="357">
        <f t="shared" si="25"/>
        <v>4.4321726202195642</v>
      </c>
      <c r="BA21" s="357">
        <f t="shared" si="26"/>
        <v>8.5879763388971533</v>
      </c>
      <c r="BB21" s="357">
        <f t="shared" si="67"/>
        <v>2.2160863101097821</v>
      </c>
      <c r="BC21" s="357">
        <f t="shared" si="27"/>
        <v>1.5855044366952293</v>
      </c>
      <c r="BD21" s="357">
        <f t="shared" si="28"/>
        <v>1.8960671614087279</v>
      </c>
      <c r="BE21" s="357">
        <f t="shared" si="29"/>
        <v>14.49110106092267</v>
      </c>
      <c r="BF21" s="357">
        <f t="shared" si="30"/>
        <v>8.697398811759653</v>
      </c>
      <c r="BG21" s="357">
        <f t="shared" si="31"/>
        <v>4.2219509939640902</v>
      </c>
      <c r="BH21" s="357">
        <f t="shared" si="32"/>
        <v>2.642507394492049</v>
      </c>
      <c r="BI21" s="357">
        <f t="shared" si="33"/>
        <v>1.4383957776204144</v>
      </c>
      <c r="BJ21" s="357">
        <f t="shared" si="34"/>
        <v>6.2668666336112802</v>
      </c>
      <c r="BK21" s="357">
        <f t="shared" si="35"/>
        <v>7.2486017789403121</v>
      </c>
      <c r="BL21" s="357">
        <f t="shared" si="36"/>
        <v>0.91096038044038463</v>
      </c>
      <c r="BM21" s="357">
        <f t="shared" si="37"/>
        <v>0.98072439383210064</v>
      </c>
      <c r="BN21" s="357">
        <f t="shared" si="38"/>
        <v>0.3704958821143492</v>
      </c>
      <c r="BO21" s="357">
        <f t="shared" si="39"/>
        <v>5.0167830006599479</v>
      </c>
      <c r="BP21" s="357">
        <f t="shared" si="40"/>
        <v>10.548750947044898</v>
      </c>
      <c r="BQ21" s="357">
        <f t="shared" si="41"/>
        <v>2.3649932953740755</v>
      </c>
      <c r="BR21" s="357">
        <f t="shared" si="42"/>
        <v>1.5473651547128697</v>
      </c>
      <c r="BS21" s="357">
        <f t="shared" si="43"/>
        <v>1.3294264005279586</v>
      </c>
      <c r="BT21" s="357">
        <f t="shared" si="44"/>
        <v>7.4840533288533662</v>
      </c>
      <c r="BU21" s="357">
        <f t="shared" si="45"/>
        <v>9.0597434909220418</v>
      </c>
      <c r="BV21" s="357">
        <f t="shared" si="46"/>
        <v>2.1197347314093564</v>
      </c>
      <c r="BW21" s="357">
        <f t="shared" si="47"/>
        <v>1.5473651547128697</v>
      </c>
      <c r="BX21" s="357">
        <f t="shared" si="48"/>
        <v>1.3294264005279586</v>
      </c>
      <c r="BY21" s="357">
        <f t="shared" si="49"/>
        <v>10.378983847266975</v>
      </c>
      <c r="BZ21" s="357">
        <f t="shared" si="50"/>
        <v>7.2690696248873889</v>
      </c>
      <c r="CA21" s="357">
        <f t="shared" si="51"/>
        <v>2.5927333904841716</v>
      </c>
      <c r="CB21" s="357">
        <f t="shared" si="52"/>
        <v>6.6780783549768499</v>
      </c>
      <c r="CC21" s="357">
        <f t="shared" si="53"/>
        <v>8.0877097816282912</v>
      </c>
      <c r="CD21" s="357">
        <f t="shared" si="54"/>
        <v>16.76998593030525</v>
      </c>
      <c r="CE21" s="357">
        <f t="shared" si="68"/>
        <v>8.0877097816282912</v>
      </c>
      <c r="CF21" s="357">
        <f t="shared" si="55"/>
        <v>6.948226096429992</v>
      </c>
      <c r="CG21" s="357">
        <f t="shared" si="56"/>
        <v>18.912783861978586</v>
      </c>
      <c r="CH21" s="357">
        <f t="shared" si="69"/>
        <v>6.948226096429992</v>
      </c>
      <c r="CI21" s="357">
        <f t="shared" si="70"/>
        <v>4.1121172136556954</v>
      </c>
    </row>
    <row r="22" spans="1:87" x14ac:dyDescent="0.25">
      <c r="A22" t="str">
        <f>PLANTILLA!D23</f>
        <v>P .Trivadi</v>
      </c>
      <c r="B22" t="s">
        <v>853</v>
      </c>
      <c r="C22" s="632">
        <f>PLANTILLA!E23</f>
        <v>30</v>
      </c>
      <c r="D22" s="632">
        <f ca="1">PLANTILLA!F23</f>
        <v>40</v>
      </c>
      <c r="E22" s="632"/>
      <c r="F22" s="290">
        <v>41973</v>
      </c>
      <c r="G22" s="496">
        <v>1.5</v>
      </c>
      <c r="H22" s="497">
        <f>PLANTILLA!I23</f>
        <v>6.1</v>
      </c>
      <c r="I22" s="341"/>
      <c r="J22" s="163">
        <f>PLANTILLA!X23</f>
        <v>0</v>
      </c>
      <c r="K22" s="163">
        <f>PLANTILLA!Y23</f>
        <v>4.0199999999999996</v>
      </c>
      <c r="L22" s="163">
        <f>PLANTILLA!Z23</f>
        <v>6</v>
      </c>
      <c r="M22" s="163">
        <f>PLANTILLA!AA23</f>
        <v>5.5099999999999989</v>
      </c>
      <c r="N22" s="163">
        <f>PLANTILLA!AB23</f>
        <v>11</v>
      </c>
      <c r="O22" s="163">
        <f>PLANTILLA!AC23</f>
        <v>8.384500000000001</v>
      </c>
      <c r="P22" s="163">
        <f>PLANTILLA!AD23</f>
        <v>13.566666666666668</v>
      </c>
      <c r="Q22" s="163">
        <f t="shared" si="57"/>
        <v>3.6274999999999999</v>
      </c>
      <c r="R22" s="163">
        <f t="shared" si="58"/>
        <v>19.409041913831729</v>
      </c>
      <c r="S22" s="163">
        <f t="shared" si="59"/>
        <v>0.82622500000000021</v>
      </c>
      <c r="T22" s="163">
        <f t="shared" si="60"/>
        <v>0.56779999999999997</v>
      </c>
      <c r="U22" s="163">
        <f t="shared" ca="1" si="0"/>
        <v>15.61377311334769</v>
      </c>
      <c r="V22" s="159">
        <f t="shared" si="1"/>
        <v>3.3331439279525328</v>
      </c>
      <c r="W22" s="159">
        <f t="shared" si="2"/>
        <v>4.9968144226651994</v>
      </c>
      <c r="X22" s="159">
        <f t="shared" si="61"/>
        <v>3.3331439279525328</v>
      </c>
      <c r="Y22" s="159">
        <f t="shared" si="3"/>
        <v>3.3886269264874072</v>
      </c>
      <c r="Z22" s="159">
        <f t="shared" si="4"/>
        <v>6.5671064466810218</v>
      </c>
      <c r="AA22" s="159">
        <f t="shared" si="62"/>
        <v>1.6943134632437036</v>
      </c>
      <c r="AB22" s="159">
        <f t="shared" si="5"/>
        <v>2.0342113343100832</v>
      </c>
      <c r="AC22" s="159">
        <f t="shared" si="6"/>
        <v>2.4823662368454262</v>
      </c>
      <c r="AD22" s="159">
        <f t="shared" si="7"/>
        <v>4.7480179609503788</v>
      </c>
      <c r="AE22" s="159">
        <f t="shared" si="63"/>
        <v>1.2411831184227131</v>
      </c>
      <c r="AF22" s="159">
        <f t="shared" si="8"/>
        <v>3.2906359819721938</v>
      </c>
      <c r="AG22" s="357">
        <f t="shared" si="9"/>
        <v>6.0417379309465407</v>
      </c>
      <c r="AH22" s="159">
        <f t="shared" si="10"/>
        <v>2.7187820689259428</v>
      </c>
      <c r="AI22" s="159">
        <f t="shared" si="11"/>
        <v>1.4273667765957307</v>
      </c>
      <c r="AJ22" s="357">
        <f t="shared" si="12"/>
        <v>4.7375785906484404</v>
      </c>
      <c r="AK22" s="159">
        <f t="shared" si="13"/>
        <v>4.9515982607974909</v>
      </c>
      <c r="AL22" s="159">
        <f t="shared" si="14"/>
        <v>4.6495113642501629</v>
      </c>
      <c r="AM22" s="159">
        <f t="shared" si="15"/>
        <v>2.6910001099290644</v>
      </c>
      <c r="AN22" s="159">
        <f t="shared" si="16"/>
        <v>1.7782866566441342</v>
      </c>
      <c r="AO22" s="159">
        <f t="shared" si="17"/>
        <v>1.773118740603876</v>
      </c>
      <c r="AP22" s="159">
        <f t="shared" si="18"/>
        <v>3.9008612293285267</v>
      </c>
      <c r="AQ22" s="159">
        <f t="shared" si="64"/>
        <v>0.88655937030193799</v>
      </c>
      <c r="AR22" s="159">
        <f t="shared" si="19"/>
        <v>8.0684684856668838</v>
      </c>
      <c r="AS22" s="159">
        <f t="shared" si="20"/>
        <v>1.761123838068533</v>
      </c>
      <c r="AT22" s="159">
        <f t="shared" si="21"/>
        <v>3.5168206888775395</v>
      </c>
      <c r="AU22" s="159">
        <f t="shared" si="65"/>
        <v>0.8805619190342665</v>
      </c>
      <c r="AV22" s="357">
        <f t="shared" si="22"/>
        <v>1.2411831184227131</v>
      </c>
      <c r="AW22" s="357">
        <f t="shared" si="23"/>
        <v>2.626842578672409</v>
      </c>
      <c r="AX22" s="357">
        <f t="shared" si="66"/>
        <v>0.62059155921135656</v>
      </c>
      <c r="AY22" s="357">
        <f t="shared" si="24"/>
        <v>8.5471064466810223</v>
      </c>
      <c r="AZ22" s="357">
        <f t="shared" si="25"/>
        <v>3.4274179310102988</v>
      </c>
      <c r="BA22" s="357">
        <f t="shared" si="26"/>
        <v>6.9152006521212437</v>
      </c>
      <c r="BB22" s="357">
        <f t="shared" si="67"/>
        <v>1.7137089655051494</v>
      </c>
      <c r="BC22" s="357">
        <f t="shared" si="27"/>
        <v>1.9110279759841773</v>
      </c>
      <c r="BD22" s="357">
        <f t="shared" si="28"/>
        <v>2.2853530434449953</v>
      </c>
      <c r="BE22" s="357">
        <f t="shared" si="29"/>
        <v>7.5300007795259809</v>
      </c>
      <c r="BF22" s="357">
        <f t="shared" si="30"/>
        <v>8.8921176310994277</v>
      </c>
      <c r="BG22" s="357">
        <f t="shared" si="31"/>
        <v>3.2648526536501263</v>
      </c>
      <c r="BH22" s="357">
        <f t="shared" si="32"/>
        <v>3.1850466266402955</v>
      </c>
      <c r="BI22" s="357">
        <f t="shared" si="33"/>
        <v>1.7337161019237899</v>
      </c>
      <c r="BJ22" s="357">
        <f t="shared" si="34"/>
        <v>3.2564475561854693</v>
      </c>
      <c r="BK22" s="357">
        <f t="shared" si="35"/>
        <v>8.1454010343992138</v>
      </c>
      <c r="BL22" s="357">
        <f t="shared" si="36"/>
        <v>0.70444953522741316</v>
      </c>
      <c r="BM22" s="357">
        <f t="shared" si="37"/>
        <v>1.182079160402584</v>
      </c>
      <c r="BN22" s="357">
        <f t="shared" si="38"/>
        <v>0.4465632383743095</v>
      </c>
      <c r="BO22" s="357">
        <f t="shared" si="39"/>
        <v>2.6068674662377118</v>
      </c>
      <c r="BP22" s="357">
        <f t="shared" si="40"/>
        <v>11.931578890431794</v>
      </c>
      <c r="BQ22" s="357">
        <f t="shared" si="41"/>
        <v>1.8288593703019382</v>
      </c>
      <c r="BR22" s="357">
        <f t="shared" si="42"/>
        <v>1.86505823085741</v>
      </c>
      <c r="BS22" s="357">
        <f t="shared" si="43"/>
        <v>1.6023739729901694</v>
      </c>
      <c r="BT22" s="357">
        <f t="shared" si="44"/>
        <v>3.8889334332398651</v>
      </c>
      <c r="BU22" s="357">
        <f t="shared" si="45"/>
        <v>10.266833942922572</v>
      </c>
      <c r="BV22" s="357">
        <f t="shared" si="46"/>
        <v>1.6391998800484036</v>
      </c>
      <c r="BW22" s="357">
        <f t="shared" si="47"/>
        <v>1.86505823085741</v>
      </c>
      <c r="BX22" s="357">
        <f t="shared" si="48"/>
        <v>1.6023739729901694</v>
      </c>
      <c r="BY22" s="357">
        <f t="shared" si="49"/>
        <v>5.3932241678557249</v>
      </c>
      <c r="BZ22" s="357">
        <f t="shared" si="50"/>
        <v>8.2706802697795148</v>
      </c>
      <c r="CA22" s="357">
        <f t="shared" si="51"/>
        <v>2.0049717541087912</v>
      </c>
      <c r="CB22" s="357">
        <f t="shared" si="52"/>
        <v>3.4701252173524955</v>
      </c>
      <c r="CC22" s="357">
        <f t="shared" si="53"/>
        <v>5.9353139587208128</v>
      </c>
      <c r="CD22" s="357">
        <f t="shared" si="54"/>
        <v>13.729205358962831</v>
      </c>
      <c r="CE22" s="357">
        <f t="shared" si="68"/>
        <v>5.9353139587208128</v>
      </c>
      <c r="CF22" s="357">
        <f t="shared" si="55"/>
        <v>6.4165273162822771</v>
      </c>
      <c r="CG22" s="357">
        <f t="shared" si="56"/>
        <v>15.93048872550632</v>
      </c>
      <c r="CH22" s="357">
        <f t="shared" si="69"/>
        <v>6.4165273162822771</v>
      </c>
      <c r="CI22" s="357">
        <f t="shared" si="70"/>
        <v>2.1367766116702556</v>
      </c>
    </row>
    <row r="23" spans="1:87" x14ac:dyDescent="0.25">
      <c r="I23" s="166"/>
      <c r="Q23" s="163"/>
      <c r="R23" s="163"/>
      <c r="S23" s="163"/>
      <c r="T23" s="163"/>
      <c r="U23" s="163"/>
      <c r="V23" s="159"/>
      <c r="W23" s="159"/>
      <c r="X23" s="159"/>
      <c r="Y23" s="159"/>
      <c r="Z23" s="159"/>
      <c r="AA23" s="159"/>
      <c r="AB23" s="159"/>
      <c r="AC23" s="159"/>
      <c r="AD23" s="159"/>
      <c r="AE23" s="159"/>
      <c r="AF23" s="159"/>
      <c r="AG23" s="357"/>
      <c r="AH23" s="159"/>
      <c r="AI23" s="159"/>
      <c r="AJ23" s="35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290">
        <v>42857</v>
      </c>
      <c r="G24" s="496"/>
      <c r="H24" s="497"/>
      <c r="I24" s="34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57" t="e">
        <f t="shared" ref="AG24:AG34" si="158">((K24+G24+(LOG(H24)*4/3))*0.92)</f>
        <v>#NUM!</v>
      </c>
      <c r="AH24" s="159" t="e">
        <f t="shared" ref="AH24:AH34" si="159">(K24+G24+(LOG(H24)*4/3))*0.414</f>
        <v>#NUM!</v>
      </c>
      <c r="AI24" s="159" t="e">
        <f t="shared" ref="AI24:AI34" si="160">((L24+G24+(LOG(H24)*4/3))*0.167)</f>
        <v>#NUM!</v>
      </c>
      <c r="AJ24" s="35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290">
        <v>42857</v>
      </c>
      <c r="G25" s="496"/>
      <c r="H25" s="497"/>
      <c r="I25" s="34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57" t="e">
        <f t="shared" si="158"/>
        <v>#NUM!</v>
      </c>
      <c r="AH25" s="159" t="e">
        <f t="shared" si="159"/>
        <v>#NUM!</v>
      </c>
      <c r="AI25" s="159" t="e">
        <f t="shared" si="160"/>
        <v>#NUM!</v>
      </c>
      <c r="AJ25" s="35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290">
        <v>42857</v>
      </c>
      <c r="G26" s="496"/>
      <c r="H26" s="497"/>
      <c r="I26" s="34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57" t="e">
        <f t="shared" si="158"/>
        <v>#NUM!</v>
      </c>
      <c r="AH26" s="159" t="e">
        <f t="shared" si="159"/>
        <v>#NUM!</v>
      </c>
      <c r="AI26" s="159" t="e">
        <f t="shared" si="160"/>
        <v>#NUM!</v>
      </c>
      <c r="AJ26" s="35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290">
        <v>42857</v>
      </c>
      <c r="G27" s="496"/>
      <c r="H27" s="497"/>
      <c r="I27" s="34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57" t="e">
        <f t="shared" si="158"/>
        <v>#NUM!</v>
      </c>
      <c r="AH27" s="159" t="e">
        <f t="shared" si="159"/>
        <v>#NUM!</v>
      </c>
      <c r="AI27" s="159" t="e">
        <f t="shared" si="160"/>
        <v>#NUM!</v>
      </c>
      <c r="AJ27" s="35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290">
        <v>42857</v>
      </c>
      <c r="G28" s="496"/>
      <c r="H28" s="497"/>
      <c r="I28" s="34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57" t="e">
        <f t="shared" si="158"/>
        <v>#NUM!</v>
      </c>
      <c r="AH28" s="159" t="e">
        <f t="shared" si="159"/>
        <v>#NUM!</v>
      </c>
      <c r="AI28" s="159" t="e">
        <f t="shared" si="160"/>
        <v>#NUM!</v>
      </c>
      <c r="AJ28" s="35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290">
        <v>42857</v>
      </c>
      <c r="G29" s="496"/>
      <c r="H29" s="497"/>
      <c r="I29" s="34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57" t="e">
        <f t="shared" si="158"/>
        <v>#NUM!</v>
      </c>
      <c r="AH29" s="159" t="e">
        <f t="shared" si="159"/>
        <v>#NUM!</v>
      </c>
      <c r="AI29" s="159" t="e">
        <f t="shared" si="160"/>
        <v>#NUM!</v>
      </c>
      <c r="AJ29" s="35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290">
        <v>42857</v>
      </c>
      <c r="G30" s="496"/>
      <c r="H30" s="497"/>
      <c r="I30" s="34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57" t="e">
        <f t="shared" si="158"/>
        <v>#NUM!</v>
      </c>
      <c r="AH30" s="159" t="e">
        <f t="shared" si="159"/>
        <v>#NUM!</v>
      </c>
      <c r="AI30" s="159" t="e">
        <f t="shared" si="160"/>
        <v>#NUM!</v>
      </c>
      <c r="AJ30" s="35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290">
        <v>42857</v>
      </c>
      <c r="G31" s="496"/>
      <c r="H31" s="497"/>
      <c r="I31" s="34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57" t="e">
        <f t="shared" si="158"/>
        <v>#NUM!</v>
      </c>
      <c r="AH31" s="159" t="e">
        <f t="shared" si="159"/>
        <v>#NUM!</v>
      </c>
      <c r="AI31" s="159" t="e">
        <f t="shared" si="160"/>
        <v>#NUM!</v>
      </c>
      <c r="AJ31" s="35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290">
        <v>42857</v>
      </c>
      <c r="G32" s="496"/>
      <c r="H32" s="497"/>
      <c r="I32" s="34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57" t="e">
        <f t="shared" si="158"/>
        <v>#NUM!</v>
      </c>
      <c r="AH32" s="159" t="e">
        <f t="shared" si="159"/>
        <v>#NUM!</v>
      </c>
      <c r="AI32" s="159" t="e">
        <f t="shared" si="160"/>
        <v>#NUM!</v>
      </c>
      <c r="AJ32" s="35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290">
        <v>42857</v>
      </c>
      <c r="G33" s="496"/>
      <c r="H33" s="497"/>
      <c r="I33" s="34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57" t="e">
        <f t="shared" si="158"/>
        <v>#NUM!</v>
      </c>
      <c r="AH33" s="159" t="e">
        <f t="shared" si="159"/>
        <v>#NUM!</v>
      </c>
      <c r="AI33" s="159" t="e">
        <f t="shared" si="160"/>
        <v>#NUM!</v>
      </c>
      <c r="AJ33" s="35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290">
        <v>42857</v>
      </c>
      <c r="G34" s="496"/>
      <c r="H34" s="497"/>
      <c r="I34" s="34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57" t="e">
        <f t="shared" si="158"/>
        <v>#NUM!</v>
      </c>
      <c r="AH34" s="159" t="e">
        <f t="shared" si="159"/>
        <v>#NUM!</v>
      </c>
      <c r="AI34" s="159" t="e">
        <f t="shared" si="160"/>
        <v>#NUM!</v>
      </c>
      <c r="AJ34" s="35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52" priority="101" operator="greaterThan">
      <formula>15</formula>
    </cfRule>
  </conditionalFormatting>
  <conditionalFormatting sqref="Q3:Q34">
    <cfRule type="cellIs" dxfId="351" priority="100" operator="greaterThan">
      <formula>3.2</formula>
    </cfRule>
  </conditionalFormatting>
  <conditionalFormatting sqref="S3:T34">
    <cfRule type="cellIs" dxfId="35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49" priority="98" operator="greaterThan">
      <formula>12.5</formula>
    </cfRule>
  </conditionalFormatting>
  <conditionalFormatting sqref="BJ23 BE23 AR23">
    <cfRule type="cellIs" dxfId="348" priority="97" operator="greaterThan">
      <formula>12.5</formula>
    </cfRule>
  </conditionalFormatting>
  <conditionalFormatting sqref="H3:I4 H5:H22 H24:H34">
    <cfRule type="cellIs" dxfId="347" priority="95" operator="greaterThan">
      <formula>7</formula>
    </cfRule>
  </conditionalFormatting>
  <conditionalFormatting sqref="AY23">
    <cfRule type="cellIs" dxfId="346" priority="87" operator="greaterThan">
      <formula>12.5</formula>
    </cfRule>
  </conditionalFormatting>
  <conditionalFormatting sqref="Z3:Z22 AR3:AR22 AY3:AY22 BJ3:BJ22 BE3:BE22 AG16:AG22 Z24:Z34 AR24:AR34 AY24:AY34 BJ24:BJ34 BE24:BE34">
    <cfRule type="cellIs" dxfId="345" priority="83" operator="greaterThan">
      <formula>12</formula>
    </cfRule>
  </conditionalFormatting>
  <conditionalFormatting sqref="AG3:AG4">
    <cfRule type="cellIs" dxfId="344" priority="82" operator="greaterThan">
      <formula>12</formula>
    </cfRule>
  </conditionalFormatting>
  <conditionalFormatting sqref="BR23:BS23 BR3:BV4 BR5:BT15 BV5:BV15">
    <cfRule type="cellIs" dxfId="343" priority="78" operator="greaterThan">
      <formula>12.5</formula>
    </cfRule>
  </conditionalFormatting>
  <conditionalFormatting sqref="BT23">
    <cfRule type="cellIs" dxfId="342" priority="77" operator="greaterThan">
      <formula>12.5</formula>
    </cfRule>
  </conditionalFormatting>
  <conditionalFormatting sqref="BU23:BV23">
    <cfRule type="cellIs" dxfId="341" priority="76" operator="greaterThan">
      <formula>12.5</formula>
    </cfRule>
  </conditionalFormatting>
  <conditionalFormatting sqref="AG5:AG15 AG24:AG34">
    <cfRule type="cellIs" dxfId="340" priority="49" operator="lessThan">
      <formula>13</formula>
    </cfRule>
    <cfRule type="cellIs" dxfId="339" priority="50" operator="greaterThan">
      <formula>13.5</formula>
    </cfRule>
  </conditionalFormatting>
  <conditionalFormatting sqref="BU5:BU15 BU24:BU34">
    <cfRule type="cellIs" dxfId="338" priority="47" operator="lessThan">
      <formula>13</formula>
    </cfRule>
    <cfRule type="cellIs" dxfId="337" priority="48" operator="greaterThan">
      <formula>16</formula>
    </cfRule>
  </conditionalFormatting>
  <conditionalFormatting sqref="AG24:AG34">
    <cfRule type="cellIs" dxfId="336" priority="32" operator="greaterThan">
      <formula>13.42</formula>
    </cfRule>
  </conditionalFormatting>
  <conditionalFormatting sqref="AJ24:AJ34">
    <cfRule type="cellIs" dxfId="33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47</vt:i4>
      </vt:variant>
    </vt:vector>
  </HeadingPairs>
  <TitlesOfParts>
    <vt:vector size="47"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2018-12-17T16:28:04Z</dcterms:modified>
</cp:coreProperties>
</file>