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E:\Personal\HI\HI\projects\current\hattrick\"/>
    </mc:Choice>
  </mc:AlternateContent>
  <xr:revisionPtr revIDLastSave="0" documentId="13_ncr:1_{64FE8EE6-1701-455D-A07D-FCED5DE22E07}" xr6:coauthVersionLast="33" xr6:coauthVersionMax="33" xr10:uidLastSave="{00000000-0000-0000-0000-000000000000}"/>
  <bookViews>
    <workbookView xWindow="0" yWindow="0" windowWidth="28800" windowHeight="12435" activeTab="2" xr2:uid="{00000000-000D-0000-FFFF-FFFF00000000}"/>
  </bookViews>
  <sheets>
    <sheet name="TACTICA" sheetId="1" r:id="rId1"/>
    <sheet name="SUELDOS" sheetId="3" r:id="rId2"/>
    <sheet name="TablasEntreno" sheetId="8" r:id="rId3"/>
    <sheet name="PLANTILLA" sheetId="5" r:id="rId4"/>
    <sheet name="CA_VADER" sheetId="6" r:id="rId5"/>
    <sheet name="MERCADO_PORTERO" sheetId="4" r:id="rId6"/>
    <sheet name="Especialidades" sheetId="7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2" i="8" l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K22" i="8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E22" i="8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W3" i="8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2" i="8"/>
  <c r="Q2" i="8"/>
  <c r="Q3" i="8" s="1"/>
  <c r="Q4" i="8" s="1"/>
  <c r="Q5" i="8" s="1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K2" i="8"/>
  <c r="K3" i="8" s="1"/>
  <c r="K4" i="8" s="1"/>
  <c r="K5" i="8" s="1"/>
  <c r="K6" i="8" s="1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E2" i="8"/>
  <c r="E3" i="8" s="1"/>
  <c r="E4" i="8" s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K18" i="5" l="1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AN5" i="6" l="1"/>
  <c r="AH48" i="6" l="1"/>
  <c r="AG48" i="6"/>
  <c r="AH30" i="6"/>
  <c r="AH12" i="6"/>
  <c r="AD12" i="6"/>
  <c r="AH62" i="6" l="1"/>
  <c r="AH61" i="6"/>
  <c r="AH60" i="6"/>
  <c r="AH59" i="6"/>
  <c r="AH58" i="6"/>
  <c r="AH57" i="6"/>
  <c r="AH56" i="6"/>
  <c r="AH55" i="6"/>
  <c r="AH53" i="6"/>
  <c r="AH52" i="6"/>
  <c r="AH51" i="6"/>
  <c r="AH50" i="6"/>
  <c r="AH49" i="6"/>
  <c r="AH47" i="6"/>
  <c r="N29" i="6"/>
  <c r="AH29" i="6"/>
  <c r="N47" i="6" s="1"/>
  <c r="Z62" i="6"/>
  <c r="Z61" i="6"/>
  <c r="Z60" i="6"/>
  <c r="Z56" i="6"/>
  <c r="Z55" i="6"/>
  <c r="AG59" i="6"/>
  <c r="AG58" i="6"/>
  <c r="AG57" i="6"/>
  <c r="AG47" i="6"/>
  <c r="AO62" i="6"/>
  <c r="AO61" i="6"/>
  <c r="AO60" i="6"/>
  <c r="AE52" i="6"/>
  <c r="AD53" i="6"/>
  <c r="AB55" i="6"/>
  <c r="AC55" i="6"/>
  <c r="AE55" i="6"/>
  <c r="AF55" i="6"/>
  <c r="AJ55" i="6"/>
  <c r="AK55" i="6"/>
  <c r="AM55" i="6"/>
  <c r="AN55" i="6"/>
  <c r="AB56" i="6"/>
  <c r="AC56" i="6"/>
  <c r="AE56" i="6"/>
  <c r="AF56" i="6"/>
  <c r="AJ56" i="6"/>
  <c r="AK56" i="6"/>
  <c r="AM56" i="6"/>
  <c r="AN56" i="6"/>
  <c r="AD60" i="6"/>
  <c r="AE60" i="6"/>
  <c r="AF60" i="6"/>
  <c r="AL60" i="6"/>
  <c r="AM60" i="6"/>
  <c r="AN60" i="6"/>
  <c r="AD61" i="6"/>
  <c r="AE61" i="6"/>
  <c r="AF61" i="6"/>
  <c r="AL61" i="6"/>
  <c r="AM61" i="6"/>
  <c r="AN61" i="6"/>
  <c r="AD62" i="6"/>
  <c r="AE62" i="6"/>
  <c r="AF62" i="6"/>
  <c r="AL62" i="6"/>
  <c r="AM62" i="6"/>
  <c r="AN62" i="6"/>
  <c r="AB47" i="6"/>
  <c r="N62" i="6"/>
  <c r="N61" i="6"/>
  <c r="N60" i="6"/>
  <c r="N56" i="6"/>
  <c r="N55" i="6"/>
  <c r="E48" i="6"/>
  <c r="Q48" i="6"/>
  <c r="AK48" i="6" s="1"/>
  <c r="C49" i="6"/>
  <c r="D49" i="6"/>
  <c r="E49" i="6"/>
  <c r="H49" i="6"/>
  <c r="AB49" i="6" s="1"/>
  <c r="I49" i="6"/>
  <c r="AC49" i="6" s="1"/>
  <c r="C50" i="6"/>
  <c r="D50" i="6"/>
  <c r="E50" i="6"/>
  <c r="H50" i="6"/>
  <c r="AB50" i="6" s="1"/>
  <c r="C51" i="6"/>
  <c r="D51" i="6"/>
  <c r="E51" i="6"/>
  <c r="H51" i="6"/>
  <c r="AB51" i="6" s="1"/>
  <c r="D52" i="6"/>
  <c r="E52" i="6"/>
  <c r="H52" i="6"/>
  <c r="AB52" i="6" s="1"/>
  <c r="C53" i="6"/>
  <c r="D53" i="6"/>
  <c r="E53" i="6"/>
  <c r="H53" i="6"/>
  <c r="AB53" i="6" s="1"/>
  <c r="Q53" i="6"/>
  <c r="AK53" i="6" s="1"/>
  <c r="E54" i="6"/>
  <c r="F54" i="6"/>
  <c r="N54" i="6"/>
  <c r="E57" i="6"/>
  <c r="E58" i="6"/>
  <c r="E59" i="6"/>
  <c r="H47" i="6"/>
  <c r="E47" i="6"/>
  <c r="D47" i="6"/>
  <c r="AH41" i="6"/>
  <c r="N59" i="6" s="1"/>
  <c r="AH40" i="6"/>
  <c r="N58" i="6" s="1"/>
  <c r="AH39" i="6"/>
  <c r="N57" i="6" s="1"/>
  <c r="AH35" i="6"/>
  <c r="N53" i="6" s="1"/>
  <c r="AH34" i="6"/>
  <c r="N52" i="6" s="1"/>
  <c r="AH33" i="6"/>
  <c r="N51" i="6" s="1"/>
  <c r="AH32" i="6"/>
  <c r="N50" i="6" s="1"/>
  <c r="AH31" i="6"/>
  <c r="N49" i="6" s="1"/>
  <c r="N48" i="6"/>
  <c r="AB41" i="6"/>
  <c r="H59" i="6" s="1"/>
  <c r="AB59" i="6" s="1"/>
  <c r="AB40" i="6"/>
  <c r="H58" i="6" s="1"/>
  <c r="AB58" i="6" s="1"/>
  <c r="AB39" i="6"/>
  <c r="H57" i="6" s="1"/>
  <c r="AB57" i="6" s="1"/>
  <c r="AB30" i="6"/>
  <c r="H48" i="6" s="1"/>
  <c r="AB48" i="6" s="1"/>
  <c r="AR33" i="6"/>
  <c r="N35" i="6"/>
  <c r="N34" i="6"/>
  <c r="N33" i="6"/>
  <c r="N32" i="6"/>
  <c r="N31" i="6"/>
  <c r="AD32" i="6"/>
  <c r="J50" i="6" s="1"/>
  <c r="AD50" i="6" s="1"/>
  <c r="AE32" i="6"/>
  <c r="K50" i="6" s="1"/>
  <c r="AE50" i="6" s="1"/>
  <c r="AD34" i="6"/>
  <c r="J52" i="6" s="1"/>
  <c r="AD52" i="6" s="1"/>
  <c r="AE34" i="6"/>
  <c r="K52" i="6" s="1"/>
  <c r="AD35" i="6"/>
  <c r="J53" i="6" s="1"/>
  <c r="AE35" i="6"/>
  <c r="K53" i="6" s="1"/>
  <c r="AE53" i="6" s="1"/>
  <c r="AC31" i="6"/>
  <c r="AD31" i="6"/>
  <c r="J49" i="6" s="1"/>
  <c r="AD49" i="6" s="1"/>
  <c r="AE31" i="6"/>
  <c r="K49" i="6" s="1"/>
  <c r="AE49" i="6" s="1"/>
  <c r="AK31" i="6"/>
  <c r="Q49" i="6" s="1"/>
  <c r="AK49" i="6" s="1"/>
  <c r="AL31" i="6"/>
  <c r="R49" i="6" s="1"/>
  <c r="AL49" i="6" s="1"/>
  <c r="AM31" i="6"/>
  <c r="S49" i="6" s="1"/>
  <c r="AM49" i="6" s="1"/>
  <c r="AC32" i="6"/>
  <c r="I50" i="6" s="1"/>
  <c r="AC50" i="6" s="1"/>
  <c r="AK32" i="6"/>
  <c r="Q50" i="6" s="1"/>
  <c r="AK50" i="6" s="1"/>
  <c r="AL32" i="6"/>
  <c r="R50" i="6" s="1"/>
  <c r="AL50" i="6" s="1"/>
  <c r="AM32" i="6"/>
  <c r="S50" i="6" s="1"/>
  <c r="AM50" i="6" s="1"/>
  <c r="AC33" i="6"/>
  <c r="I51" i="6" s="1"/>
  <c r="AC51" i="6" s="1"/>
  <c r="AD33" i="6"/>
  <c r="J51" i="6" s="1"/>
  <c r="AD51" i="6" s="1"/>
  <c r="AE33" i="6"/>
  <c r="K51" i="6" s="1"/>
  <c r="AE51" i="6" s="1"/>
  <c r="AK33" i="6"/>
  <c r="Q51" i="6" s="1"/>
  <c r="AK51" i="6" s="1"/>
  <c r="AL33" i="6"/>
  <c r="R51" i="6" s="1"/>
  <c r="AL51" i="6" s="1"/>
  <c r="AM33" i="6"/>
  <c r="S51" i="6" s="1"/>
  <c r="AM51" i="6" s="1"/>
  <c r="AC34" i="6"/>
  <c r="I52" i="6" s="1"/>
  <c r="AC52" i="6" s="1"/>
  <c r="AK34" i="6"/>
  <c r="Q52" i="6" s="1"/>
  <c r="AK52" i="6" s="1"/>
  <c r="AL34" i="6"/>
  <c r="R52" i="6" s="1"/>
  <c r="AL52" i="6" s="1"/>
  <c r="AM34" i="6"/>
  <c r="S52" i="6" s="1"/>
  <c r="AM52" i="6" s="1"/>
  <c r="AC35" i="6"/>
  <c r="I53" i="6" s="1"/>
  <c r="AC53" i="6" s="1"/>
  <c r="AK35" i="6"/>
  <c r="AL35" i="6"/>
  <c r="R53" i="6" s="1"/>
  <c r="AL53" i="6" s="1"/>
  <c r="AM35" i="6"/>
  <c r="S53" i="6" s="1"/>
  <c r="AM53" i="6" s="1"/>
  <c r="AC37" i="6"/>
  <c r="AF40" i="6"/>
  <c r="L58" i="6" s="1"/>
  <c r="AF58" i="6" s="1"/>
  <c r="AF42" i="6"/>
  <c r="AI29" i="6"/>
  <c r="O47" i="6" s="1"/>
  <c r="AI47" i="6" s="1"/>
  <c r="AA29" i="6"/>
  <c r="G47" i="6" s="1"/>
  <c r="AA47" i="6" s="1"/>
  <c r="Z28" i="6"/>
  <c r="Z46" i="6" s="1"/>
  <c r="Y28" i="6"/>
  <c r="Y46" i="6" s="1"/>
  <c r="B30" i="6"/>
  <c r="B48" i="6" s="1"/>
  <c r="C30" i="6"/>
  <c r="C48" i="6" s="1"/>
  <c r="D30" i="6"/>
  <c r="D48" i="6" s="1"/>
  <c r="E30" i="6"/>
  <c r="N30" i="6"/>
  <c r="B31" i="6"/>
  <c r="B49" i="6" s="1"/>
  <c r="B32" i="6"/>
  <c r="B50" i="6" s="1"/>
  <c r="B33" i="6"/>
  <c r="B51" i="6" s="1"/>
  <c r="T33" i="6"/>
  <c r="AN33" i="6" s="1"/>
  <c r="T51" i="6" s="1"/>
  <c r="AN51" i="6" s="1"/>
  <c r="B34" i="6"/>
  <c r="B52" i="6" s="1"/>
  <c r="B35" i="6"/>
  <c r="B53" i="6" s="1"/>
  <c r="B36" i="6"/>
  <c r="D36" i="6"/>
  <c r="E36" i="6"/>
  <c r="F36" i="6"/>
  <c r="M36" i="6"/>
  <c r="AG36" i="6" s="1"/>
  <c r="M54" i="6" s="1"/>
  <c r="AG54" i="6" s="1"/>
  <c r="B37" i="6"/>
  <c r="B55" i="6" s="1"/>
  <c r="D37" i="6"/>
  <c r="E37" i="6"/>
  <c r="F37" i="6"/>
  <c r="B38" i="6"/>
  <c r="B56" i="6" s="1"/>
  <c r="D38" i="6"/>
  <c r="E38" i="6"/>
  <c r="F38" i="6"/>
  <c r="B39" i="6"/>
  <c r="B57" i="6" s="1"/>
  <c r="C39" i="6"/>
  <c r="C57" i="6" s="1"/>
  <c r="D39" i="6"/>
  <c r="D57" i="6" s="1"/>
  <c r="E39" i="6"/>
  <c r="O39" i="6"/>
  <c r="AI39" i="6" s="1"/>
  <c r="O57" i="6" s="1"/>
  <c r="AI57" i="6" s="1"/>
  <c r="B40" i="6"/>
  <c r="B58" i="6" s="1"/>
  <c r="C40" i="6"/>
  <c r="C58" i="6" s="1"/>
  <c r="D40" i="6"/>
  <c r="D58" i="6" s="1"/>
  <c r="E40" i="6"/>
  <c r="J40" i="6"/>
  <c r="AD40" i="6" s="1"/>
  <c r="J58" i="6" s="1"/>
  <c r="AD58" i="6" s="1"/>
  <c r="L40" i="6"/>
  <c r="S40" i="6"/>
  <c r="AM40" i="6" s="1"/>
  <c r="S58" i="6" s="1"/>
  <c r="AM58" i="6" s="1"/>
  <c r="B41" i="6"/>
  <c r="B59" i="6" s="1"/>
  <c r="C41" i="6"/>
  <c r="C59" i="6" s="1"/>
  <c r="D41" i="6"/>
  <c r="D59" i="6" s="1"/>
  <c r="E41" i="6"/>
  <c r="B42" i="6"/>
  <c r="B60" i="6" s="1"/>
  <c r="C42" i="6"/>
  <c r="D42" i="6"/>
  <c r="E42" i="6"/>
  <c r="F42" i="6"/>
  <c r="N42" i="6"/>
  <c r="R42" i="6"/>
  <c r="AL42" i="6" s="1"/>
  <c r="S42" i="6"/>
  <c r="AM42" i="6" s="1"/>
  <c r="B43" i="6"/>
  <c r="B61" i="6" s="1"/>
  <c r="C43" i="6"/>
  <c r="D43" i="6"/>
  <c r="E43" i="6"/>
  <c r="F43" i="6"/>
  <c r="O43" i="6"/>
  <c r="AI43" i="6" s="1"/>
  <c r="O61" i="6" s="1"/>
  <c r="AI61" i="6" s="1"/>
  <c r="B44" i="6"/>
  <c r="B62" i="6" s="1"/>
  <c r="C44" i="6"/>
  <c r="D44" i="6"/>
  <c r="E44" i="6"/>
  <c r="F44" i="6"/>
  <c r="K44" i="6"/>
  <c r="AE44" i="6" s="1"/>
  <c r="E28" i="6"/>
  <c r="E46" i="6" s="1"/>
  <c r="F28" i="6"/>
  <c r="F46" i="6" s="1"/>
  <c r="D28" i="6"/>
  <c r="D46" i="6" s="1"/>
  <c r="B29" i="6"/>
  <c r="B47" i="6" s="1"/>
  <c r="AH23" i="6"/>
  <c r="N41" i="6" s="1"/>
  <c r="AH22" i="6"/>
  <c r="N40" i="6" s="1"/>
  <c r="AH21" i="6"/>
  <c r="N39" i="6" s="1"/>
  <c r="L30" i="6"/>
  <c r="AF30" i="6" s="1"/>
  <c r="L48" i="6" s="1"/>
  <c r="AF48" i="6" s="1"/>
  <c r="AF21" i="6"/>
  <c r="L39" i="6" s="1"/>
  <c r="AF39" i="6" s="1"/>
  <c r="L57" i="6" s="1"/>
  <c r="AF57" i="6" s="1"/>
  <c r="AF23" i="6"/>
  <c r="L41" i="6" s="1"/>
  <c r="AF41" i="6" s="1"/>
  <c r="L59" i="6" s="1"/>
  <c r="AF59" i="6" s="1"/>
  <c r="AD21" i="6"/>
  <c r="J39" i="6" s="1"/>
  <c r="AD39" i="6" s="1"/>
  <c r="J57" i="6" s="1"/>
  <c r="AD57" i="6" s="1"/>
  <c r="J30" i="6"/>
  <c r="AD30" i="6" s="1"/>
  <c r="J48" i="6" s="1"/>
  <c r="AD48" i="6" s="1"/>
  <c r="AD23" i="6"/>
  <c r="J41" i="6" s="1"/>
  <c r="AD41" i="6" s="1"/>
  <c r="J59" i="6" s="1"/>
  <c r="AD59" i="6" s="1"/>
  <c r="AR18" i="6"/>
  <c r="Z22" i="6" s="1"/>
  <c r="F40" i="6" s="1"/>
  <c r="AL23" i="6"/>
  <c r="R41" i="6" s="1"/>
  <c r="AL41" i="6" s="1"/>
  <c r="R59" i="6" s="1"/>
  <c r="AL59" i="6" s="1"/>
  <c r="AL22" i="6"/>
  <c r="R40" i="6" s="1"/>
  <c r="AL40" i="6" s="1"/>
  <c r="R58" i="6" s="1"/>
  <c r="AL58" i="6" s="1"/>
  <c r="AL21" i="6"/>
  <c r="R39" i="6" s="1"/>
  <c r="AL39" i="6" s="1"/>
  <c r="R57" i="6" s="1"/>
  <c r="AL57" i="6" s="1"/>
  <c r="AL12" i="6"/>
  <c r="R30" i="6" s="1"/>
  <c r="AL30" i="6" s="1"/>
  <c r="R48" i="6" s="1"/>
  <c r="AL48" i="6" s="1"/>
  <c r="AS17" i="6"/>
  <c r="AN23" i="6"/>
  <c r="T41" i="6" s="1"/>
  <c r="AN41" i="6" s="1"/>
  <c r="T59" i="6" s="1"/>
  <c r="AN59" i="6" s="1"/>
  <c r="AN22" i="6"/>
  <c r="T40" i="6" s="1"/>
  <c r="AN40" i="6" s="1"/>
  <c r="T58" i="6" s="1"/>
  <c r="AN58" i="6" s="1"/>
  <c r="AN21" i="6"/>
  <c r="T39" i="6" s="1"/>
  <c r="AN39" i="6" s="1"/>
  <c r="T57" i="6" s="1"/>
  <c r="AN57" i="6" s="1"/>
  <c r="AN12" i="6"/>
  <c r="T30" i="6" s="1"/>
  <c r="AN30" i="6" s="1"/>
  <c r="T48" i="6" s="1"/>
  <c r="AN48" i="6" s="1"/>
  <c r="AI12" i="6"/>
  <c r="O30" i="6" s="1"/>
  <c r="AI30" i="6" s="1"/>
  <c r="O48" i="6" s="1"/>
  <c r="AI48" i="6" s="1"/>
  <c r="AJ12" i="6"/>
  <c r="P30" i="6" s="1"/>
  <c r="AK12" i="6"/>
  <c r="Q30" i="6" s="1"/>
  <c r="AK30" i="6" s="1"/>
  <c r="AM12" i="6"/>
  <c r="S30" i="6" s="1"/>
  <c r="AM30" i="6" s="1"/>
  <c r="S48" i="6" s="1"/>
  <c r="AM48" i="6" s="1"/>
  <c r="AO12" i="6"/>
  <c r="AO30" i="6" s="1"/>
  <c r="U48" i="6" s="1"/>
  <c r="AO48" i="6" s="1"/>
  <c r="AI13" i="6"/>
  <c r="O31" i="6" s="1"/>
  <c r="AI31" i="6" s="1"/>
  <c r="O49" i="6" s="1"/>
  <c r="AI49" i="6" s="1"/>
  <c r="AJ13" i="6"/>
  <c r="AK13" i="6"/>
  <c r="AL13" i="6"/>
  <c r="AM13" i="6"/>
  <c r="AN13" i="6"/>
  <c r="T31" i="6" s="1"/>
  <c r="AN31" i="6" s="1"/>
  <c r="T49" i="6" s="1"/>
  <c r="AN49" i="6" s="1"/>
  <c r="AO13" i="6"/>
  <c r="U31" i="6" s="1"/>
  <c r="AO31" i="6" s="1"/>
  <c r="U49" i="6" s="1"/>
  <c r="AO49" i="6" s="1"/>
  <c r="AI14" i="6"/>
  <c r="O32" i="6" s="1"/>
  <c r="AI32" i="6" s="1"/>
  <c r="O50" i="6" s="1"/>
  <c r="AI50" i="6" s="1"/>
  <c r="AJ14" i="6"/>
  <c r="AK14" i="6"/>
  <c r="AL14" i="6"/>
  <c r="AM14" i="6"/>
  <c r="AN14" i="6"/>
  <c r="T32" i="6" s="1"/>
  <c r="AN32" i="6" s="1"/>
  <c r="T50" i="6" s="1"/>
  <c r="AN50" i="6" s="1"/>
  <c r="AO14" i="6"/>
  <c r="U32" i="6" s="1"/>
  <c r="AO32" i="6" s="1"/>
  <c r="U50" i="6" s="1"/>
  <c r="AO50" i="6" s="1"/>
  <c r="AI15" i="6"/>
  <c r="O33" i="6" s="1"/>
  <c r="AI33" i="6" s="1"/>
  <c r="O51" i="6" s="1"/>
  <c r="AI51" i="6" s="1"/>
  <c r="AJ15" i="6"/>
  <c r="AK15" i="6"/>
  <c r="AL15" i="6"/>
  <c r="AM15" i="6"/>
  <c r="AN15" i="6"/>
  <c r="AO15" i="6"/>
  <c r="U33" i="6" s="1"/>
  <c r="AO33" i="6" s="1"/>
  <c r="U51" i="6" s="1"/>
  <c r="AO51" i="6" s="1"/>
  <c r="AI16" i="6"/>
  <c r="O34" i="6" s="1"/>
  <c r="AI34" i="6" s="1"/>
  <c r="O52" i="6" s="1"/>
  <c r="AI52" i="6" s="1"/>
  <c r="AJ16" i="6"/>
  <c r="AK16" i="6"/>
  <c r="AL16" i="6"/>
  <c r="AM16" i="6"/>
  <c r="AN16" i="6"/>
  <c r="T34" i="6" s="1"/>
  <c r="AN34" i="6" s="1"/>
  <c r="T52" i="6" s="1"/>
  <c r="AN52" i="6" s="1"/>
  <c r="AO16" i="6"/>
  <c r="U34" i="6" s="1"/>
  <c r="AO34" i="6" s="1"/>
  <c r="U52" i="6" s="1"/>
  <c r="AO52" i="6" s="1"/>
  <c r="AI17" i="6"/>
  <c r="O35" i="6" s="1"/>
  <c r="AI35" i="6" s="1"/>
  <c r="O53" i="6" s="1"/>
  <c r="AI53" i="6" s="1"/>
  <c r="AJ17" i="6"/>
  <c r="AK17" i="6"/>
  <c r="AL17" i="6"/>
  <c r="AM17" i="6"/>
  <c r="AN17" i="6"/>
  <c r="T35" i="6" s="1"/>
  <c r="AN35" i="6" s="1"/>
  <c r="T53" i="6" s="1"/>
  <c r="AN53" i="6" s="1"/>
  <c r="AO17" i="6"/>
  <c r="U35" i="6" s="1"/>
  <c r="AO35" i="6" s="1"/>
  <c r="U53" i="6" s="1"/>
  <c r="AO53" i="6" s="1"/>
  <c r="AI18" i="6"/>
  <c r="O36" i="6" s="1"/>
  <c r="AI36" i="6" s="1"/>
  <c r="O54" i="6" s="1"/>
  <c r="AI54" i="6" s="1"/>
  <c r="AJ18" i="6"/>
  <c r="P36" i="6" s="1"/>
  <c r="AJ36" i="6" s="1"/>
  <c r="P54" i="6" s="1"/>
  <c r="AJ54" i="6" s="1"/>
  <c r="AK18" i="6"/>
  <c r="Q36" i="6" s="1"/>
  <c r="AK36" i="6" s="1"/>
  <c r="Q54" i="6" s="1"/>
  <c r="AK54" i="6" s="1"/>
  <c r="AL18" i="6"/>
  <c r="R36" i="6" s="1"/>
  <c r="AL36" i="6" s="1"/>
  <c r="R54" i="6" s="1"/>
  <c r="AL54" i="6" s="1"/>
  <c r="AM18" i="6"/>
  <c r="S36" i="6" s="1"/>
  <c r="AM36" i="6" s="1"/>
  <c r="S54" i="6" s="1"/>
  <c r="AM54" i="6" s="1"/>
  <c r="AN18" i="6"/>
  <c r="T36" i="6" s="1"/>
  <c r="AN36" i="6" s="1"/>
  <c r="T54" i="6" s="1"/>
  <c r="AN54" i="6" s="1"/>
  <c r="AO18" i="6"/>
  <c r="U36" i="6" s="1"/>
  <c r="AO36" i="6" s="1"/>
  <c r="U54" i="6" s="1"/>
  <c r="AO54" i="6" s="1"/>
  <c r="AI19" i="6"/>
  <c r="O37" i="6" s="1"/>
  <c r="AI37" i="6" s="1"/>
  <c r="O55" i="6" s="1"/>
  <c r="AI55" i="6" s="1"/>
  <c r="AJ19" i="6"/>
  <c r="P37" i="6" s="1"/>
  <c r="AJ37" i="6" s="1"/>
  <c r="AK19" i="6"/>
  <c r="Q37" i="6" s="1"/>
  <c r="AK37" i="6" s="1"/>
  <c r="AL19" i="6"/>
  <c r="R37" i="6" s="1"/>
  <c r="AL37" i="6" s="1"/>
  <c r="R55" i="6" s="1"/>
  <c r="AL55" i="6" s="1"/>
  <c r="AM19" i="6"/>
  <c r="S37" i="6" s="1"/>
  <c r="AM37" i="6" s="1"/>
  <c r="AN19" i="6"/>
  <c r="T37" i="6" s="1"/>
  <c r="AN37" i="6" s="1"/>
  <c r="AO19" i="6"/>
  <c r="U37" i="6" s="1"/>
  <c r="AO37" i="6" s="1"/>
  <c r="U55" i="6" s="1"/>
  <c r="AO55" i="6" s="1"/>
  <c r="AI20" i="6"/>
  <c r="O38" i="6" s="1"/>
  <c r="AI38" i="6" s="1"/>
  <c r="O56" i="6" s="1"/>
  <c r="AI56" i="6" s="1"/>
  <c r="AJ20" i="6"/>
  <c r="P38" i="6" s="1"/>
  <c r="AJ38" i="6" s="1"/>
  <c r="AK20" i="6"/>
  <c r="Q38" i="6" s="1"/>
  <c r="AK38" i="6" s="1"/>
  <c r="AL20" i="6"/>
  <c r="R38" i="6" s="1"/>
  <c r="AL38" i="6" s="1"/>
  <c r="R56" i="6" s="1"/>
  <c r="AL56" i="6" s="1"/>
  <c r="AM20" i="6"/>
  <c r="S38" i="6" s="1"/>
  <c r="AM38" i="6" s="1"/>
  <c r="AN20" i="6"/>
  <c r="T38" i="6" s="1"/>
  <c r="AN38" i="6" s="1"/>
  <c r="AO20" i="6"/>
  <c r="U38" i="6" s="1"/>
  <c r="AO38" i="6" s="1"/>
  <c r="U56" i="6" s="1"/>
  <c r="AO56" i="6" s="1"/>
  <c r="AI21" i="6"/>
  <c r="AJ21" i="6"/>
  <c r="P39" i="6" s="1"/>
  <c r="AK21" i="6"/>
  <c r="Q39" i="6" s="1"/>
  <c r="AK39" i="6" s="1"/>
  <c r="Q57" i="6" s="1"/>
  <c r="AK57" i="6" s="1"/>
  <c r="AM21" i="6"/>
  <c r="S39" i="6" s="1"/>
  <c r="AM39" i="6" s="1"/>
  <c r="S57" i="6" s="1"/>
  <c r="AM57" i="6" s="1"/>
  <c r="AO21" i="6"/>
  <c r="U39" i="6" s="1"/>
  <c r="AO39" i="6" s="1"/>
  <c r="U57" i="6" s="1"/>
  <c r="AO57" i="6" s="1"/>
  <c r="AI22" i="6"/>
  <c r="O40" i="6" s="1"/>
  <c r="AI40" i="6" s="1"/>
  <c r="O58" i="6" s="1"/>
  <c r="AI58" i="6" s="1"/>
  <c r="AJ22" i="6"/>
  <c r="P40" i="6" s="1"/>
  <c r="AK22" i="6"/>
  <c r="Q40" i="6" s="1"/>
  <c r="AK40" i="6" s="1"/>
  <c r="Q58" i="6" s="1"/>
  <c r="AK58" i="6" s="1"/>
  <c r="AM22" i="6"/>
  <c r="AO22" i="6"/>
  <c r="U40" i="6" s="1"/>
  <c r="AO40" i="6" s="1"/>
  <c r="U58" i="6" s="1"/>
  <c r="AO58" i="6" s="1"/>
  <c r="AI23" i="6"/>
  <c r="O41" i="6" s="1"/>
  <c r="AI41" i="6" s="1"/>
  <c r="O59" i="6" s="1"/>
  <c r="AI59" i="6" s="1"/>
  <c r="AJ23" i="6"/>
  <c r="P41" i="6" s="1"/>
  <c r="AJ41" i="6" s="1"/>
  <c r="P59" i="6" s="1"/>
  <c r="AJ59" i="6" s="1"/>
  <c r="AK23" i="6"/>
  <c r="Q41" i="6" s="1"/>
  <c r="AK41" i="6" s="1"/>
  <c r="Q59" i="6" s="1"/>
  <c r="AK59" i="6" s="1"/>
  <c r="AM23" i="6"/>
  <c r="S41" i="6" s="1"/>
  <c r="AM41" i="6" s="1"/>
  <c r="S59" i="6" s="1"/>
  <c r="AM59" i="6" s="1"/>
  <c r="AO23" i="6"/>
  <c r="U41" i="6" s="1"/>
  <c r="AO41" i="6" s="1"/>
  <c r="U59" i="6" s="1"/>
  <c r="AO59" i="6" s="1"/>
  <c r="AI24" i="6"/>
  <c r="O42" i="6" s="1"/>
  <c r="AI42" i="6" s="1"/>
  <c r="O60" i="6" s="1"/>
  <c r="AI60" i="6" s="1"/>
  <c r="AJ24" i="6"/>
  <c r="P42" i="6" s="1"/>
  <c r="AJ42" i="6" s="1"/>
  <c r="P60" i="6" s="1"/>
  <c r="AJ60" i="6" s="1"/>
  <c r="AK24" i="6"/>
  <c r="Q42" i="6" s="1"/>
  <c r="AK42" i="6" s="1"/>
  <c r="Q60" i="6" s="1"/>
  <c r="AK60" i="6" s="1"/>
  <c r="AL24" i="6"/>
  <c r="AM24" i="6"/>
  <c r="AN24" i="6"/>
  <c r="T42" i="6" s="1"/>
  <c r="AN42" i="6" s="1"/>
  <c r="AO24" i="6"/>
  <c r="U42" i="6" s="1"/>
  <c r="AO42" i="6" s="1"/>
  <c r="AI25" i="6"/>
  <c r="AJ25" i="6"/>
  <c r="P43" i="6" s="1"/>
  <c r="AJ43" i="6" s="1"/>
  <c r="P61" i="6" s="1"/>
  <c r="AJ61" i="6" s="1"/>
  <c r="AK25" i="6"/>
  <c r="Q43" i="6" s="1"/>
  <c r="AK43" i="6" s="1"/>
  <c r="Q61" i="6" s="1"/>
  <c r="AK61" i="6" s="1"/>
  <c r="AL25" i="6"/>
  <c r="R43" i="6" s="1"/>
  <c r="AL43" i="6" s="1"/>
  <c r="AM25" i="6"/>
  <c r="S43" i="6" s="1"/>
  <c r="AM43" i="6" s="1"/>
  <c r="AN25" i="6"/>
  <c r="T43" i="6" s="1"/>
  <c r="AN43" i="6" s="1"/>
  <c r="AO25" i="6"/>
  <c r="U43" i="6" s="1"/>
  <c r="AO43" i="6" s="1"/>
  <c r="AI26" i="6"/>
  <c r="O44" i="6" s="1"/>
  <c r="AI44" i="6" s="1"/>
  <c r="O62" i="6" s="1"/>
  <c r="AI62" i="6" s="1"/>
  <c r="AJ26" i="6"/>
  <c r="P44" i="6" s="1"/>
  <c r="AJ44" i="6" s="1"/>
  <c r="P62" i="6" s="1"/>
  <c r="AJ62" i="6" s="1"/>
  <c r="AK26" i="6"/>
  <c r="Q44" i="6" s="1"/>
  <c r="AK44" i="6" s="1"/>
  <c r="Q62" i="6" s="1"/>
  <c r="AK62" i="6" s="1"/>
  <c r="AL26" i="6"/>
  <c r="R44" i="6" s="1"/>
  <c r="AL44" i="6" s="1"/>
  <c r="AM26" i="6"/>
  <c r="S44" i="6" s="1"/>
  <c r="AM44" i="6" s="1"/>
  <c r="AN26" i="6"/>
  <c r="T44" i="6" s="1"/>
  <c r="AN44" i="6" s="1"/>
  <c r="AO26" i="6"/>
  <c r="U44" i="6" s="1"/>
  <c r="AO44" i="6" s="1"/>
  <c r="AJ11" i="6"/>
  <c r="P29" i="6" s="1"/>
  <c r="AK11" i="6"/>
  <c r="Q29" i="6" s="1"/>
  <c r="AK29" i="6" s="1"/>
  <c r="Q47" i="6" s="1"/>
  <c r="AK47" i="6" s="1"/>
  <c r="AL11" i="6"/>
  <c r="R29" i="6" s="1"/>
  <c r="AL29" i="6" s="1"/>
  <c r="R47" i="6" s="1"/>
  <c r="AL47" i="6" s="1"/>
  <c r="AM11" i="6"/>
  <c r="S29" i="6" s="1"/>
  <c r="AM29" i="6" s="1"/>
  <c r="S47" i="6" s="1"/>
  <c r="AM47" i="6" s="1"/>
  <c r="AN11" i="6"/>
  <c r="T29" i="6" s="1"/>
  <c r="AN29" i="6" s="1"/>
  <c r="T47" i="6" s="1"/>
  <c r="AN47" i="6" s="1"/>
  <c r="AO11" i="6"/>
  <c r="U29" i="6" s="1"/>
  <c r="AO29" i="6" s="1"/>
  <c r="U47" i="6" s="1"/>
  <c r="AO47" i="6" s="1"/>
  <c r="AI11" i="6"/>
  <c r="AH13" i="6"/>
  <c r="AH14" i="6"/>
  <c r="AH15" i="6"/>
  <c r="AH16" i="6"/>
  <c r="AH17" i="6"/>
  <c r="AH18" i="6"/>
  <c r="N36" i="6" s="1"/>
  <c r="AH19" i="6"/>
  <c r="N37" i="6" s="1"/>
  <c r="AH20" i="6"/>
  <c r="N38" i="6" s="1"/>
  <c r="AH24" i="6"/>
  <c r="AH25" i="6"/>
  <c r="N43" i="6" s="1"/>
  <c r="AH26" i="6"/>
  <c r="N44" i="6" s="1"/>
  <c r="AH11" i="6"/>
  <c r="AA12" i="6"/>
  <c r="G30" i="6" s="1"/>
  <c r="AA30" i="6" s="1"/>
  <c r="G48" i="6" s="1"/>
  <c r="AA48" i="6" s="1"/>
  <c r="AB12" i="6"/>
  <c r="H30" i="6" s="1"/>
  <c r="AC12" i="6"/>
  <c r="I30" i="6" s="1"/>
  <c r="AC30" i="6" s="1"/>
  <c r="I48" i="6" s="1"/>
  <c r="AC48" i="6" s="1"/>
  <c r="AE12" i="6"/>
  <c r="K30" i="6" s="1"/>
  <c r="AE30" i="6" s="1"/>
  <c r="K48" i="6" s="1"/>
  <c r="AE48" i="6" s="1"/>
  <c r="AG12" i="6"/>
  <c r="M30" i="6" s="1"/>
  <c r="AG30" i="6" s="1"/>
  <c r="M48" i="6" s="1"/>
  <c r="AA13" i="6"/>
  <c r="G31" i="6" s="1"/>
  <c r="AA31" i="6" s="1"/>
  <c r="G49" i="6" s="1"/>
  <c r="AA49" i="6" s="1"/>
  <c r="AB13" i="6"/>
  <c r="AC13" i="6"/>
  <c r="AD13" i="6"/>
  <c r="AE13" i="6"/>
  <c r="AF13" i="6"/>
  <c r="L31" i="6" s="1"/>
  <c r="AF31" i="6" s="1"/>
  <c r="L49" i="6" s="1"/>
  <c r="AF49" i="6" s="1"/>
  <c r="AG13" i="6"/>
  <c r="M31" i="6" s="1"/>
  <c r="AG31" i="6" s="1"/>
  <c r="M49" i="6" s="1"/>
  <c r="AA14" i="6"/>
  <c r="G32" i="6" s="1"/>
  <c r="AA32" i="6" s="1"/>
  <c r="G50" i="6" s="1"/>
  <c r="AA50" i="6" s="1"/>
  <c r="AB14" i="6"/>
  <c r="AC14" i="6"/>
  <c r="AD14" i="6"/>
  <c r="AE14" i="6"/>
  <c r="AF14" i="6"/>
  <c r="L32" i="6" s="1"/>
  <c r="AF32" i="6" s="1"/>
  <c r="L50" i="6" s="1"/>
  <c r="AF50" i="6" s="1"/>
  <c r="AG14" i="6"/>
  <c r="M32" i="6" s="1"/>
  <c r="AG32" i="6" s="1"/>
  <c r="M50" i="6" s="1"/>
  <c r="AA15" i="6"/>
  <c r="G33" i="6" s="1"/>
  <c r="AA33" i="6" s="1"/>
  <c r="G51" i="6" s="1"/>
  <c r="AA51" i="6" s="1"/>
  <c r="AB15" i="6"/>
  <c r="AC15" i="6"/>
  <c r="AD15" i="6"/>
  <c r="AE15" i="6"/>
  <c r="AF15" i="6"/>
  <c r="L33" i="6" s="1"/>
  <c r="AF33" i="6" s="1"/>
  <c r="L51" i="6" s="1"/>
  <c r="AF51" i="6" s="1"/>
  <c r="AG15" i="6"/>
  <c r="M33" i="6" s="1"/>
  <c r="AG33" i="6" s="1"/>
  <c r="M51" i="6" s="1"/>
  <c r="AA16" i="6"/>
  <c r="G34" i="6" s="1"/>
  <c r="AA34" i="6" s="1"/>
  <c r="G52" i="6" s="1"/>
  <c r="AA52" i="6" s="1"/>
  <c r="AB16" i="6"/>
  <c r="AC16" i="6"/>
  <c r="AD16" i="6"/>
  <c r="AE16" i="6"/>
  <c r="AF16" i="6"/>
  <c r="L34" i="6" s="1"/>
  <c r="AF34" i="6" s="1"/>
  <c r="L52" i="6" s="1"/>
  <c r="AF52" i="6" s="1"/>
  <c r="AG16" i="6"/>
  <c r="M34" i="6" s="1"/>
  <c r="AG34" i="6" s="1"/>
  <c r="M52" i="6" s="1"/>
  <c r="AA17" i="6"/>
  <c r="G35" i="6" s="1"/>
  <c r="AA35" i="6" s="1"/>
  <c r="G53" i="6" s="1"/>
  <c r="AA53" i="6" s="1"/>
  <c r="AB17" i="6"/>
  <c r="AC17" i="6"/>
  <c r="AD17" i="6"/>
  <c r="AE17" i="6"/>
  <c r="AF17" i="6"/>
  <c r="L35" i="6" s="1"/>
  <c r="AF35" i="6" s="1"/>
  <c r="L53" i="6" s="1"/>
  <c r="AF53" i="6" s="1"/>
  <c r="AG17" i="6"/>
  <c r="M35" i="6" s="1"/>
  <c r="AG35" i="6" s="1"/>
  <c r="M53" i="6" s="1"/>
  <c r="AA18" i="6"/>
  <c r="G36" i="6" s="1"/>
  <c r="AA36" i="6" s="1"/>
  <c r="G54" i="6" s="1"/>
  <c r="AA54" i="6" s="1"/>
  <c r="AB18" i="6"/>
  <c r="H36" i="6" s="1"/>
  <c r="AB36" i="6" s="1"/>
  <c r="H54" i="6" s="1"/>
  <c r="AB54" i="6" s="1"/>
  <c r="AC18" i="6"/>
  <c r="I36" i="6" s="1"/>
  <c r="AC36" i="6" s="1"/>
  <c r="I54" i="6" s="1"/>
  <c r="AC54" i="6" s="1"/>
  <c r="AD18" i="6"/>
  <c r="J36" i="6" s="1"/>
  <c r="AD36" i="6" s="1"/>
  <c r="J54" i="6" s="1"/>
  <c r="AD54" i="6" s="1"/>
  <c r="AE18" i="6"/>
  <c r="K36" i="6" s="1"/>
  <c r="AE36" i="6" s="1"/>
  <c r="K54" i="6" s="1"/>
  <c r="AE54" i="6" s="1"/>
  <c r="AF18" i="6"/>
  <c r="L36" i="6" s="1"/>
  <c r="AF36" i="6" s="1"/>
  <c r="L54" i="6" s="1"/>
  <c r="AF54" i="6" s="1"/>
  <c r="AG18" i="6"/>
  <c r="AA19" i="6"/>
  <c r="G37" i="6" s="1"/>
  <c r="AA37" i="6" s="1"/>
  <c r="G55" i="6" s="1"/>
  <c r="AA55" i="6" s="1"/>
  <c r="AB19" i="6"/>
  <c r="H37" i="6" s="1"/>
  <c r="AB37" i="6" s="1"/>
  <c r="AC19" i="6"/>
  <c r="I37" i="6" s="1"/>
  <c r="AD19" i="6"/>
  <c r="J37" i="6" s="1"/>
  <c r="AD37" i="6" s="1"/>
  <c r="J55" i="6" s="1"/>
  <c r="AD55" i="6" s="1"/>
  <c r="AE19" i="6"/>
  <c r="K37" i="6" s="1"/>
  <c r="AE37" i="6" s="1"/>
  <c r="AF19" i="6"/>
  <c r="L37" i="6" s="1"/>
  <c r="AF37" i="6" s="1"/>
  <c r="AG19" i="6"/>
  <c r="M37" i="6" s="1"/>
  <c r="AG37" i="6" s="1"/>
  <c r="M55" i="6" s="1"/>
  <c r="AA20" i="6"/>
  <c r="G38" i="6" s="1"/>
  <c r="AA38" i="6" s="1"/>
  <c r="G56" i="6" s="1"/>
  <c r="AA56" i="6" s="1"/>
  <c r="AB20" i="6"/>
  <c r="H38" i="6" s="1"/>
  <c r="AB38" i="6" s="1"/>
  <c r="AC20" i="6"/>
  <c r="I38" i="6" s="1"/>
  <c r="AC38" i="6" s="1"/>
  <c r="AD20" i="6"/>
  <c r="J38" i="6" s="1"/>
  <c r="AD38" i="6" s="1"/>
  <c r="J56" i="6" s="1"/>
  <c r="AD56" i="6" s="1"/>
  <c r="AE20" i="6"/>
  <c r="K38" i="6" s="1"/>
  <c r="AE38" i="6" s="1"/>
  <c r="AF20" i="6"/>
  <c r="L38" i="6" s="1"/>
  <c r="AF38" i="6" s="1"/>
  <c r="AG20" i="6"/>
  <c r="M38" i="6" s="1"/>
  <c r="AG38" i="6" s="1"/>
  <c r="M56" i="6" s="1"/>
  <c r="AA21" i="6"/>
  <c r="G39" i="6" s="1"/>
  <c r="AA39" i="6" s="1"/>
  <c r="G57" i="6" s="1"/>
  <c r="AA57" i="6" s="1"/>
  <c r="AB21" i="6"/>
  <c r="H39" i="6" s="1"/>
  <c r="AC21" i="6"/>
  <c r="I39" i="6" s="1"/>
  <c r="AC39" i="6" s="1"/>
  <c r="I57" i="6" s="1"/>
  <c r="AC57" i="6" s="1"/>
  <c r="AE21" i="6"/>
  <c r="K39" i="6" s="1"/>
  <c r="AE39" i="6" s="1"/>
  <c r="K57" i="6" s="1"/>
  <c r="AE57" i="6" s="1"/>
  <c r="AG21" i="6"/>
  <c r="M39" i="6" s="1"/>
  <c r="AG39" i="6" s="1"/>
  <c r="M57" i="6" s="1"/>
  <c r="AA22" i="6"/>
  <c r="G40" i="6" s="1"/>
  <c r="AA40" i="6" s="1"/>
  <c r="G58" i="6" s="1"/>
  <c r="AA58" i="6" s="1"/>
  <c r="AB22" i="6"/>
  <c r="H40" i="6" s="1"/>
  <c r="AC22" i="6"/>
  <c r="I40" i="6" s="1"/>
  <c r="AC40" i="6" s="1"/>
  <c r="I58" i="6" s="1"/>
  <c r="AC58" i="6" s="1"/>
  <c r="AE22" i="6"/>
  <c r="K40" i="6" s="1"/>
  <c r="AE40" i="6" s="1"/>
  <c r="K58" i="6" s="1"/>
  <c r="AE58" i="6" s="1"/>
  <c r="AG22" i="6"/>
  <c r="M40" i="6" s="1"/>
  <c r="AG40" i="6" s="1"/>
  <c r="M58" i="6" s="1"/>
  <c r="AA23" i="6"/>
  <c r="G41" i="6" s="1"/>
  <c r="AA41" i="6" s="1"/>
  <c r="G59" i="6" s="1"/>
  <c r="AA59" i="6" s="1"/>
  <c r="AB23" i="6"/>
  <c r="H41" i="6" s="1"/>
  <c r="AC23" i="6"/>
  <c r="I41" i="6" s="1"/>
  <c r="AC41" i="6" s="1"/>
  <c r="I59" i="6" s="1"/>
  <c r="AC59" i="6" s="1"/>
  <c r="AE23" i="6"/>
  <c r="K41" i="6" s="1"/>
  <c r="AE41" i="6" s="1"/>
  <c r="K59" i="6" s="1"/>
  <c r="AE59" i="6" s="1"/>
  <c r="AG23" i="6"/>
  <c r="M41" i="6" s="1"/>
  <c r="AG41" i="6" s="1"/>
  <c r="M59" i="6" s="1"/>
  <c r="AA24" i="6"/>
  <c r="G42" i="6" s="1"/>
  <c r="AA42" i="6" s="1"/>
  <c r="G60" i="6" s="1"/>
  <c r="AA60" i="6" s="1"/>
  <c r="AB24" i="6"/>
  <c r="H42" i="6" s="1"/>
  <c r="AB42" i="6" s="1"/>
  <c r="H60" i="6" s="1"/>
  <c r="AB60" i="6" s="1"/>
  <c r="AC24" i="6"/>
  <c r="I42" i="6" s="1"/>
  <c r="AC42" i="6" s="1"/>
  <c r="I60" i="6" s="1"/>
  <c r="AC60" i="6" s="1"/>
  <c r="AD24" i="6"/>
  <c r="J42" i="6" s="1"/>
  <c r="AD42" i="6" s="1"/>
  <c r="AE24" i="6"/>
  <c r="K42" i="6" s="1"/>
  <c r="AE42" i="6" s="1"/>
  <c r="AF24" i="6"/>
  <c r="L42" i="6" s="1"/>
  <c r="AG24" i="6"/>
  <c r="M42" i="6" s="1"/>
  <c r="AG42" i="6" s="1"/>
  <c r="AA25" i="6"/>
  <c r="G43" i="6" s="1"/>
  <c r="AA43" i="6" s="1"/>
  <c r="G61" i="6" s="1"/>
  <c r="AA61" i="6" s="1"/>
  <c r="AB25" i="6"/>
  <c r="H43" i="6" s="1"/>
  <c r="AB43" i="6" s="1"/>
  <c r="H61" i="6" s="1"/>
  <c r="AB61" i="6" s="1"/>
  <c r="AC25" i="6"/>
  <c r="I43" i="6" s="1"/>
  <c r="AC43" i="6" s="1"/>
  <c r="I61" i="6" s="1"/>
  <c r="AC61" i="6" s="1"/>
  <c r="AD25" i="6"/>
  <c r="J43" i="6" s="1"/>
  <c r="AD43" i="6" s="1"/>
  <c r="AE25" i="6"/>
  <c r="K43" i="6" s="1"/>
  <c r="AE43" i="6" s="1"/>
  <c r="AF25" i="6"/>
  <c r="L43" i="6" s="1"/>
  <c r="AF43" i="6" s="1"/>
  <c r="AG25" i="6"/>
  <c r="M43" i="6" s="1"/>
  <c r="AG43" i="6" s="1"/>
  <c r="AA26" i="6"/>
  <c r="G44" i="6" s="1"/>
  <c r="AA44" i="6" s="1"/>
  <c r="G62" i="6" s="1"/>
  <c r="AA62" i="6" s="1"/>
  <c r="AB26" i="6"/>
  <c r="H44" i="6" s="1"/>
  <c r="AB44" i="6" s="1"/>
  <c r="H62" i="6" s="1"/>
  <c r="AB62" i="6" s="1"/>
  <c r="AC26" i="6"/>
  <c r="I44" i="6" s="1"/>
  <c r="AC44" i="6" s="1"/>
  <c r="I62" i="6" s="1"/>
  <c r="AC62" i="6" s="1"/>
  <c r="AD26" i="6"/>
  <c r="J44" i="6" s="1"/>
  <c r="AD44" i="6" s="1"/>
  <c r="AE26" i="6"/>
  <c r="AF26" i="6"/>
  <c r="L44" i="6" s="1"/>
  <c r="AF44" i="6" s="1"/>
  <c r="AG26" i="6"/>
  <c r="M44" i="6" s="1"/>
  <c r="AG44" i="6" s="1"/>
  <c r="AB11" i="6"/>
  <c r="H29" i="6" s="1"/>
  <c r="AC11" i="6"/>
  <c r="I29" i="6" s="1"/>
  <c r="AC29" i="6" s="1"/>
  <c r="I47" i="6" s="1"/>
  <c r="AC47" i="6" s="1"/>
  <c r="AD11" i="6"/>
  <c r="J29" i="6" s="1"/>
  <c r="AD29" i="6" s="1"/>
  <c r="J47" i="6" s="1"/>
  <c r="AD47" i="6" s="1"/>
  <c r="AE11" i="6"/>
  <c r="K29" i="6" s="1"/>
  <c r="AE29" i="6" s="1"/>
  <c r="K47" i="6" s="1"/>
  <c r="AE47" i="6" s="1"/>
  <c r="AF11" i="6"/>
  <c r="L29" i="6" s="1"/>
  <c r="AF29" i="6" s="1"/>
  <c r="L47" i="6" s="1"/>
  <c r="AF47" i="6" s="1"/>
  <c r="AG11" i="6"/>
  <c r="M29" i="6" s="1"/>
  <c r="AG29" i="6" s="1"/>
  <c r="M47" i="6" s="1"/>
  <c r="AA11" i="6"/>
  <c r="N23" i="6"/>
  <c r="N22" i="6"/>
  <c r="N21" i="6"/>
  <c r="AR3" i="6" l="1"/>
  <c r="AS3" i="6" s="1"/>
  <c r="Z32" i="6"/>
  <c r="F50" i="6" s="1"/>
  <c r="Z50" i="6" s="1"/>
  <c r="AJ35" i="6"/>
  <c r="P53" i="6" s="1"/>
  <c r="AJ53" i="6" s="1"/>
  <c r="AJ31" i="6"/>
  <c r="P49" i="6" s="1"/>
  <c r="AJ49" i="6" s="1"/>
  <c r="Z35" i="6"/>
  <c r="F53" i="6" s="1"/>
  <c r="Z53" i="6" s="1"/>
  <c r="Z31" i="6"/>
  <c r="F49" i="6" s="1"/>
  <c r="Z49" i="6" s="1"/>
  <c r="AJ34" i="6"/>
  <c r="P52" i="6" s="1"/>
  <c r="AJ52" i="6" s="1"/>
  <c r="Z29" i="6"/>
  <c r="F47" i="6" s="1"/>
  <c r="Z47" i="6" s="1"/>
  <c r="AJ33" i="6"/>
  <c r="P51" i="6" s="1"/>
  <c r="AJ51" i="6" s="1"/>
  <c r="Z33" i="6"/>
  <c r="F51" i="6" s="1"/>
  <c r="Z51" i="6" s="1"/>
  <c r="Z34" i="6"/>
  <c r="F52" i="6" s="1"/>
  <c r="Z52" i="6" s="1"/>
  <c r="AJ32" i="6"/>
  <c r="P50" i="6" s="1"/>
  <c r="AJ50" i="6" s="1"/>
  <c r="AJ39" i="6"/>
  <c r="P57" i="6" s="1"/>
  <c r="AJ57" i="6" s="1"/>
  <c r="AJ40" i="6"/>
  <c r="P58" i="6" s="1"/>
  <c r="AJ58" i="6" s="1"/>
  <c r="AJ29" i="6"/>
  <c r="P47" i="6" s="1"/>
  <c r="AJ47" i="6" s="1"/>
  <c r="AJ30" i="6"/>
  <c r="P48" i="6" s="1"/>
  <c r="AJ48" i="6" s="1"/>
  <c r="Z40" i="6"/>
  <c r="F58" i="6" s="1"/>
  <c r="Z58" i="6" s="1"/>
  <c r="Z12" i="6"/>
  <c r="F30" i="6" s="1"/>
  <c r="Z30" i="6" s="1"/>
  <c r="F48" i="6" s="1"/>
  <c r="Z48" i="6" s="1"/>
  <c r="Z23" i="6"/>
  <c r="F41" i="6" s="1"/>
  <c r="Z41" i="6" s="1"/>
  <c r="F59" i="6" s="1"/>
  <c r="Z59" i="6" s="1"/>
  <c r="Z21" i="6"/>
  <c r="F39" i="6" s="1"/>
  <c r="Z39" i="6" s="1"/>
  <c r="F57" i="6" s="1"/>
  <c r="Z57" i="6" s="1"/>
  <c r="AP62" i="6" l="1"/>
  <c r="V62" i="6"/>
  <c r="AP61" i="6"/>
  <c r="V61" i="6"/>
  <c r="AP60" i="6"/>
  <c r="V60" i="6"/>
  <c r="AP59" i="6"/>
  <c r="V59" i="6"/>
  <c r="AP58" i="6"/>
  <c r="V58" i="6"/>
  <c r="AP57" i="6"/>
  <c r="V57" i="6"/>
  <c r="AP56" i="6"/>
  <c r="V56" i="6"/>
  <c r="AP55" i="6"/>
  <c r="V55" i="6"/>
  <c r="AP54" i="6"/>
  <c r="V54" i="6"/>
  <c r="AP53" i="6"/>
  <c r="V53" i="6"/>
  <c r="AS52" i="6"/>
  <c r="AP52" i="6"/>
  <c r="V52" i="6"/>
  <c r="AP51" i="6"/>
  <c r="V51" i="6"/>
  <c r="AP50" i="6"/>
  <c r="V50" i="6"/>
  <c r="AP49" i="6"/>
  <c r="V49" i="6"/>
  <c r="AP48" i="6"/>
  <c r="V48" i="6"/>
  <c r="AP47" i="6"/>
  <c r="V47" i="6"/>
  <c r="AP44" i="6"/>
  <c r="V44" i="6"/>
  <c r="AP43" i="6"/>
  <c r="V43" i="6"/>
  <c r="AP42" i="6"/>
  <c r="V42" i="6"/>
  <c r="AP41" i="6"/>
  <c r="V41" i="6"/>
  <c r="AP40" i="6"/>
  <c r="V40" i="6"/>
  <c r="AP39" i="6"/>
  <c r="V39" i="6"/>
  <c r="AP38" i="6"/>
  <c r="V38" i="6"/>
  <c r="AP37" i="6"/>
  <c r="V37" i="6"/>
  <c r="AP36" i="6"/>
  <c r="V36" i="6"/>
  <c r="AP35" i="6"/>
  <c r="V35" i="6"/>
  <c r="AP34" i="6"/>
  <c r="V34" i="6"/>
  <c r="AS33" i="6"/>
  <c r="AP33" i="6"/>
  <c r="V33" i="6"/>
  <c r="AP32" i="6"/>
  <c r="V32" i="6"/>
  <c r="AP31" i="6"/>
  <c r="V31" i="6"/>
  <c r="AP30" i="6"/>
  <c r="V30" i="6"/>
  <c r="AP29" i="6"/>
  <c r="V29" i="6"/>
  <c r="AP26" i="6"/>
  <c r="V26" i="6"/>
  <c r="AP25" i="6"/>
  <c r="V25" i="6"/>
  <c r="AP24" i="6"/>
  <c r="V24" i="6"/>
  <c r="AP23" i="6"/>
  <c r="V23" i="6"/>
  <c r="AP22" i="6"/>
  <c r="V22" i="6"/>
  <c r="AP21" i="6"/>
  <c r="V21" i="6"/>
  <c r="N9" i="6"/>
  <c r="AP20" i="6"/>
  <c r="V20" i="6"/>
  <c r="AP19" i="6"/>
  <c r="V19" i="6"/>
  <c r="AP18" i="6"/>
  <c r="V18" i="6"/>
  <c r="AP17" i="6"/>
  <c r="V17" i="6"/>
  <c r="AS16" i="6"/>
  <c r="AS18" i="6" s="1"/>
  <c r="AP16" i="6"/>
  <c r="V16" i="6"/>
  <c r="AP15" i="6"/>
  <c r="V15" i="6"/>
  <c r="AP14" i="6"/>
  <c r="V14" i="6"/>
  <c r="AP13" i="6"/>
  <c r="V13" i="6"/>
  <c r="AP12" i="6"/>
  <c r="V12" i="6"/>
  <c r="AP11" i="6"/>
  <c r="V11" i="6"/>
  <c r="AH9" i="6" l="1"/>
  <c r="N45" i="6"/>
  <c r="AH45" i="6"/>
  <c r="AH27" i="6"/>
  <c r="N27" i="6"/>
  <c r="AE87" i="5"/>
  <c r="AE86" i="5"/>
  <c r="AE85" i="5"/>
  <c r="K87" i="5"/>
  <c r="K86" i="5"/>
  <c r="K85" i="5"/>
  <c r="AE69" i="5"/>
  <c r="AE68" i="5"/>
  <c r="AE67" i="5"/>
  <c r="K69" i="5"/>
  <c r="K68" i="5"/>
  <c r="K67" i="5"/>
  <c r="AE51" i="5"/>
  <c r="AE50" i="5"/>
  <c r="AE49" i="5"/>
  <c r="Y87" i="5"/>
  <c r="Y86" i="5"/>
  <c r="Y85" i="5"/>
  <c r="AE82" i="5"/>
  <c r="AE81" i="5"/>
  <c r="AE80" i="5"/>
  <c r="AE79" i="5"/>
  <c r="AE78" i="5"/>
  <c r="AE77" i="5"/>
  <c r="AE76" i="5"/>
  <c r="Y76" i="5"/>
  <c r="AE75" i="5"/>
  <c r="Y75" i="5"/>
  <c r="AP80" i="5"/>
  <c r="AM90" i="5"/>
  <c r="AE90" i="5"/>
  <c r="AM89" i="5"/>
  <c r="AE89" i="5"/>
  <c r="AM88" i="5"/>
  <c r="AE88" i="5"/>
  <c r="AM87" i="5"/>
  <c r="AM86" i="5"/>
  <c r="AM85" i="5"/>
  <c r="AM84" i="5"/>
  <c r="AE84" i="5"/>
  <c r="AM83" i="5"/>
  <c r="AE83" i="5"/>
  <c r="AM82" i="5"/>
  <c r="AM81" i="5"/>
  <c r="AM80" i="5"/>
  <c r="AM79" i="5"/>
  <c r="AM78" i="5"/>
  <c r="AM77" i="5"/>
  <c r="AM76" i="5"/>
  <c r="AM75" i="5"/>
  <c r="S90" i="5"/>
  <c r="K90" i="5"/>
  <c r="S89" i="5"/>
  <c r="K89" i="5"/>
  <c r="S88" i="5"/>
  <c r="K88" i="5"/>
  <c r="S87" i="5"/>
  <c r="E87" i="5"/>
  <c r="S86" i="5"/>
  <c r="E86" i="5"/>
  <c r="S85" i="5"/>
  <c r="E85" i="5"/>
  <c r="S84" i="5"/>
  <c r="K84" i="5"/>
  <c r="S83" i="5"/>
  <c r="K83" i="5"/>
  <c r="S82" i="5"/>
  <c r="K82" i="5"/>
  <c r="S81" i="5"/>
  <c r="K81" i="5"/>
  <c r="S80" i="5"/>
  <c r="K80" i="5"/>
  <c r="S79" i="5"/>
  <c r="K79" i="5"/>
  <c r="S78" i="5"/>
  <c r="K78" i="5"/>
  <c r="S77" i="5"/>
  <c r="K77" i="5"/>
  <c r="S76" i="5"/>
  <c r="K76" i="5"/>
  <c r="E76" i="5"/>
  <c r="S75" i="5"/>
  <c r="K75" i="5"/>
  <c r="AE72" i="5"/>
  <c r="AE71" i="5"/>
  <c r="AE70" i="5"/>
  <c r="AE66" i="5"/>
  <c r="AE65" i="5"/>
  <c r="AE64" i="5"/>
  <c r="AE63" i="5"/>
  <c r="AE62" i="5"/>
  <c r="AE61" i="5"/>
  <c r="AE60" i="5"/>
  <c r="AE59" i="5"/>
  <c r="AE58" i="5"/>
  <c r="AE57" i="5"/>
  <c r="AM72" i="5"/>
  <c r="AM71" i="5"/>
  <c r="AM70" i="5"/>
  <c r="AM69" i="5"/>
  <c r="AM68" i="5"/>
  <c r="AM67" i="5"/>
  <c r="AM66" i="5"/>
  <c r="AM65" i="5"/>
  <c r="AM64" i="5"/>
  <c r="AM63" i="5"/>
  <c r="AM62" i="5"/>
  <c r="AM61" i="5"/>
  <c r="AM60" i="5"/>
  <c r="AM59" i="5"/>
  <c r="AM58" i="5"/>
  <c r="AM57" i="5"/>
  <c r="AP62" i="5"/>
  <c r="Y69" i="5"/>
  <c r="Y68" i="5"/>
  <c r="Y67" i="5"/>
  <c r="Y58" i="5"/>
  <c r="K72" i="5"/>
  <c r="K71" i="5"/>
  <c r="K70" i="5"/>
  <c r="K66" i="5"/>
  <c r="K65" i="5"/>
  <c r="K57" i="5"/>
  <c r="S72" i="5"/>
  <c r="S71" i="5"/>
  <c r="S70" i="5"/>
  <c r="S69" i="5"/>
  <c r="E69" i="5"/>
  <c r="S68" i="5"/>
  <c r="E68" i="5"/>
  <c r="S67" i="5"/>
  <c r="E67" i="5"/>
  <c r="S66" i="5"/>
  <c r="S65" i="5"/>
  <c r="S64" i="5"/>
  <c r="K64" i="5"/>
  <c r="S63" i="5"/>
  <c r="K63" i="5"/>
  <c r="S62" i="5"/>
  <c r="K62" i="5"/>
  <c r="S61" i="5"/>
  <c r="K61" i="5"/>
  <c r="S60" i="5"/>
  <c r="K60" i="5"/>
  <c r="S59" i="5"/>
  <c r="K59" i="5"/>
  <c r="S58" i="5"/>
  <c r="K58" i="5"/>
  <c r="E58" i="5"/>
  <c r="S57" i="5"/>
  <c r="AE46" i="5"/>
  <c r="AE45" i="5"/>
  <c r="AE44" i="5"/>
  <c r="AE43" i="5"/>
  <c r="AE42" i="5"/>
  <c r="AE41" i="5"/>
  <c r="AE40" i="5"/>
  <c r="Y51" i="5"/>
  <c r="Y50" i="5"/>
  <c r="Y49" i="5"/>
  <c r="Y40" i="5"/>
  <c r="AO43" i="5"/>
  <c r="AP43" i="5" s="1"/>
  <c r="AP9" i="5" s="1"/>
  <c r="AM54" i="5"/>
  <c r="AM53" i="5"/>
  <c r="AM52" i="5"/>
  <c r="AM51" i="5"/>
  <c r="AM50" i="5"/>
  <c r="AM49" i="5"/>
  <c r="AM48" i="5"/>
  <c r="AM47" i="5"/>
  <c r="AM46" i="5"/>
  <c r="AM45" i="5"/>
  <c r="AM44" i="5"/>
  <c r="AM43" i="5"/>
  <c r="AM42" i="5"/>
  <c r="AM41" i="5"/>
  <c r="AM40" i="5"/>
  <c r="AM39" i="5"/>
  <c r="K46" i="5"/>
  <c r="K45" i="5"/>
  <c r="K44" i="5"/>
  <c r="K43" i="5"/>
  <c r="K42" i="5"/>
  <c r="K41" i="5"/>
  <c r="S54" i="5"/>
  <c r="S53" i="5"/>
  <c r="S52" i="5"/>
  <c r="S51" i="5"/>
  <c r="K51" i="5"/>
  <c r="S50" i="5"/>
  <c r="K50" i="5"/>
  <c r="S49" i="5"/>
  <c r="K49" i="5"/>
  <c r="S48" i="5"/>
  <c r="S47" i="5"/>
  <c r="S46" i="5"/>
  <c r="S45" i="5"/>
  <c r="S44" i="5"/>
  <c r="S43" i="5"/>
  <c r="S42" i="5"/>
  <c r="S41" i="5"/>
  <c r="S40" i="5"/>
  <c r="K40" i="5"/>
  <c r="K37" i="5" s="1"/>
  <c r="S39" i="5"/>
  <c r="AP26" i="5"/>
  <c r="AO26" i="5"/>
  <c r="AO9" i="5" s="1"/>
  <c r="AE33" i="5"/>
  <c r="AE32" i="5"/>
  <c r="AE31" i="5"/>
  <c r="AE22" i="5"/>
  <c r="AE19" i="5" s="1"/>
  <c r="AM36" i="5"/>
  <c r="AM35" i="5"/>
  <c r="AM34" i="5"/>
  <c r="AM33" i="5"/>
  <c r="AM32" i="5"/>
  <c r="AM31" i="5"/>
  <c r="AM30" i="5"/>
  <c r="AM29" i="5"/>
  <c r="AM28" i="5"/>
  <c r="AM27" i="5"/>
  <c r="AM26" i="5"/>
  <c r="AM25" i="5"/>
  <c r="AM24" i="5"/>
  <c r="AM23" i="5"/>
  <c r="AM22" i="5"/>
  <c r="AM21" i="5"/>
  <c r="K33" i="5"/>
  <c r="K32" i="5"/>
  <c r="K31" i="5"/>
  <c r="K22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K1" i="5"/>
  <c r="S3" i="5"/>
  <c r="AE37" i="5" l="1"/>
  <c r="AE55" i="5"/>
  <c r="K19" i="5"/>
  <c r="AE73" i="5"/>
  <c r="K73" i="5"/>
  <c r="K55" i="5"/>
  <c r="N21" i="4" l="1"/>
  <c r="O21" i="4" s="1"/>
  <c r="N48" i="4"/>
  <c r="O48" i="4" s="1"/>
  <c r="N47" i="4"/>
  <c r="O47" i="4" s="1"/>
  <c r="N44" i="4"/>
  <c r="O44" i="4" s="1"/>
  <c r="N41" i="4"/>
  <c r="O41" i="4" s="1"/>
  <c r="N20" i="4"/>
  <c r="O20" i="4" s="1"/>
  <c r="N19" i="4"/>
  <c r="O19" i="4" s="1"/>
  <c r="N17" i="4"/>
  <c r="O17" i="4" s="1"/>
  <c r="N3" i="4"/>
  <c r="O3" i="4" s="1"/>
  <c r="N13" i="4"/>
  <c r="O13" i="4" s="1"/>
  <c r="N10" i="4"/>
  <c r="O10" i="4" s="1"/>
  <c r="N7" i="4"/>
  <c r="O7" i="4" s="1"/>
  <c r="N2" i="4"/>
  <c r="O2" i="4" s="1"/>
  <c r="N15" i="4"/>
  <c r="O15" i="4" s="1"/>
  <c r="N36" i="4"/>
  <c r="O36" i="4" s="1"/>
  <c r="N31" i="4"/>
  <c r="O31" i="4" s="1"/>
  <c r="N23" i="4"/>
  <c r="O23" i="4" s="1"/>
  <c r="N43" i="4"/>
  <c r="O43" i="4" s="1"/>
  <c r="N37" i="4"/>
  <c r="O37" i="4" s="1"/>
  <c r="N32" i="4"/>
  <c r="O32" i="4" s="1"/>
  <c r="N25" i="4"/>
  <c r="O25" i="4" s="1"/>
  <c r="N6" i="4"/>
  <c r="O6" i="4" s="1"/>
  <c r="N40" i="4"/>
  <c r="O40" i="4" s="1"/>
  <c r="N27" i="4"/>
  <c r="O27" i="4" s="1"/>
  <c r="N8" i="4"/>
  <c r="O8" i="4" s="1"/>
  <c r="N46" i="4"/>
  <c r="O46" i="4" s="1"/>
  <c r="N30" i="4"/>
  <c r="O30" i="4" s="1"/>
  <c r="N24" i="4"/>
  <c r="O24" i="4" s="1"/>
  <c r="N49" i="4"/>
  <c r="O49" i="4" s="1"/>
  <c r="N39" i="4"/>
  <c r="O39" i="4" s="1"/>
  <c r="N16" i="4"/>
  <c r="O16" i="4" s="1"/>
  <c r="N28" i="4"/>
  <c r="O28" i="4" s="1"/>
  <c r="N22" i="4"/>
  <c r="O22" i="4" s="1"/>
  <c r="N45" i="4"/>
  <c r="O45" i="4" s="1"/>
  <c r="N4" i="4"/>
  <c r="O4" i="4" s="1"/>
  <c r="N38" i="4"/>
  <c r="O38" i="4" s="1"/>
  <c r="N18" i="4"/>
  <c r="O18" i="4" s="1"/>
  <c r="N12" i="4"/>
  <c r="O12" i="4" s="1"/>
  <c r="N5" i="4"/>
  <c r="O5" i="4" s="1"/>
  <c r="N42" i="4"/>
  <c r="O42" i="4" s="1"/>
  <c r="N29" i="4"/>
  <c r="O29" i="4" s="1"/>
  <c r="N33" i="4"/>
  <c r="O33" i="4" s="1"/>
  <c r="N9" i="4"/>
  <c r="O9" i="4" s="1"/>
  <c r="N35" i="4"/>
  <c r="O35" i="4" s="1"/>
  <c r="N14" i="4"/>
  <c r="O14" i="4" s="1"/>
  <c r="N11" i="4"/>
  <c r="O11" i="4" s="1"/>
  <c r="N26" i="4"/>
  <c r="O26" i="4" s="1"/>
  <c r="N34" i="4"/>
  <c r="O34" i="4" s="1"/>
</calcChain>
</file>

<file path=xl/sharedStrings.xml><?xml version="1.0" encoding="utf-8"?>
<sst xmlns="http://schemas.openxmlformats.org/spreadsheetml/2006/main" count="1089" uniqueCount="198">
  <si>
    <t>DEF</t>
  </si>
  <si>
    <t>Num</t>
  </si>
  <si>
    <t>POS</t>
  </si>
  <si>
    <t>ESP</t>
  </si>
  <si>
    <t>Po</t>
  </si>
  <si>
    <t>De</t>
  </si>
  <si>
    <t>Cr</t>
  </si>
  <si>
    <t>Ex</t>
  </si>
  <si>
    <t>Ps</t>
  </si>
  <si>
    <t>An</t>
  </si>
  <si>
    <t>PA</t>
  </si>
  <si>
    <t>Sueldo</t>
  </si>
  <si>
    <t>#1</t>
  </si>
  <si>
    <t>POR</t>
  </si>
  <si>
    <t>#2</t>
  </si>
  <si>
    <t>#3</t>
  </si>
  <si>
    <t>#4</t>
  </si>
  <si>
    <t>#5</t>
  </si>
  <si>
    <t>#6</t>
  </si>
  <si>
    <t>#7</t>
  </si>
  <si>
    <t>#8</t>
  </si>
  <si>
    <t>#9</t>
  </si>
  <si>
    <t>EXT</t>
  </si>
  <si>
    <t>#11</t>
  </si>
  <si>
    <t>#12</t>
  </si>
  <si>
    <t>DAV</t>
  </si>
  <si>
    <t>#13</t>
  </si>
  <si>
    <t>#14</t>
  </si>
  <si>
    <t>#15</t>
  </si>
  <si>
    <t>(11776649) BP divino, salario 6,0% extra</t>
  </si>
  <si>
    <t>(20650980) &amp; (95299617) BP mágico, salario 4,7% extra</t>
  </si>
  <si>
    <t>(36438355) BP mítico, salario 4,7% extra</t>
  </si>
  <si>
    <t>(48997559) BP E-T, salario, 4,3% extra</t>
  </si>
  <si>
    <t>(154655044) &amp; (50355509) BP sobrenatural, salario 3,7% extra</t>
  </si>
  <si>
    <t>(46543607) BP clase mundial, salario 3,3% extra</t>
  </si>
  <si>
    <t>(80271350) BP magnífico, salario 3,2% extra</t>
  </si>
  <si>
    <t>(38306586) BP brillante, salario 3,0% extra</t>
  </si>
  <si>
    <t>(115228650) BP destacado, salario 2,7% extra</t>
  </si>
  <si>
    <t>(67144794) BP formidable, salario 2,3% extra</t>
  </si>
  <si>
    <t>(36579219) BP excelente, salario 2,0% extra</t>
  </si>
  <si>
    <t>(197154194) BP bueno, salario 2,0% extra</t>
  </si>
  <si>
    <t>(38228598) BP aceptable, salario 1,6% extra</t>
  </si>
  <si>
    <t>(108135607) BP insuficiente, salario 1,2% extra</t>
  </si>
  <si>
    <t>(196625346) BP débil, salario 1,2% extra</t>
  </si>
  <si>
    <t>(196987469) BP pobre, salario 0,8% extra</t>
  </si>
  <si>
    <t>(196354241) BP horrible, salario 0,4% extra</t>
  </si>
  <si>
    <t>E_Po</t>
  </si>
  <si>
    <t>E_De</t>
  </si>
  <si>
    <t>E_Cr</t>
  </si>
  <si>
    <t>E_Ex</t>
  </si>
  <si>
    <t>E_Ps</t>
  </si>
  <si>
    <t>E_An</t>
  </si>
  <si>
    <t>E_PA</t>
  </si>
  <si>
    <t>E_TOTAL</t>
  </si>
  <si>
    <t>LAT</t>
  </si>
  <si>
    <t>INN</t>
  </si>
  <si>
    <t>#16</t>
  </si>
  <si>
    <t>Años</t>
  </si>
  <si>
    <t>Precio</t>
  </si>
  <si>
    <t>SEM</t>
  </si>
  <si>
    <t>S2</t>
  </si>
  <si>
    <t>&lt;=3</t>
  </si>
  <si>
    <t>[6,10]</t>
  </si>
  <si>
    <t>[3,7]</t>
  </si>
  <si>
    <t>[4,8]</t>
  </si>
  <si>
    <t>[5,9]</t>
  </si>
  <si>
    <t>[10,14]</t>
  </si>
  <si>
    <t>[12,16]</t>
  </si>
  <si>
    <t>[9,13]</t>
  </si>
  <si>
    <t>[13,17]</t>
  </si>
  <si>
    <t>[11,15]</t>
  </si>
  <si>
    <t>[8,12]</t>
  </si>
  <si>
    <t>[2,6]</t>
  </si>
  <si>
    <t>&gt;=15</t>
  </si>
  <si>
    <t>[8,10]</t>
  </si>
  <si>
    <t>EUR/ENT</t>
  </si>
  <si>
    <t>RAP</t>
  </si>
  <si>
    <t>Paso1</t>
  </si>
  <si>
    <t>Ent</t>
  </si>
  <si>
    <t>Tem</t>
  </si>
  <si>
    <t>IMP</t>
  </si>
  <si>
    <t>CAB</t>
  </si>
  <si>
    <t>POT</t>
  </si>
  <si>
    <t>TEC</t>
  </si>
  <si>
    <t>BP</t>
  </si>
  <si>
    <t>Paso2</t>
  </si>
  <si>
    <t>Paso3</t>
  </si>
  <si>
    <t>Paso4</t>
  </si>
  <si>
    <t>Paso5</t>
  </si>
  <si>
    <t>Paso6</t>
  </si>
  <si>
    <t>Paso7</t>
  </si>
  <si>
    <t>Nombre</t>
  </si>
  <si>
    <t>E. Cubas</t>
  </si>
  <si>
    <t>Año</t>
  </si>
  <si>
    <t>Dia</t>
  </si>
  <si>
    <t>V. Gomis</t>
  </si>
  <si>
    <t>J.G. Peñuela</t>
  </si>
  <si>
    <t>ANO</t>
  </si>
  <si>
    <t>Portero</t>
  </si>
  <si>
    <t>Defensa</t>
  </si>
  <si>
    <t>Inner</t>
  </si>
  <si>
    <t>Delantero</t>
  </si>
  <si>
    <t>J. G. de Minaya</t>
  </si>
  <si>
    <t>Quick Events</t>
  </si>
  <si>
    <t>Quick scores</t>
  </si>
  <si>
    <t>If the exact opposite player is quick, then it is always stopped. If not, then we compare:</t>
  </si>
  <si>
    <t>Scoring of attacking player VS Defending of defending player</t>
  </si>
  <si>
    <t>and</t>
  </si>
  <si>
    <t>Scoring of attacking player VS Goalkeeping of the keeper</t>
  </si>
  <si>
    <t>Quick passes</t>
  </si>
  <si>
    <t>Passing of attacking player VS Defense rating of the same side</t>
  </si>
  <si>
    <t>Scoring of ball receiver VS Goalkeeping of the keeper</t>
  </si>
  <si>
    <t>Technical Events</t>
  </si>
  <si>
    <t>Technical goes around a head player</t>
  </si>
  <si>
    <t>If the exact opposite player is a header, then we compare:</t>
  </si>
  <si>
    <t>Scoring of attacking player VS Defending of defender</t>
  </si>
  <si>
    <t>Experience of attacking player VS Experience of defender</t>
  </si>
  <si>
    <t>Create a non-tactical Counter Attack</t>
  </si>
  <si>
    <t>If you have a technical defender or wing back, his passing is important. In specific:</t>
  </si>
  <si>
    <t>Passing of technical defender VS the sum of inner midfielders’ defending / 3</t>
  </si>
  <si>
    <t>Unpredictable Events</t>
  </si>
  <si>
    <t>Goal Unpredictable long pass</t>
  </si>
  <si>
    <t>Passing of your player VS the sum of inner midfielders’ defending / 3</t>
  </si>
  <si>
    <t>Goal Unpredictable scores on his own</t>
  </si>
  <si>
    <t>Goal Unpredictable special action</t>
  </si>
  <si>
    <t>Passing of your player VS Defense rating of the same side</t>
  </si>
  <si>
    <t>Experience of attacking player VS Experience of defenders of the same side</t>
  </si>
  <si>
    <t>Goal Unpredictable mistake</t>
  </si>
  <si>
    <t>Defending of your player VS Scoring of the opponent</t>
  </si>
  <si>
    <t>Experience of your player VS Experience of the opponent</t>
  </si>
  <si>
    <t>Scoring of the opponent VS Goalkeeping of your keeper</t>
  </si>
  <si>
    <t>Powerful Events</t>
  </si>
  <si>
    <t>Power Forward</t>
  </si>
  <si>
    <t>Playmaking of your player VS Defending of central defenders</t>
  </si>
  <si>
    <t>Scoring of your player VS Goalkeeping of the keeper</t>
  </si>
  <si>
    <t>Sitting Midfielder</t>
  </si>
  <si>
    <t>Defending of your player VS Scoring of the opponent player</t>
  </si>
  <si>
    <t>Stamina of your player VS Stamina of the opponent player</t>
  </si>
  <si>
    <t>Winger Events</t>
  </si>
  <si>
    <t>Winger to anyone</t>
  </si>
  <si>
    <t>Winger of your player VS Defense rating of the same side</t>
  </si>
  <si>
    <t>Scoring of the receiver VS Goalkeeping of the keeper</t>
  </si>
  <si>
    <t>Winger to Head</t>
  </si>
  <si>
    <t>Corners</t>
  </si>
  <si>
    <t>Corner to anyone</t>
  </si>
  <si>
    <t>Indirect offensive set pieces + a bonus of the set piecer of the corner VS Indirect defensive set pieces of the opponent</t>
  </si>
  <si>
    <t>Scoring of the ball receiver VS Goalkeeping of the keeper</t>
  </si>
  <si>
    <t>Corner: Head specialist</t>
  </si>
  <si>
    <t>your headers VS the opponent’s headers</t>
  </si>
  <si>
    <t>Inexperience Event</t>
  </si>
  <si>
    <t>Experienced forward scores</t>
  </si>
  <si>
    <t>Experience of your player VS average experience of your opponent’s team</t>
  </si>
  <si>
    <t>Inexperienced defender causes goal</t>
  </si>
  <si>
    <t>Scoring of the opponent’s player VS Goalkeeping of your keeper</t>
  </si>
  <si>
    <t>P.S.1 Weather events affect all the player’s skills</t>
  </si>
  <si>
    <t>P.S.2 Wherever Scoring is an important skill and Winger can have this event, he will need, in general, lower scoring comparing to Forwards and Midfielders.</t>
  </si>
  <si>
    <t>RAP/IMP</t>
  </si>
  <si>
    <t xml:space="preserve">Porteria </t>
  </si>
  <si>
    <t>Inicio</t>
  </si>
  <si>
    <t>Final</t>
  </si>
  <si>
    <t>TOT</t>
  </si>
  <si>
    <t xml:space="preserve">Defensa </t>
  </si>
  <si>
    <t>Jugadas</t>
  </si>
  <si>
    <t>Lateral</t>
  </si>
  <si>
    <t xml:space="preserve">dèbil (4) (4) </t>
  </si>
  <si>
    <t xml:space="preserve">insuficient (5) (5) </t>
  </si>
  <si>
    <t xml:space="preserve">acceptable (6) (6) </t>
  </si>
  <si>
    <t xml:space="preserve">notable (7) (7) </t>
  </si>
  <si>
    <t xml:space="preserve">excel·lent (8) (8) </t>
  </si>
  <si>
    <t xml:space="preserve">formidable (9) (9) </t>
  </si>
  <si>
    <t xml:space="preserve">destacat (10) (10) </t>
  </si>
  <si>
    <t xml:space="preserve">brillant (11) (11) </t>
  </si>
  <si>
    <t xml:space="preserve">magnífic (12) (12) </t>
  </si>
  <si>
    <t xml:space="preserve">classe mundial (13) (13) </t>
  </si>
  <si>
    <t xml:space="preserve">sobrenatural (14) (14) </t>
  </si>
  <si>
    <t xml:space="preserve">titànic (15) (15) </t>
  </si>
  <si>
    <t xml:space="preserve">extraterrestre (16) (16) </t>
  </si>
  <si>
    <t xml:space="preserve">mític (17) (17) </t>
  </si>
  <si>
    <t xml:space="preserve">màgic (18) (18) </t>
  </si>
  <si>
    <t xml:space="preserve">utòpic (19) (19) </t>
  </si>
  <si>
    <t xml:space="preserve">diví (20) (20) </t>
  </si>
  <si>
    <t>Pases</t>
  </si>
  <si>
    <t>Anotación</t>
  </si>
  <si>
    <t>Edad</t>
  </si>
  <si>
    <t>%_Res</t>
  </si>
  <si>
    <t>Auxiliares</t>
  </si>
  <si>
    <t>10 (+35%)</t>
  </si>
  <si>
    <t>%_Entr</t>
  </si>
  <si>
    <t>Fichar 4 Inners puros con 14 JUG sin nada</t>
  </si>
  <si>
    <t>ENT: ANO</t>
  </si>
  <si>
    <t>16SEM</t>
  </si>
  <si>
    <t>Fichar 3 Extremos con LAT y JUG</t>
  </si>
  <si>
    <t>ENT: ANO 16SEM</t>
  </si>
  <si>
    <t>Fichar 4Def y Por IMP con solo JUG O LAT</t>
  </si>
  <si>
    <t>ENT: PAS/BP</t>
  </si>
  <si>
    <t>Fichas 3DAV con JUG/ANO</t>
  </si>
  <si>
    <t>(43SEM PAS)</t>
  </si>
  <si>
    <t>16SEM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</si>
</sst>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\ [$€-C0A]_-;\-* #,##0\ [$€-C0A]_-;_-* &quot;-&quot;??\ [$€-C0A]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Verdana"/>
      <family val="2"/>
    </font>
    <font>
      <sz val="11"/>
      <name val="Calibri"/>
      <family val="2"/>
      <scheme val="minor"/>
    </font>
    <font>
      <sz val="8"/>
      <name val="Verdana"/>
      <family val="2"/>
    </font>
    <font>
      <sz val="8"/>
      <color rgb="FF000000"/>
      <name val="Verdana"/>
      <family val="2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5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164" fontId="5" fillId="4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2" fontId="4" fillId="4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7" fillId="2" borderId="0" xfId="0" applyFon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336476</xdr:colOff>
      <xdr:row>58</xdr:row>
      <xdr:rowOff>143381</xdr:rowOff>
    </xdr:to>
    <xdr:pic>
      <xdr:nvPicPr>
        <xdr:cNvPr id="2" name="Picture 1" descr="http://www.escuelaercantohattrick.com/images/stories/tablassalariales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670476" cy="1119238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39997558519241921"/>
  </sheetPr>
  <dimension ref="A1"/>
  <sheetViews>
    <sheetView workbookViewId="0">
      <selection activeCell="L14" sqref="L14"/>
    </sheetView>
  </sheetViews>
  <sheetFormatPr baseColWidth="10" defaultRowHeight="15" x14ac:dyDescent="0.25"/>
  <cols>
    <col min="1" max="1" width="4.28515625" bestFit="1" customWidth="1"/>
    <col min="2" max="2" width="4.42578125" bestFit="1" customWidth="1"/>
    <col min="3" max="3" width="9.5703125" bestFit="1" customWidth="1"/>
    <col min="4" max="4" width="5.85546875" customWidth="1"/>
    <col min="5" max="5" width="4.28515625" bestFit="1" customWidth="1"/>
    <col min="6" max="6" width="4.42578125" bestFit="1" customWidth="1"/>
    <col min="7" max="7" width="9.5703125" bestFit="1" customWidth="1"/>
    <col min="9" max="9" width="4.28515625" bestFit="1" customWidth="1"/>
    <col min="10" max="10" width="4.42578125" bestFit="1" customWidth="1"/>
    <col min="11" max="11" width="8.5703125" bestFit="1" customWidth="1"/>
  </cols>
  <sheetData>
    <row r="1" s="2" customFormat="1" x14ac:dyDescent="0.25"/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-0.249977111117893"/>
    <pageSetUpPr fitToPage="1"/>
  </sheetPr>
  <dimension ref="A60:G69"/>
  <sheetViews>
    <sheetView topLeftCell="A25" zoomScale="90" zoomScaleNormal="90" workbookViewId="0">
      <selection activeCell="I29" sqref="I29"/>
    </sheetView>
  </sheetViews>
  <sheetFormatPr baseColWidth="10" defaultRowHeight="15" x14ac:dyDescent="0.25"/>
  <sheetData>
    <row r="60" spans="1:7" x14ac:dyDescent="0.25">
      <c r="A60" s="23" t="s">
        <v>29</v>
      </c>
      <c r="B60" s="23"/>
      <c r="C60" s="23"/>
      <c r="D60" s="23"/>
      <c r="E60" s="23"/>
      <c r="F60" s="23" t="s">
        <v>36</v>
      </c>
      <c r="G60" s="23"/>
    </row>
    <row r="61" spans="1:7" x14ac:dyDescent="0.25">
      <c r="A61" s="23" t="s">
        <v>30</v>
      </c>
      <c r="B61" s="23"/>
      <c r="C61" s="23"/>
      <c r="D61" s="23"/>
      <c r="E61" s="23"/>
      <c r="F61" s="23" t="s">
        <v>37</v>
      </c>
      <c r="G61" s="23"/>
    </row>
    <row r="62" spans="1:7" x14ac:dyDescent="0.25">
      <c r="A62" s="23" t="s">
        <v>31</v>
      </c>
      <c r="B62" s="23"/>
      <c r="C62" s="23"/>
      <c r="D62" s="23"/>
      <c r="E62" s="23"/>
      <c r="F62" s="23" t="s">
        <v>38</v>
      </c>
      <c r="G62" s="23"/>
    </row>
    <row r="63" spans="1:7" x14ac:dyDescent="0.25">
      <c r="A63" s="23" t="s">
        <v>32</v>
      </c>
      <c r="B63" s="23"/>
      <c r="C63" s="23"/>
      <c r="D63" s="23"/>
      <c r="E63" s="23"/>
      <c r="F63" s="23" t="s">
        <v>39</v>
      </c>
      <c r="G63" s="23"/>
    </row>
    <row r="64" spans="1:7" x14ac:dyDescent="0.25">
      <c r="A64" s="23" t="s">
        <v>33</v>
      </c>
      <c r="B64" s="23"/>
      <c r="C64" s="23"/>
      <c r="D64" s="23"/>
      <c r="E64" s="23"/>
      <c r="F64" s="23" t="s">
        <v>40</v>
      </c>
      <c r="G64" s="23"/>
    </row>
    <row r="65" spans="1:7" x14ac:dyDescent="0.25">
      <c r="A65" s="23" t="s">
        <v>34</v>
      </c>
      <c r="B65" s="23"/>
      <c r="C65" s="23"/>
      <c r="D65" s="23"/>
      <c r="E65" s="23"/>
      <c r="F65" s="23" t="s">
        <v>41</v>
      </c>
      <c r="G65" s="23"/>
    </row>
    <row r="66" spans="1:7" x14ac:dyDescent="0.25">
      <c r="A66" s="23" t="s">
        <v>35</v>
      </c>
      <c r="B66" s="23"/>
      <c r="C66" s="23"/>
      <c r="D66" s="23"/>
      <c r="E66" s="23"/>
      <c r="F66" s="23" t="s">
        <v>42</v>
      </c>
      <c r="G66" s="23"/>
    </row>
    <row r="67" spans="1:7" x14ac:dyDescent="0.25">
      <c r="A67" s="23"/>
      <c r="B67" s="23"/>
      <c r="C67" s="23"/>
      <c r="D67" s="23"/>
      <c r="E67" s="23"/>
      <c r="F67" s="23" t="s">
        <v>43</v>
      </c>
      <c r="G67" s="23"/>
    </row>
    <row r="68" spans="1:7" x14ac:dyDescent="0.25">
      <c r="A68" s="23"/>
      <c r="B68" s="23"/>
      <c r="C68" s="23"/>
      <c r="D68" s="23"/>
      <c r="E68" s="23"/>
      <c r="F68" s="23" t="s">
        <v>44</v>
      </c>
      <c r="G68" s="23"/>
    </row>
    <row r="69" spans="1:7" x14ac:dyDescent="0.25">
      <c r="A69" s="23"/>
      <c r="B69" s="23"/>
      <c r="C69" s="23"/>
      <c r="D69" s="23"/>
      <c r="E69" s="23"/>
      <c r="F69" s="23" t="s">
        <v>45</v>
      </c>
      <c r="G69" s="23"/>
    </row>
  </sheetData>
  <pageMargins left="0.7" right="0.7" top="0.75" bottom="0.75" header="0.3" footer="0.3"/>
  <pageSetup paperSize="9" scale="74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09D3-1A15-49B9-9A4F-831513B40AFE}">
  <sheetPr>
    <pageSetUpPr fitToPage="1"/>
  </sheetPr>
  <dimension ref="A1:W38"/>
  <sheetViews>
    <sheetView tabSelected="1" workbookViewId="0">
      <selection activeCell="H15" sqref="H15"/>
    </sheetView>
  </sheetViews>
  <sheetFormatPr baseColWidth="10" defaultRowHeight="15" x14ac:dyDescent="0.25"/>
  <cols>
    <col min="1" max="1" width="22.42578125" bestFit="1" customWidth="1"/>
    <col min="2" max="2" width="5.85546875" bestFit="1" customWidth="1"/>
    <col min="3" max="3" width="5.28515625" bestFit="1" customWidth="1"/>
    <col min="4" max="4" width="4.85546875" bestFit="1" customWidth="1"/>
    <col min="5" max="5" width="5" bestFit="1" customWidth="1"/>
    <col min="7" max="7" width="22.42578125" bestFit="1" customWidth="1"/>
    <col min="8" max="8" width="5.85546875" bestFit="1" customWidth="1"/>
    <col min="9" max="9" width="5.28515625" bestFit="1" customWidth="1"/>
    <col min="10" max="10" width="4.85546875" bestFit="1" customWidth="1"/>
    <col min="11" max="11" width="4.42578125" bestFit="1" customWidth="1"/>
    <col min="13" max="13" width="22.42578125" bestFit="1" customWidth="1"/>
    <col min="14" max="14" width="5.85546875" bestFit="1" customWidth="1"/>
    <col min="15" max="15" width="5.28515625" bestFit="1" customWidth="1"/>
    <col min="16" max="16" width="4.85546875" bestFit="1" customWidth="1"/>
    <col min="17" max="17" width="4.42578125" bestFit="1" customWidth="1"/>
    <col min="19" max="19" width="22.42578125" bestFit="1" customWidth="1"/>
    <col min="20" max="20" width="9.42578125" bestFit="1" customWidth="1"/>
    <col min="21" max="21" width="5.28515625" bestFit="1" customWidth="1"/>
    <col min="22" max="22" width="4.85546875" bestFit="1" customWidth="1"/>
    <col min="23" max="23" width="5" bestFit="1" customWidth="1"/>
  </cols>
  <sheetData>
    <row r="1" spans="1:23" x14ac:dyDescent="0.25">
      <c r="A1" s="2" t="s">
        <v>157</v>
      </c>
      <c r="B1" s="2" t="s">
        <v>158</v>
      </c>
      <c r="C1" s="2" t="s">
        <v>159</v>
      </c>
      <c r="D1" s="2" t="s">
        <v>59</v>
      </c>
      <c r="E1" s="2" t="s">
        <v>160</v>
      </c>
      <c r="F1" s="2"/>
      <c r="G1" s="2" t="s">
        <v>161</v>
      </c>
      <c r="H1" s="2" t="s">
        <v>158</v>
      </c>
      <c r="I1" s="2" t="s">
        <v>159</v>
      </c>
      <c r="J1" s="2" t="s">
        <v>59</v>
      </c>
      <c r="K1" s="2" t="s">
        <v>160</v>
      </c>
      <c r="L1" s="2"/>
      <c r="M1" s="2" t="s">
        <v>162</v>
      </c>
      <c r="N1" s="2" t="s">
        <v>158</v>
      </c>
      <c r="O1" s="2" t="s">
        <v>159</v>
      </c>
      <c r="P1" s="2" t="s">
        <v>59</v>
      </c>
      <c r="Q1" s="2" t="s">
        <v>160</v>
      </c>
      <c r="R1" s="2"/>
      <c r="S1" s="2" t="s">
        <v>163</v>
      </c>
      <c r="T1" s="2" t="s">
        <v>158</v>
      </c>
      <c r="U1" s="2" t="s">
        <v>159</v>
      </c>
      <c r="V1" s="2" t="s">
        <v>59</v>
      </c>
      <c r="W1" s="2" t="s">
        <v>160</v>
      </c>
    </row>
    <row r="2" spans="1:23" x14ac:dyDescent="0.25">
      <c r="A2" t="s">
        <v>164</v>
      </c>
      <c r="B2">
        <v>2</v>
      </c>
      <c r="C2">
        <v>3</v>
      </c>
      <c r="D2">
        <v>1.5</v>
      </c>
      <c r="E2">
        <f>D2</f>
        <v>1.5</v>
      </c>
      <c r="G2" t="s">
        <v>164</v>
      </c>
      <c r="H2">
        <v>2</v>
      </c>
      <c r="I2">
        <v>3</v>
      </c>
      <c r="J2">
        <v>3</v>
      </c>
      <c r="K2">
        <f>J2</f>
        <v>3</v>
      </c>
      <c r="M2" t="s">
        <v>164</v>
      </c>
      <c r="N2">
        <v>2</v>
      </c>
      <c r="O2">
        <v>3</v>
      </c>
      <c r="P2">
        <v>3</v>
      </c>
      <c r="Q2">
        <f>P2</f>
        <v>3</v>
      </c>
      <c r="S2" t="s">
        <v>164</v>
      </c>
      <c r="T2">
        <v>2</v>
      </c>
      <c r="U2">
        <v>3</v>
      </c>
      <c r="V2">
        <v>1.5</v>
      </c>
      <c r="W2">
        <f>V2</f>
        <v>1.5</v>
      </c>
    </row>
    <row r="3" spans="1:23" x14ac:dyDescent="0.25">
      <c r="A3" t="s">
        <v>165</v>
      </c>
      <c r="B3">
        <v>3</v>
      </c>
      <c r="C3">
        <v>4</v>
      </c>
      <c r="D3">
        <v>2</v>
      </c>
      <c r="E3">
        <f>E2+D3</f>
        <v>3.5</v>
      </c>
      <c r="G3" t="s">
        <v>165</v>
      </c>
      <c r="H3">
        <v>3</v>
      </c>
      <c r="I3">
        <v>4</v>
      </c>
      <c r="J3">
        <v>3</v>
      </c>
      <c r="K3">
        <f>K2+J3</f>
        <v>6</v>
      </c>
      <c r="M3" t="s">
        <v>165</v>
      </c>
      <c r="N3">
        <v>3</v>
      </c>
      <c r="O3">
        <v>4</v>
      </c>
      <c r="P3">
        <v>3</v>
      </c>
      <c r="Q3">
        <f>Q2+P3</f>
        <v>6</v>
      </c>
      <c r="S3" t="s">
        <v>165</v>
      </c>
      <c r="T3">
        <v>3</v>
      </c>
      <c r="U3">
        <v>4</v>
      </c>
      <c r="V3">
        <v>2</v>
      </c>
      <c r="W3">
        <f>W2+V3</f>
        <v>3.5</v>
      </c>
    </row>
    <row r="4" spans="1:23" x14ac:dyDescent="0.25">
      <c r="A4" t="s">
        <v>166</v>
      </c>
      <c r="B4">
        <v>4</v>
      </c>
      <c r="C4">
        <v>5</v>
      </c>
      <c r="D4">
        <v>2</v>
      </c>
      <c r="E4">
        <f t="shared" ref="E4:E17" si="0">E3+D4</f>
        <v>5.5</v>
      </c>
      <c r="G4" t="s">
        <v>166</v>
      </c>
      <c r="H4">
        <v>4</v>
      </c>
      <c r="I4">
        <v>5</v>
      </c>
      <c r="J4">
        <v>4</v>
      </c>
      <c r="K4">
        <f t="shared" ref="K4:K17" si="1">K3+J4</f>
        <v>10</v>
      </c>
      <c r="M4" t="s">
        <v>166</v>
      </c>
      <c r="N4">
        <v>4</v>
      </c>
      <c r="O4">
        <v>5</v>
      </c>
      <c r="P4">
        <v>3</v>
      </c>
      <c r="Q4">
        <f t="shared" ref="Q4:Q17" si="2">Q3+P4</f>
        <v>9</v>
      </c>
      <c r="S4" t="s">
        <v>166</v>
      </c>
      <c r="T4">
        <v>4</v>
      </c>
      <c r="U4">
        <v>5</v>
      </c>
      <c r="V4">
        <v>2</v>
      </c>
      <c r="W4">
        <f t="shared" ref="W4:W17" si="3">W3+V4</f>
        <v>5.5</v>
      </c>
    </row>
    <row r="5" spans="1:23" x14ac:dyDescent="0.25">
      <c r="A5" t="s">
        <v>167</v>
      </c>
      <c r="B5">
        <v>5</v>
      </c>
      <c r="C5">
        <v>6</v>
      </c>
      <c r="D5">
        <v>2</v>
      </c>
      <c r="E5">
        <f t="shared" si="0"/>
        <v>7.5</v>
      </c>
      <c r="G5" t="s">
        <v>167</v>
      </c>
      <c r="H5">
        <v>5</v>
      </c>
      <c r="I5">
        <v>6</v>
      </c>
      <c r="J5">
        <v>4</v>
      </c>
      <c r="K5">
        <f t="shared" si="1"/>
        <v>14</v>
      </c>
      <c r="M5" t="s">
        <v>167</v>
      </c>
      <c r="N5">
        <v>5</v>
      </c>
      <c r="O5">
        <v>6</v>
      </c>
      <c r="P5">
        <v>3</v>
      </c>
      <c r="Q5">
        <f t="shared" si="2"/>
        <v>12</v>
      </c>
      <c r="S5" t="s">
        <v>167</v>
      </c>
      <c r="T5">
        <v>5</v>
      </c>
      <c r="U5">
        <v>6</v>
      </c>
      <c r="V5">
        <v>3</v>
      </c>
      <c r="W5">
        <f t="shared" si="3"/>
        <v>8.5</v>
      </c>
    </row>
    <row r="6" spans="1:23" x14ac:dyDescent="0.25">
      <c r="A6" t="s">
        <v>168</v>
      </c>
      <c r="B6">
        <v>6</v>
      </c>
      <c r="C6">
        <v>7</v>
      </c>
      <c r="D6">
        <v>3</v>
      </c>
      <c r="E6">
        <f t="shared" si="0"/>
        <v>10.5</v>
      </c>
      <c r="G6" t="s">
        <v>168</v>
      </c>
      <c r="H6">
        <v>6</v>
      </c>
      <c r="I6">
        <v>7</v>
      </c>
      <c r="J6">
        <v>4</v>
      </c>
      <c r="K6">
        <f t="shared" si="1"/>
        <v>18</v>
      </c>
      <c r="M6" t="s">
        <v>168</v>
      </c>
      <c r="N6">
        <v>6</v>
      </c>
      <c r="O6">
        <v>7</v>
      </c>
      <c r="P6">
        <v>4</v>
      </c>
      <c r="Q6">
        <f t="shared" si="2"/>
        <v>16</v>
      </c>
      <c r="S6" t="s">
        <v>168</v>
      </c>
      <c r="T6">
        <v>6</v>
      </c>
      <c r="U6">
        <v>7</v>
      </c>
      <c r="V6">
        <v>2</v>
      </c>
      <c r="W6">
        <f t="shared" si="3"/>
        <v>10.5</v>
      </c>
    </row>
    <row r="7" spans="1:23" x14ac:dyDescent="0.25">
      <c r="A7" t="s">
        <v>169</v>
      </c>
      <c r="B7">
        <v>7</v>
      </c>
      <c r="C7">
        <v>8</v>
      </c>
      <c r="D7">
        <v>3</v>
      </c>
      <c r="E7">
        <f t="shared" si="0"/>
        <v>13.5</v>
      </c>
      <c r="G7" t="s">
        <v>169</v>
      </c>
      <c r="H7">
        <v>7</v>
      </c>
      <c r="I7">
        <v>8</v>
      </c>
      <c r="J7">
        <v>6</v>
      </c>
      <c r="K7">
        <f t="shared" si="1"/>
        <v>24</v>
      </c>
      <c r="M7" t="s">
        <v>169</v>
      </c>
      <c r="N7">
        <v>7</v>
      </c>
      <c r="O7">
        <v>8</v>
      </c>
      <c r="P7">
        <v>5</v>
      </c>
      <c r="Q7">
        <f t="shared" si="2"/>
        <v>21</v>
      </c>
      <c r="S7" t="s">
        <v>169</v>
      </c>
      <c r="T7">
        <v>7</v>
      </c>
      <c r="U7">
        <v>8</v>
      </c>
      <c r="V7">
        <v>4</v>
      </c>
      <c r="W7">
        <f t="shared" si="3"/>
        <v>14.5</v>
      </c>
    </row>
    <row r="8" spans="1:23" x14ac:dyDescent="0.25">
      <c r="A8" t="s">
        <v>170</v>
      </c>
      <c r="B8">
        <v>8</v>
      </c>
      <c r="C8">
        <v>9</v>
      </c>
      <c r="D8">
        <v>3</v>
      </c>
      <c r="E8">
        <f t="shared" si="0"/>
        <v>16.5</v>
      </c>
      <c r="G8" t="s">
        <v>170</v>
      </c>
      <c r="H8">
        <v>8</v>
      </c>
      <c r="I8">
        <v>9</v>
      </c>
      <c r="J8">
        <v>6</v>
      </c>
      <c r="K8">
        <f t="shared" si="1"/>
        <v>30</v>
      </c>
      <c r="M8" t="s">
        <v>170</v>
      </c>
      <c r="N8">
        <v>8</v>
      </c>
      <c r="O8">
        <v>9</v>
      </c>
      <c r="P8">
        <v>5</v>
      </c>
      <c r="Q8">
        <f t="shared" si="2"/>
        <v>26</v>
      </c>
      <c r="S8" t="s">
        <v>170</v>
      </c>
      <c r="T8">
        <v>8</v>
      </c>
      <c r="U8">
        <v>9</v>
      </c>
      <c r="V8">
        <v>3</v>
      </c>
      <c r="W8">
        <f t="shared" si="3"/>
        <v>17.5</v>
      </c>
    </row>
    <row r="9" spans="1:23" x14ac:dyDescent="0.25">
      <c r="A9" t="s">
        <v>171</v>
      </c>
      <c r="B9">
        <v>9</v>
      </c>
      <c r="C9">
        <v>10</v>
      </c>
      <c r="D9">
        <v>4</v>
      </c>
      <c r="E9">
        <f t="shared" si="0"/>
        <v>20.5</v>
      </c>
      <c r="G9" t="s">
        <v>171</v>
      </c>
      <c r="H9">
        <v>9</v>
      </c>
      <c r="I9">
        <v>10</v>
      </c>
      <c r="J9">
        <v>7</v>
      </c>
      <c r="K9">
        <f t="shared" si="1"/>
        <v>37</v>
      </c>
      <c r="M9" t="s">
        <v>171</v>
      </c>
      <c r="N9">
        <v>9</v>
      </c>
      <c r="O9">
        <v>10</v>
      </c>
      <c r="P9">
        <v>7</v>
      </c>
      <c r="Q9">
        <f t="shared" si="2"/>
        <v>33</v>
      </c>
      <c r="S9" t="s">
        <v>171</v>
      </c>
      <c r="T9">
        <v>9</v>
      </c>
      <c r="U9">
        <v>10</v>
      </c>
      <c r="V9">
        <v>5</v>
      </c>
      <c r="W9">
        <f t="shared" si="3"/>
        <v>22.5</v>
      </c>
    </row>
    <row r="10" spans="1:23" x14ac:dyDescent="0.25">
      <c r="A10" t="s">
        <v>172</v>
      </c>
      <c r="B10">
        <v>10</v>
      </c>
      <c r="C10">
        <v>11</v>
      </c>
      <c r="D10">
        <v>5</v>
      </c>
      <c r="E10">
        <f t="shared" si="0"/>
        <v>25.5</v>
      </c>
      <c r="G10" t="s">
        <v>172</v>
      </c>
      <c r="H10">
        <v>10</v>
      </c>
      <c r="I10">
        <v>11</v>
      </c>
      <c r="J10">
        <v>9</v>
      </c>
      <c r="K10">
        <f t="shared" si="1"/>
        <v>46</v>
      </c>
      <c r="M10" t="s">
        <v>172</v>
      </c>
      <c r="N10">
        <v>10</v>
      </c>
      <c r="O10">
        <v>11</v>
      </c>
      <c r="P10">
        <v>7</v>
      </c>
      <c r="Q10">
        <f t="shared" si="2"/>
        <v>40</v>
      </c>
      <c r="S10" t="s">
        <v>172</v>
      </c>
      <c r="T10">
        <v>10</v>
      </c>
      <c r="U10">
        <v>11</v>
      </c>
      <c r="V10">
        <v>5</v>
      </c>
      <c r="W10">
        <f t="shared" si="3"/>
        <v>27.5</v>
      </c>
    </row>
    <row r="11" spans="1:23" x14ac:dyDescent="0.25">
      <c r="A11" t="s">
        <v>173</v>
      </c>
      <c r="B11">
        <v>11</v>
      </c>
      <c r="C11">
        <v>12</v>
      </c>
      <c r="D11">
        <v>5</v>
      </c>
      <c r="E11">
        <f t="shared" si="0"/>
        <v>30.5</v>
      </c>
      <c r="G11" t="s">
        <v>173</v>
      </c>
      <c r="H11">
        <v>11</v>
      </c>
      <c r="I11">
        <v>12</v>
      </c>
      <c r="J11">
        <v>10</v>
      </c>
      <c r="K11">
        <f t="shared" si="1"/>
        <v>56</v>
      </c>
      <c r="M11" t="s">
        <v>173</v>
      </c>
      <c r="N11">
        <v>11</v>
      </c>
      <c r="O11">
        <v>12</v>
      </c>
      <c r="P11">
        <v>8</v>
      </c>
      <c r="Q11">
        <f t="shared" si="2"/>
        <v>48</v>
      </c>
      <c r="S11" t="s">
        <v>173</v>
      </c>
      <c r="T11">
        <v>11</v>
      </c>
      <c r="U11">
        <v>12</v>
      </c>
      <c r="V11">
        <v>5</v>
      </c>
      <c r="W11">
        <f t="shared" si="3"/>
        <v>32.5</v>
      </c>
    </row>
    <row r="12" spans="1:23" x14ac:dyDescent="0.25">
      <c r="A12" t="s">
        <v>174</v>
      </c>
      <c r="B12">
        <v>12</v>
      </c>
      <c r="C12">
        <v>13</v>
      </c>
      <c r="D12">
        <v>6</v>
      </c>
      <c r="E12">
        <f t="shared" si="0"/>
        <v>36.5</v>
      </c>
      <c r="G12" t="s">
        <v>174</v>
      </c>
      <c r="H12">
        <v>12</v>
      </c>
      <c r="I12">
        <v>13</v>
      </c>
      <c r="J12">
        <v>11</v>
      </c>
      <c r="K12">
        <f t="shared" si="1"/>
        <v>67</v>
      </c>
      <c r="M12" t="s">
        <v>174</v>
      </c>
      <c r="N12">
        <v>12</v>
      </c>
      <c r="O12">
        <v>13</v>
      </c>
      <c r="P12">
        <v>10</v>
      </c>
      <c r="Q12">
        <f t="shared" si="2"/>
        <v>58</v>
      </c>
      <c r="S12" t="s">
        <v>174</v>
      </c>
      <c r="T12">
        <v>12</v>
      </c>
      <c r="U12">
        <v>13</v>
      </c>
      <c r="V12">
        <v>7</v>
      </c>
      <c r="W12">
        <f t="shared" si="3"/>
        <v>39.5</v>
      </c>
    </row>
    <row r="13" spans="1:23" x14ac:dyDescent="0.25">
      <c r="A13" t="s">
        <v>175</v>
      </c>
      <c r="B13">
        <v>13</v>
      </c>
      <c r="C13">
        <v>14</v>
      </c>
      <c r="D13">
        <v>7</v>
      </c>
      <c r="E13">
        <f t="shared" si="0"/>
        <v>43.5</v>
      </c>
      <c r="G13" t="s">
        <v>175</v>
      </c>
      <c r="H13">
        <v>13</v>
      </c>
      <c r="I13">
        <v>14</v>
      </c>
      <c r="J13">
        <v>12</v>
      </c>
      <c r="K13">
        <f t="shared" si="1"/>
        <v>79</v>
      </c>
      <c r="M13" t="s">
        <v>175</v>
      </c>
      <c r="N13">
        <v>13</v>
      </c>
      <c r="O13">
        <v>14</v>
      </c>
      <c r="P13">
        <v>10</v>
      </c>
      <c r="Q13">
        <f t="shared" si="2"/>
        <v>68</v>
      </c>
      <c r="S13" t="s">
        <v>175</v>
      </c>
      <c r="T13">
        <v>13</v>
      </c>
      <c r="U13">
        <v>14</v>
      </c>
      <c r="V13">
        <v>7</v>
      </c>
      <c r="W13">
        <f t="shared" si="3"/>
        <v>46.5</v>
      </c>
    </row>
    <row r="14" spans="1:23" x14ac:dyDescent="0.25">
      <c r="A14" t="s">
        <v>176</v>
      </c>
      <c r="B14">
        <v>14</v>
      </c>
      <c r="C14">
        <v>15</v>
      </c>
      <c r="D14">
        <v>8</v>
      </c>
      <c r="E14">
        <f t="shared" si="0"/>
        <v>51.5</v>
      </c>
      <c r="G14" t="s">
        <v>176</v>
      </c>
      <c r="H14">
        <v>14</v>
      </c>
      <c r="I14">
        <v>15</v>
      </c>
      <c r="J14">
        <v>16</v>
      </c>
      <c r="K14">
        <f t="shared" si="1"/>
        <v>95</v>
      </c>
      <c r="M14" t="s">
        <v>176</v>
      </c>
      <c r="N14">
        <v>14</v>
      </c>
      <c r="O14">
        <v>15</v>
      </c>
      <c r="P14">
        <v>13</v>
      </c>
      <c r="Q14">
        <f t="shared" si="2"/>
        <v>81</v>
      </c>
      <c r="S14" t="s">
        <v>176</v>
      </c>
      <c r="T14">
        <v>14</v>
      </c>
      <c r="U14">
        <v>15</v>
      </c>
      <c r="V14">
        <v>9</v>
      </c>
      <c r="W14">
        <f t="shared" si="3"/>
        <v>55.5</v>
      </c>
    </row>
    <row r="15" spans="1:23" x14ac:dyDescent="0.25">
      <c r="A15" t="s">
        <v>177</v>
      </c>
      <c r="B15">
        <v>15</v>
      </c>
      <c r="C15">
        <v>16</v>
      </c>
      <c r="D15">
        <v>10</v>
      </c>
      <c r="E15">
        <f t="shared" si="0"/>
        <v>61.5</v>
      </c>
      <c r="G15" t="s">
        <v>177</v>
      </c>
      <c r="H15">
        <v>15</v>
      </c>
      <c r="I15">
        <v>16</v>
      </c>
      <c r="J15">
        <v>18</v>
      </c>
      <c r="K15">
        <f t="shared" si="1"/>
        <v>113</v>
      </c>
      <c r="M15" t="s">
        <v>177</v>
      </c>
      <c r="N15">
        <v>15</v>
      </c>
      <c r="O15">
        <v>16</v>
      </c>
      <c r="P15">
        <v>15</v>
      </c>
      <c r="Q15">
        <f t="shared" si="2"/>
        <v>96</v>
      </c>
      <c r="S15" t="s">
        <v>177</v>
      </c>
      <c r="T15">
        <v>15</v>
      </c>
      <c r="U15">
        <v>16</v>
      </c>
      <c r="V15">
        <v>10</v>
      </c>
      <c r="W15">
        <f t="shared" si="3"/>
        <v>65.5</v>
      </c>
    </row>
    <row r="16" spans="1:23" x14ac:dyDescent="0.25">
      <c r="A16" t="s">
        <v>178</v>
      </c>
      <c r="B16">
        <v>16</v>
      </c>
      <c r="C16">
        <v>17</v>
      </c>
      <c r="D16">
        <v>11</v>
      </c>
      <c r="E16">
        <f t="shared" si="0"/>
        <v>72.5</v>
      </c>
      <c r="G16" t="s">
        <v>178</v>
      </c>
      <c r="H16">
        <v>16</v>
      </c>
      <c r="I16">
        <v>17</v>
      </c>
      <c r="J16">
        <v>23</v>
      </c>
      <c r="K16">
        <f t="shared" si="1"/>
        <v>136</v>
      </c>
      <c r="M16" t="s">
        <v>178</v>
      </c>
      <c r="N16">
        <v>16</v>
      </c>
      <c r="O16">
        <v>17</v>
      </c>
      <c r="P16">
        <v>19</v>
      </c>
      <c r="Q16">
        <f t="shared" si="2"/>
        <v>115</v>
      </c>
      <c r="S16" t="s">
        <v>178</v>
      </c>
      <c r="T16">
        <v>16</v>
      </c>
      <c r="U16">
        <v>17</v>
      </c>
      <c r="V16">
        <v>12</v>
      </c>
      <c r="W16">
        <f t="shared" si="3"/>
        <v>77.5</v>
      </c>
    </row>
    <row r="17" spans="1:23" x14ac:dyDescent="0.25">
      <c r="A17" t="s">
        <v>179</v>
      </c>
      <c r="B17">
        <v>17</v>
      </c>
      <c r="C17">
        <v>18</v>
      </c>
      <c r="D17">
        <v>14</v>
      </c>
      <c r="E17">
        <f t="shared" si="0"/>
        <v>86.5</v>
      </c>
      <c r="G17" t="s">
        <v>179</v>
      </c>
      <c r="H17">
        <v>17</v>
      </c>
      <c r="I17">
        <v>18</v>
      </c>
      <c r="J17">
        <v>36</v>
      </c>
      <c r="K17">
        <f t="shared" si="1"/>
        <v>172</v>
      </c>
      <c r="M17" t="s">
        <v>179</v>
      </c>
      <c r="N17">
        <v>17</v>
      </c>
      <c r="O17">
        <v>18</v>
      </c>
      <c r="P17">
        <v>26</v>
      </c>
      <c r="Q17">
        <f t="shared" si="2"/>
        <v>141</v>
      </c>
      <c r="S17" t="s">
        <v>179</v>
      </c>
      <c r="T17">
        <v>17</v>
      </c>
      <c r="U17">
        <v>18</v>
      </c>
      <c r="V17">
        <v>15</v>
      </c>
      <c r="W17">
        <f t="shared" si="3"/>
        <v>92.5</v>
      </c>
    </row>
    <row r="18" spans="1:23" x14ac:dyDescent="0.25">
      <c r="A18" t="s">
        <v>180</v>
      </c>
      <c r="B18">
        <v>18</v>
      </c>
      <c r="C18">
        <v>19</v>
      </c>
      <c r="D18">
        <v>19</v>
      </c>
      <c r="G18" t="s">
        <v>180</v>
      </c>
      <c r="H18">
        <v>18</v>
      </c>
      <c r="I18">
        <v>19</v>
      </c>
      <c r="M18" t="s">
        <v>180</v>
      </c>
      <c r="N18">
        <v>18</v>
      </c>
      <c r="O18">
        <v>19</v>
      </c>
      <c r="P18">
        <v>58</v>
      </c>
      <c r="S18" t="s">
        <v>180</v>
      </c>
      <c r="T18">
        <v>18</v>
      </c>
      <c r="U18">
        <v>19</v>
      </c>
      <c r="V18">
        <v>21</v>
      </c>
    </row>
    <row r="21" spans="1:23" x14ac:dyDescent="0.25">
      <c r="A21" s="2" t="s">
        <v>181</v>
      </c>
      <c r="B21" s="2" t="s">
        <v>158</v>
      </c>
      <c r="C21" s="2" t="s">
        <v>159</v>
      </c>
      <c r="D21" s="2" t="s">
        <v>59</v>
      </c>
      <c r="E21" s="2" t="s">
        <v>160</v>
      </c>
      <c r="G21" s="2" t="s">
        <v>182</v>
      </c>
      <c r="H21" s="2" t="s">
        <v>158</v>
      </c>
      <c r="I21" s="2" t="s">
        <v>159</v>
      </c>
      <c r="J21" s="2" t="s">
        <v>59</v>
      </c>
      <c r="K21" s="2" t="s">
        <v>160</v>
      </c>
      <c r="M21" s="2" t="s">
        <v>84</v>
      </c>
      <c r="N21" s="2" t="s">
        <v>158</v>
      </c>
      <c r="O21" s="2" t="s">
        <v>159</v>
      </c>
      <c r="P21" s="2" t="s">
        <v>59</v>
      </c>
      <c r="Q21" s="2" t="s">
        <v>160</v>
      </c>
      <c r="S21" s="2" t="s">
        <v>183</v>
      </c>
      <c r="T21">
        <v>19</v>
      </c>
    </row>
    <row r="22" spans="1:23" x14ac:dyDescent="0.25">
      <c r="A22" t="s">
        <v>164</v>
      </c>
      <c r="B22">
        <v>2</v>
      </c>
      <c r="C22">
        <v>3</v>
      </c>
      <c r="D22">
        <v>2</v>
      </c>
      <c r="E22">
        <f>D22</f>
        <v>2</v>
      </c>
      <c r="G22" t="s">
        <v>164</v>
      </c>
      <c r="H22">
        <v>2</v>
      </c>
      <c r="I22">
        <v>3</v>
      </c>
      <c r="J22">
        <v>2</v>
      </c>
      <c r="K22">
        <f>J22</f>
        <v>2</v>
      </c>
      <c r="M22" t="s">
        <v>164</v>
      </c>
      <c r="N22">
        <v>2</v>
      </c>
      <c r="O22">
        <v>3</v>
      </c>
      <c r="P22">
        <v>1</v>
      </c>
      <c r="Q22">
        <f>P22</f>
        <v>1</v>
      </c>
      <c r="S22" t="s">
        <v>184</v>
      </c>
      <c r="T22" s="27">
        <v>0.15</v>
      </c>
    </row>
    <row r="23" spans="1:23" x14ac:dyDescent="0.25">
      <c r="A23" t="s">
        <v>165</v>
      </c>
      <c r="B23">
        <v>3</v>
      </c>
      <c r="C23">
        <v>4</v>
      </c>
      <c r="D23">
        <v>2</v>
      </c>
      <c r="E23">
        <f>E22+D23</f>
        <v>4</v>
      </c>
      <c r="G23" t="s">
        <v>165</v>
      </c>
      <c r="H23">
        <v>3</v>
      </c>
      <c r="I23">
        <v>4</v>
      </c>
      <c r="J23">
        <v>3</v>
      </c>
      <c r="K23">
        <f>K22+J23</f>
        <v>5</v>
      </c>
      <c r="M23" t="s">
        <v>165</v>
      </c>
      <c r="N23">
        <v>3</v>
      </c>
      <c r="O23">
        <v>4</v>
      </c>
      <c r="P23">
        <v>1</v>
      </c>
      <c r="Q23">
        <f>Q22+P23</f>
        <v>2</v>
      </c>
      <c r="S23" t="s">
        <v>185</v>
      </c>
      <c r="T23" t="s">
        <v>186</v>
      </c>
    </row>
    <row r="24" spans="1:23" x14ac:dyDescent="0.25">
      <c r="A24" t="s">
        <v>166</v>
      </c>
      <c r="B24">
        <v>4</v>
      </c>
      <c r="C24">
        <v>5</v>
      </c>
      <c r="D24">
        <v>3</v>
      </c>
      <c r="E24">
        <f t="shared" ref="E24:E37" si="4">E23+D24</f>
        <v>7</v>
      </c>
      <c r="G24" t="s">
        <v>166</v>
      </c>
      <c r="H24">
        <v>4</v>
      </c>
      <c r="I24">
        <v>5</v>
      </c>
      <c r="J24">
        <v>3</v>
      </c>
      <c r="K24">
        <f t="shared" ref="K24:K37" si="5">K23+J24</f>
        <v>8</v>
      </c>
      <c r="M24" t="s">
        <v>166</v>
      </c>
      <c r="N24">
        <v>4</v>
      </c>
      <c r="O24">
        <v>5</v>
      </c>
      <c r="P24">
        <v>1</v>
      </c>
      <c r="Q24">
        <f t="shared" ref="Q24:Q37" si="6">Q23+P24</f>
        <v>3</v>
      </c>
      <c r="S24" t="s">
        <v>187</v>
      </c>
      <c r="T24" s="27">
        <v>1</v>
      </c>
    </row>
    <row r="25" spans="1:23" x14ac:dyDescent="0.25">
      <c r="A25" t="s">
        <v>167</v>
      </c>
      <c r="B25">
        <v>5</v>
      </c>
      <c r="C25">
        <v>6</v>
      </c>
      <c r="D25">
        <v>3</v>
      </c>
      <c r="E25">
        <f t="shared" si="4"/>
        <v>10</v>
      </c>
      <c r="G25" t="s">
        <v>167</v>
      </c>
      <c r="H25">
        <v>5</v>
      </c>
      <c r="I25">
        <v>6</v>
      </c>
      <c r="J25">
        <v>4</v>
      </c>
      <c r="K25">
        <f t="shared" si="5"/>
        <v>12</v>
      </c>
      <c r="M25" t="s">
        <v>167</v>
      </c>
      <c r="N25">
        <v>5</v>
      </c>
      <c r="O25">
        <v>6</v>
      </c>
      <c r="P25">
        <v>1</v>
      </c>
      <c r="Q25">
        <f t="shared" si="6"/>
        <v>4</v>
      </c>
    </row>
    <row r="26" spans="1:23" x14ac:dyDescent="0.25">
      <c r="A26" t="s">
        <v>168</v>
      </c>
      <c r="B26">
        <v>6</v>
      </c>
      <c r="C26">
        <v>7</v>
      </c>
      <c r="D26">
        <v>4</v>
      </c>
      <c r="E26">
        <f t="shared" si="4"/>
        <v>14</v>
      </c>
      <c r="G26" t="s">
        <v>168</v>
      </c>
      <c r="H26">
        <v>6</v>
      </c>
      <c r="I26">
        <v>7</v>
      </c>
      <c r="J26">
        <v>4</v>
      </c>
      <c r="K26">
        <f t="shared" si="5"/>
        <v>16</v>
      </c>
      <c r="M26" t="s">
        <v>168</v>
      </c>
      <c r="N26">
        <v>6</v>
      </c>
      <c r="O26">
        <v>7</v>
      </c>
      <c r="P26">
        <v>1</v>
      </c>
      <c r="Q26">
        <f t="shared" si="6"/>
        <v>5</v>
      </c>
    </row>
    <row r="27" spans="1:23" x14ac:dyDescent="0.25">
      <c r="A27" t="s">
        <v>169</v>
      </c>
      <c r="B27">
        <v>7</v>
      </c>
      <c r="C27">
        <v>8</v>
      </c>
      <c r="D27">
        <v>4</v>
      </c>
      <c r="E27">
        <f t="shared" si="4"/>
        <v>18</v>
      </c>
      <c r="G27" t="s">
        <v>169</v>
      </c>
      <c r="H27">
        <v>7</v>
      </c>
      <c r="I27">
        <v>8</v>
      </c>
      <c r="J27">
        <v>5</v>
      </c>
      <c r="K27">
        <f t="shared" si="5"/>
        <v>21</v>
      </c>
      <c r="M27" t="s">
        <v>169</v>
      </c>
      <c r="N27">
        <v>7</v>
      </c>
      <c r="O27">
        <v>8</v>
      </c>
      <c r="P27">
        <v>1</v>
      </c>
      <c r="Q27">
        <f t="shared" si="6"/>
        <v>6</v>
      </c>
    </row>
    <row r="28" spans="1:23" x14ac:dyDescent="0.25">
      <c r="A28" t="s">
        <v>170</v>
      </c>
      <c r="B28">
        <v>8</v>
      </c>
      <c r="C28">
        <v>9</v>
      </c>
      <c r="D28">
        <v>5</v>
      </c>
      <c r="E28">
        <f t="shared" si="4"/>
        <v>23</v>
      </c>
      <c r="G28" t="s">
        <v>170</v>
      </c>
      <c r="H28">
        <v>8</v>
      </c>
      <c r="I28">
        <v>9</v>
      </c>
      <c r="J28">
        <v>6</v>
      </c>
      <c r="K28">
        <f t="shared" si="5"/>
        <v>27</v>
      </c>
      <c r="M28" t="s">
        <v>170</v>
      </c>
      <c r="N28">
        <v>8</v>
      </c>
      <c r="O28">
        <v>9</v>
      </c>
      <c r="P28">
        <v>1</v>
      </c>
      <c r="Q28">
        <f t="shared" si="6"/>
        <v>7</v>
      </c>
    </row>
    <row r="29" spans="1:23" x14ac:dyDescent="0.25">
      <c r="A29" t="s">
        <v>171</v>
      </c>
      <c r="B29">
        <v>9</v>
      </c>
      <c r="C29">
        <v>10</v>
      </c>
      <c r="D29">
        <v>6</v>
      </c>
      <c r="E29">
        <f t="shared" si="4"/>
        <v>29</v>
      </c>
      <c r="G29" t="s">
        <v>171</v>
      </c>
      <c r="H29">
        <v>9</v>
      </c>
      <c r="I29">
        <v>10</v>
      </c>
      <c r="J29">
        <v>6</v>
      </c>
      <c r="K29">
        <f t="shared" si="5"/>
        <v>33</v>
      </c>
      <c r="M29" t="s">
        <v>171</v>
      </c>
      <c r="N29">
        <v>9</v>
      </c>
      <c r="O29">
        <v>10</v>
      </c>
      <c r="P29">
        <v>1</v>
      </c>
      <c r="Q29">
        <f t="shared" si="6"/>
        <v>8</v>
      </c>
    </row>
    <row r="30" spans="1:23" x14ac:dyDescent="0.25">
      <c r="A30" t="s">
        <v>172</v>
      </c>
      <c r="B30">
        <v>10</v>
      </c>
      <c r="C30">
        <v>11</v>
      </c>
      <c r="D30">
        <v>7</v>
      </c>
      <c r="E30">
        <f t="shared" si="4"/>
        <v>36</v>
      </c>
      <c r="G30" t="s">
        <v>172</v>
      </c>
      <c r="H30">
        <v>10</v>
      </c>
      <c r="I30">
        <v>11</v>
      </c>
      <c r="J30">
        <v>7</v>
      </c>
      <c r="K30">
        <f t="shared" si="5"/>
        <v>40</v>
      </c>
      <c r="M30" t="s">
        <v>172</v>
      </c>
      <c r="N30">
        <v>10</v>
      </c>
      <c r="O30">
        <v>11</v>
      </c>
      <c r="P30">
        <v>2</v>
      </c>
      <c r="Q30">
        <f t="shared" si="6"/>
        <v>10</v>
      </c>
    </row>
    <row r="31" spans="1:23" x14ac:dyDescent="0.25">
      <c r="A31" t="s">
        <v>173</v>
      </c>
      <c r="B31">
        <v>11</v>
      </c>
      <c r="C31">
        <v>12</v>
      </c>
      <c r="D31">
        <v>7</v>
      </c>
      <c r="E31">
        <f t="shared" si="4"/>
        <v>43</v>
      </c>
      <c r="G31" t="s">
        <v>173</v>
      </c>
      <c r="H31">
        <v>11</v>
      </c>
      <c r="I31">
        <v>12</v>
      </c>
      <c r="J31">
        <v>9</v>
      </c>
      <c r="K31">
        <f t="shared" si="5"/>
        <v>49</v>
      </c>
      <c r="M31" t="s">
        <v>173</v>
      </c>
      <c r="N31">
        <v>11</v>
      </c>
      <c r="O31">
        <v>12</v>
      </c>
      <c r="P31">
        <v>2</v>
      </c>
      <c r="Q31">
        <f t="shared" si="6"/>
        <v>12</v>
      </c>
    </row>
    <row r="32" spans="1:23" x14ac:dyDescent="0.25">
      <c r="A32" t="s">
        <v>174</v>
      </c>
      <c r="B32">
        <v>12</v>
      </c>
      <c r="C32">
        <v>13</v>
      </c>
      <c r="D32">
        <v>9</v>
      </c>
      <c r="E32">
        <f t="shared" si="4"/>
        <v>52</v>
      </c>
      <c r="G32" t="s">
        <v>174</v>
      </c>
      <c r="H32">
        <v>12</v>
      </c>
      <c r="I32">
        <v>13</v>
      </c>
      <c r="J32">
        <v>10</v>
      </c>
      <c r="K32">
        <f t="shared" si="5"/>
        <v>59</v>
      </c>
      <c r="M32" t="s">
        <v>174</v>
      </c>
      <c r="N32">
        <v>12</v>
      </c>
      <c r="O32">
        <v>13</v>
      </c>
      <c r="P32">
        <v>2</v>
      </c>
      <c r="Q32">
        <f t="shared" si="6"/>
        <v>14</v>
      </c>
    </row>
    <row r="33" spans="1:17" x14ac:dyDescent="0.25">
      <c r="A33" t="s">
        <v>175</v>
      </c>
      <c r="B33">
        <v>13</v>
      </c>
      <c r="C33">
        <v>14</v>
      </c>
      <c r="D33">
        <v>10</v>
      </c>
      <c r="E33">
        <f t="shared" si="4"/>
        <v>62</v>
      </c>
      <c r="G33" t="s">
        <v>175</v>
      </c>
      <c r="H33">
        <v>13</v>
      </c>
      <c r="I33">
        <v>14</v>
      </c>
      <c r="J33">
        <v>11</v>
      </c>
      <c r="K33">
        <f t="shared" si="5"/>
        <v>70</v>
      </c>
      <c r="M33" t="s">
        <v>175</v>
      </c>
      <c r="N33">
        <v>13</v>
      </c>
      <c r="O33">
        <v>14</v>
      </c>
      <c r="P33">
        <v>2</v>
      </c>
      <c r="Q33">
        <f t="shared" si="6"/>
        <v>16</v>
      </c>
    </row>
    <row r="34" spans="1:17" x14ac:dyDescent="0.25">
      <c r="A34" t="s">
        <v>176</v>
      </c>
      <c r="B34">
        <v>14</v>
      </c>
      <c r="C34">
        <v>15</v>
      </c>
      <c r="D34">
        <v>12</v>
      </c>
      <c r="E34">
        <f t="shared" si="4"/>
        <v>74</v>
      </c>
      <c r="G34" t="s">
        <v>176</v>
      </c>
      <c r="H34">
        <v>14</v>
      </c>
      <c r="I34">
        <v>15</v>
      </c>
      <c r="J34">
        <v>13</v>
      </c>
      <c r="K34">
        <f t="shared" si="5"/>
        <v>83</v>
      </c>
      <c r="M34" t="s">
        <v>176</v>
      </c>
      <c r="N34">
        <v>14</v>
      </c>
      <c r="O34">
        <v>15</v>
      </c>
      <c r="P34">
        <v>2</v>
      </c>
      <c r="Q34">
        <f t="shared" si="6"/>
        <v>18</v>
      </c>
    </row>
    <row r="35" spans="1:17" x14ac:dyDescent="0.25">
      <c r="A35" t="s">
        <v>177</v>
      </c>
      <c r="B35">
        <v>15</v>
      </c>
      <c r="C35">
        <v>16</v>
      </c>
      <c r="D35">
        <v>14</v>
      </c>
      <c r="E35">
        <f t="shared" si="4"/>
        <v>88</v>
      </c>
      <c r="G35" t="s">
        <v>177</v>
      </c>
      <c r="H35">
        <v>15</v>
      </c>
      <c r="I35">
        <v>16</v>
      </c>
      <c r="J35">
        <v>16</v>
      </c>
      <c r="K35">
        <f t="shared" si="5"/>
        <v>99</v>
      </c>
      <c r="M35" t="s">
        <v>177</v>
      </c>
      <c r="N35">
        <v>15</v>
      </c>
      <c r="O35">
        <v>16</v>
      </c>
      <c r="P35">
        <v>3</v>
      </c>
      <c r="Q35">
        <f t="shared" si="6"/>
        <v>21</v>
      </c>
    </row>
    <row r="36" spans="1:17" x14ac:dyDescent="0.25">
      <c r="A36" t="s">
        <v>178</v>
      </c>
      <c r="B36">
        <v>16</v>
      </c>
      <c r="C36">
        <v>17</v>
      </c>
      <c r="D36">
        <v>17</v>
      </c>
      <c r="E36">
        <f t="shared" si="4"/>
        <v>105</v>
      </c>
      <c r="G36" t="s">
        <v>178</v>
      </c>
      <c r="H36">
        <v>16</v>
      </c>
      <c r="I36">
        <v>17</v>
      </c>
      <c r="J36">
        <v>20</v>
      </c>
      <c r="K36">
        <f t="shared" si="5"/>
        <v>119</v>
      </c>
      <c r="M36" t="s">
        <v>178</v>
      </c>
      <c r="N36">
        <v>16</v>
      </c>
      <c r="O36">
        <v>17</v>
      </c>
      <c r="P36">
        <v>4</v>
      </c>
      <c r="Q36">
        <f t="shared" si="6"/>
        <v>25</v>
      </c>
    </row>
    <row r="37" spans="1:17" x14ac:dyDescent="0.25">
      <c r="A37" t="s">
        <v>179</v>
      </c>
      <c r="B37">
        <v>17</v>
      </c>
      <c r="C37">
        <v>18</v>
      </c>
      <c r="D37">
        <v>23</v>
      </c>
      <c r="E37">
        <f t="shared" si="4"/>
        <v>128</v>
      </c>
      <c r="G37" t="s">
        <v>179</v>
      </c>
      <c r="H37">
        <v>17</v>
      </c>
      <c r="I37">
        <v>18</v>
      </c>
      <c r="J37">
        <v>29</v>
      </c>
      <c r="K37">
        <f t="shared" si="5"/>
        <v>148</v>
      </c>
      <c r="M37" t="s">
        <v>179</v>
      </c>
      <c r="N37">
        <v>17</v>
      </c>
      <c r="O37">
        <v>18</v>
      </c>
      <c r="P37">
        <v>4</v>
      </c>
      <c r="Q37">
        <f t="shared" si="6"/>
        <v>29</v>
      </c>
    </row>
    <row r="38" spans="1:17" x14ac:dyDescent="0.25">
      <c r="A38" t="s">
        <v>180</v>
      </c>
      <c r="B38">
        <v>18</v>
      </c>
      <c r="C38">
        <v>19</v>
      </c>
      <c r="D38">
        <v>41</v>
      </c>
      <c r="G38" t="s">
        <v>180</v>
      </c>
      <c r="H38">
        <v>18</v>
      </c>
      <c r="I38">
        <v>19</v>
      </c>
      <c r="M38" t="s">
        <v>180</v>
      </c>
      <c r="N38">
        <v>18</v>
      </c>
      <c r="O38">
        <v>19</v>
      </c>
      <c r="P38">
        <v>4</v>
      </c>
    </row>
  </sheetData>
  <pageMargins left="0.7" right="0.7" top="0.75" bottom="0.75" header="0.3" footer="0.3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AP90"/>
  <sheetViews>
    <sheetView workbookViewId="0">
      <selection activeCell="H10" sqref="H10"/>
    </sheetView>
  </sheetViews>
  <sheetFormatPr baseColWidth="10" defaultRowHeight="15" x14ac:dyDescent="0.25"/>
  <cols>
    <col min="1" max="1" width="5.140625" bestFit="1" customWidth="1"/>
    <col min="2" max="2" width="4.85546875" bestFit="1" customWidth="1"/>
    <col min="3" max="3" width="12.28515625" bestFit="1" customWidth="1"/>
    <col min="4" max="10" width="4.5703125" bestFit="1" customWidth="1"/>
    <col min="11" max="11" width="7.28515625" bestFit="1" customWidth="1"/>
    <col min="12" max="12" width="5.5703125" bestFit="1" customWidth="1"/>
    <col min="13" max="13" width="5.7109375" bestFit="1" customWidth="1"/>
    <col min="14" max="14" width="5.28515625" bestFit="1" customWidth="1"/>
    <col min="15" max="15" width="5.5703125" bestFit="1" customWidth="1"/>
    <col min="16" max="16" width="5.42578125" bestFit="1" customWidth="1"/>
    <col min="17" max="18" width="5.7109375" bestFit="1" customWidth="1"/>
    <col min="19" max="19" width="9.140625" bestFit="1" customWidth="1"/>
    <col min="20" max="20" width="4.7109375" customWidth="1"/>
    <col min="21" max="21" width="5.140625" bestFit="1" customWidth="1"/>
    <col min="22" max="22" width="4.5703125" bestFit="1" customWidth="1"/>
    <col min="23" max="23" width="6.140625" bestFit="1" customWidth="1"/>
    <col min="24" max="24" width="4.5703125" customWidth="1"/>
    <col min="25" max="30" width="4.5703125" bestFit="1" customWidth="1"/>
    <col min="31" max="31" width="7.28515625" bestFit="1" customWidth="1"/>
    <col min="32" max="32" width="5.5703125" bestFit="1" customWidth="1"/>
    <col min="33" max="33" width="5.7109375" bestFit="1" customWidth="1"/>
    <col min="34" max="34" width="5.28515625" bestFit="1" customWidth="1"/>
    <col min="35" max="35" width="5.5703125" bestFit="1" customWidth="1"/>
    <col min="36" max="36" width="5.42578125" bestFit="1" customWidth="1"/>
    <col min="37" max="38" width="5.7109375" bestFit="1" customWidth="1"/>
    <col min="39" max="39" width="9.140625" bestFit="1" customWidth="1"/>
    <col min="40" max="40" width="11.42578125" style="18"/>
    <col min="41" max="42" width="6.7109375" customWidth="1"/>
  </cols>
  <sheetData>
    <row r="1" spans="1:42" x14ac:dyDescent="0.25">
      <c r="D1" s="1"/>
      <c r="E1" s="1"/>
      <c r="F1" s="1"/>
      <c r="G1" s="1"/>
      <c r="H1" s="1"/>
      <c r="I1" s="1"/>
      <c r="J1" s="1"/>
      <c r="K1" s="13">
        <f>SUM(K3:K18)</f>
        <v>332234.88000000006</v>
      </c>
      <c r="L1" s="1"/>
      <c r="M1" s="1"/>
      <c r="N1" s="1"/>
      <c r="O1" s="1"/>
      <c r="P1" s="1"/>
      <c r="Q1" s="1"/>
      <c r="R1" s="1"/>
      <c r="S1" s="1"/>
    </row>
    <row r="2" spans="1:42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46</v>
      </c>
      <c r="M2" s="4" t="s">
        <v>47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53</v>
      </c>
    </row>
    <row r="3" spans="1:42" x14ac:dyDescent="0.25">
      <c r="A3" t="s">
        <v>12</v>
      </c>
      <c r="B3" s="5" t="s">
        <v>13</v>
      </c>
      <c r="C3" s="6" t="s">
        <v>80</v>
      </c>
      <c r="D3" s="11">
        <v>5</v>
      </c>
      <c r="E3" s="7">
        <v>5</v>
      </c>
      <c r="F3" s="11">
        <v>2</v>
      </c>
      <c r="G3" s="7">
        <v>2</v>
      </c>
      <c r="H3" s="11">
        <v>12</v>
      </c>
      <c r="I3" s="7">
        <v>2</v>
      </c>
      <c r="J3" s="11">
        <v>19</v>
      </c>
      <c r="K3" s="8">
        <f>(5150+415+135)*1.06</f>
        <v>6042</v>
      </c>
      <c r="L3" s="1">
        <v>5.5</v>
      </c>
      <c r="M3" s="1">
        <v>10</v>
      </c>
      <c r="N3" s="1">
        <v>0</v>
      </c>
      <c r="O3" s="12">
        <v>0</v>
      </c>
      <c r="P3" s="12">
        <v>43</v>
      </c>
      <c r="Q3" s="12">
        <v>0</v>
      </c>
      <c r="R3" s="12">
        <v>33</v>
      </c>
      <c r="S3" s="3">
        <f>SUM(L3:R3)</f>
        <v>91.5</v>
      </c>
    </row>
    <row r="4" spans="1:42" x14ac:dyDescent="0.25">
      <c r="A4" t="s">
        <v>14</v>
      </c>
      <c r="B4" s="5" t="s">
        <v>0</v>
      </c>
      <c r="C4" s="9" t="s">
        <v>80</v>
      </c>
      <c r="D4" s="10">
        <v>0</v>
      </c>
      <c r="E4" s="7">
        <v>2</v>
      </c>
      <c r="F4" s="7">
        <v>13</v>
      </c>
      <c r="G4" s="7">
        <v>2</v>
      </c>
      <c r="H4" s="7">
        <v>12</v>
      </c>
      <c r="I4" s="7">
        <v>2</v>
      </c>
      <c r="J4" s="7">
        <v>19</v>
      </c>
      <c r="K4" s="8">
        <f>(14490+512)*1.06</f>
        <v>15902.12</v>
      </c>
      <c r="L4" s="1">
        <v>0</v>
      </c>
      <c r="M4" s="1">
        <v>0</v>
      </c>
      <c r="N4" s="1">
        <v>58</v>
      </c>
      <c r="O4" s="1">
        <v>0</v>
      </c>
      <c r="P4" s="1">
        <v>43</v>
      </c>
      <c r="Q4" s="1">
        <v>0</v>
      </c>
      <c r="R4" s="1">
        <v>33</v>
      </c>
      <c r="S4" s="3">
        <f t="shared" ref="S4:S16" si="0">SUM(L4:R4)</f>
        <v>134</v>
      </c>
      <c r="W4" t="s">
        <v>77</v>
      </c>
      <c r="X4" t="s">
        <v>188</v>
      </c>
      <c r="AF4" t="s">
        <v>189</v>
      </c>
      <c r="AH4" t="s">
        <v>190</v>
      </c>
    </row>
    <row r="5" spans="1:42" x14ac:dyDescent="0.25">
      <c r="A5" t="s">
        <v>15</v>
      </c>
      <c r="B5" s="5" t="s">
        <v>0</v>
      </c>
      <c r="C5" s="9" t="s">
        <v>80</v>
      </c>
      <c r="D5" s="10">
        <v>0</v>
      </c>
      <c r="E5" s="7">
        <v>2</v>
      </c>
      <c r="F5" s="7">
        <v>13</v>
      </c>
      <c r="G5" s="7">
        <v>2</v>
      </c>
      <c r="H5" s="7">
        <v>12</v>
      </c>
      <c r="I5" s="7">
        <v>2</v>
      </c>
      <c r="J5" s="7">
        <v>19</v>
      </c>
      <c r="K5" s="8">
        <f>(14490+512)*1.06</f>
        <v>15902.12</v>
      </c>
      <c r="L5" s="1">
        <v>0</v>
      </c>
      <c r="M5" s="1">
        <v>0</v>
      </c>
      <c r="N5" s="1">
        <v>58</v>
      </c>
      <c r="O5" s="1">
        <v>0</v>
      </c>
      <c r="P5" s="1">
        <v>43</v>
      </c>
      <c r="Q5" s="1">
        <v>0</v>
      </c>
      <c r="R5" s="1">
        <v>33</v>
      </c>
      <c r="S5" s="3">
        <f t="shared" si="0"/>
        <v>134</v>
      </c>
      <c r="W5" t="s">
        <v>85</v>
      </c>
      <c r="X5" t="s">
        <v>191</v>
      </c>
      <c r="AF5" t="s">
        <v>192</v>
      </c>
    </row>
    <row r="6" spans="1:42" x14ac:dyDescent="0.25">
      <c r="A6" t="s">
        <v>16</v>
      </c>
      <c r="B6" s="5" t="s">
        <v>0</v>
      </c>
      <c r="C6" s="9" t="s">
        <v>80</v>
      </c>
      <c r="D6" s="10">
        <v>0</v>
      </c>
      <c r="E6" s="7">
        <v>2</v>
      </c>
      <c r="F6" s="7">
        <v>2</v>
      </c>
      <c r="G6" s="7">
        <v>13.2</v>
      </c>
      <c r="H6" s="7">
        <v>12</v>
      </c>
      <c r="I6" s="7">
        <v>2</v>
      </c>
      <c r="J6" s="7">
        <v>19</v>
      </c>
      <c r="K6" s="8">
        <f>(7470+512)*1.06</f>
        <v>8460.92</v>
      </c>
      <c r="L6" s="1">
        <v>0</v>
      </c>
      <c r="M6" s="1">
        <v>0</v>
      </c>
      <c r="N6" s="1">
        <v>0</v>
      </c>
      <c r="O6" s="1">
        <v>40</v>
      </c>
      <c r="P6" s="1">
        <v>43</v>
      </c>
      <c r="Q6" s="1">
        <v>0</v>
      </c>
      <c r="R6" s="1">
        <v>33</v>
      </c>
      <c r="S6" s="3">
        <f t="shared" si="0"/>
        <v>116</v>
      </c>
      <c r="W6" t="s">
        <v>86</v>
      </c>
      <c r="X6" t="s">
        <v>193</v>
      </c>
      <c r="AF6" t="s">
        <v>194</v>
      </c>
      <c r="AJ6" t="s">
        <v>196</v>
      </c>
      <c r="AL6" t="s">
        <v>197</v>
      </c>
    </row>
    <row r="7" spans="1:42" x14ac:dyDescent="0.25">
      <c r="A7" t="s">
        <v>17</v>
      </c>
      <c r="B7" s="5" t="s">
        <v>0</v>
      </c>
      <c r="C7" s="9" t="s">
        <v>80</v>
      </c>
      <c r="D7" s="10">
        <v>0</v>
      </c>
      <c r="E7" s="7">
        <v>2</v>
      </c>
      <c r="F7" s="7">
        <v>2</v>
      </c>
      <c r="G7" s="7">
        <v>13.2</v>
      </c>
      <c r="H7" s="7">
        <v>12</v>
      </c>
      <c r="I7" s="7">
        <v>2</v>
      </c>
      <c r="J7" s="7">
        <v>19</v>
      </c>
      <c r="K7" s="8">
        <f>(7470+512)*1.06</f>
        <v>8460.92</v>
      </c>
      <c r="L7" s="1">
        <v>0</v>
      </c>
      <c r="M7" s="1">
        <v>0</v>
      </c>
      <c r="N7" s="1">
        <v>0</v>
      </c>
      <c r="O7" s="1">
        <v>40</v>
      </c>
      <c r="P7" s="1">
        <v>43</v>
      </c>
      <c r="Q7" s="1">
        <v>0</v>
      </c>
      <c r="R7" s="1">
        <v>33</v>
      </c>
      <c r="S7" s="3">
        <f t="shared" si="0"/>
        <v>116</v>
      </c>
      <c r="W7" t="s">
        <v>87</v>
      </c>
      <c r="X7" t="s">
        <v>195</v>
      </c>
      <c r="AF7" t="s">
        <v>194</v>
      </c>
    </row>
    <row r="8" spans="1:42" x14ac:dyDescent="0.25">
      <c r="A8" t="s">
        <v>18</v>
      </c>
      <c r="B8" s="5" t="s">
        <v>55</v>
      </c>
      <c r="C8" s="9" t="s">
        <v>156</v>
      </c>
      <c r="D8" s="10">
        <v>0</v>
      </c>
      <c r="E8" s="7">
        <v>2</v>
      </c>
      <c r="F8" s="7">
        <v>14</v>
      </c>
      <c r="G8" s="7">
        <v>2</v>
      </c>
      <c r="H8" s="7">
        <v>12</v>
      </c>
      <c r="I8" s="7">
        <v>10</v>
      </c>
      <c r="J8" s="7">
        <v>14</v>
      </c>
      <c r="K8" s="8">
        <f>(22460+515+1315)*1.04</f>
        <v>25261.600000000002</v>
      </c>
      <c r="L8" s="1">
        <v>0</v>
      </c>
      <c r="M8" s="1">
        <v>0</v>
      </c>
      <c r="N8" s="1">
        <v>68</v>
      </c>
      <c r="O8" s="1">
        <v>0</v>
      </c>
      <c r="P8" s="1">
        <v>43</v>
      </c>
      <c r="Q8" s="1">
        <v>33</v>
      </c>
      <c r="R8" s="1">
        <v>16</v>
      </c>
      <c r="S8" s="3">
        <f t="shared" ref="S8:S12" si="1">SUM(L8:R8)</f>
        <v>160</v>
      </c>
      <c r="AO8" t="s">
        <v>78</v>
      </c>
      <c r="AP8" t="s">
        <v>79</v>
      </c>
    </row>
    <row r="9" spans="1:42" x14ac:dyDescent="0.25">
      <c r="A9" t="s">
        <v>19</v>
      </c>
      <c r="B9" s="5" t="s">
        <v>55</v>
      </c>
      <c r="C9" s="9" t="s">
        <v>156</v>
      </c>
      <c r="D9" s="10">
        <v>0</v>
      </c>
      <c r="E9" s="7">
        <v>2</v>
      </c>
      <c r="F9" s="7">
        <v>14</v>
      </c>
      <c r="G9" s="7">
        <v>2</v>
      </c>
      <c r="H9" s="7">
        <v>12</v>
      </c>
      <c r="I9" s="7">
        <v>10</v>
      </c>
      <c r="J9" s="7">
        <v>14</v>
      </c>
      <c r="K9" s="8">
        <f>(22460+515+1315)*1.04</f>
        <v>25261.600000000002</v>
      </c>
      <c r="L9" s="1">
        <v>0</v>
      </c>
      <c r="M9" s="1">
        <v>0</v>
      </c>
      <c r="N9" s="1">
        <v>68</v>
      </c>
      <c r="O9" s="1">
        <v>0</v>
      </c>
      <c r="P9" s="1">
        <v>43</v>
      </c>
      <c r="Q9" s="1">
        <v>33</v>
      </c>
      <c r="R9" s="1">
        <v>16</v>
      </c>
      <c r="S9" s="3">
        <f t="shared" si="1"/>
        <v>160</v>
      </c>
      <c r="AO9" s="20">
        <f>AO26+AO43+AO62+AO80</f>
        <v>86.5</v>
      </c>
      <c r="AP9" s="20">
        <f>AP26+AP43+AP62+AP80</f>
        <v>5.40625</v>
      </c>
    </row>
    <row r="10" spans="1:42" x14ac:dyDescent="0.25">
      <c r="A10" t="s">
        <v>20</v>
      </c>
      <c r="B10" s="5" t="s">
        <v>55</v>
      </c>
      <c r="C10" s="9" t="s">
        <v>156</v>
      </c>
      <c r="D10" s="10">
        <v>0</v>
      </c>
      <c r="E10" s="7">
        <v>2</v>
      </c>
      <c r="F10" s="7">
        <v>14</v>
      </c>
      <c r="G10" s="7">
        <v>2</v>
      </c>
      <c r="H10" s="7">
        <v>12</v>
      </c>
      <c r="I10" s="7">
        <v>10</v>
      </c>
      <c r="J10" s="7">
        <v>14</v>
      </c>
      <c r="K10" s="8">
        <f>(22460+515+1315)*1.04</f>
        <v>25261.600000000002</v>
      </c>
      <c r="L10" s="1">
        <v>0</v>
      </c>
      <c r="M10" s="1">
        <v>0</v>
      </c>
      <c r="N10" s="1">
        <v>68</v>
      </c>
      <c r="O10" s="1">
        <v>0</v>
      </c>
      <c r="P10" s="1">
        <v>43</v>
      </c>
      <c r="Q10" s="1">
        <v>33</v>
      </c>
      <c r="R10" s="1">
        <v>16</v>
      </c>
      <c r="S10" s="3">
        <f t="shared" si="1"/>
        <v>160</v>
      </c>
    </row>
    <row r="11" spans="1:42" x14ac:dyDescent="0.25">
      <c r="A11" t="s">
        <v>21</v>
      </c>
      <c r="B11" s="5" t="s">
        <v>55</v>
      </c>
      <c r="C11" s="9" t="s">
        <v>156</v>
      </c>
      <c r="D11" s="10">
        <v>0</v>
      </c>
      <c r="E11" s="7">
        <v>2</v>
      </c>
      <c r="F11" s="7">
        <v>14</v>
      </c>
      <c r="G11" s="7">
        <v>2</v>
      </c>
      <c r="H11" s="7">
        <v>12</v>
      </c>
      <c r="I11" s="7">
        <v>10</v>
      </c>
      <c r="J11" s="7">
        <v>14</v>
      </c>
      <c r="K11" s="8">
        <f>(22460+515+1315)*1.04</f>
        <v>25261.600000000002</v>
      </c>
      <c r="L11" s="1">
        <v>0</v>
      </c>
      <c r="M11" s="1">
        <v>0</v>
      </c>
      <c r="N11" s="1">
        <v>68</v>
      </c>
      <c r="O11" s="1">
        <v>0</v>
      </c>
      <c r="P11" s="1">
        <v>43</v>
      </c>
      <c r="Q11" s="1">
        <v>33</v>
      </c>
      <c r="R11" s="1">
        <v>16</v>
      </c>
      <c r="S11" s="3">
        <f t="shared" si="1"/>
        <v>160</v>
      </c>
    </row>
    <row r="12" spans="1:42" x14ac:dyDescent="0.25">
      <c r="A12" t="s">
        <v>21</v>
      </c>
      <c r="B12" s="5" t="s">
        <v>22</v>
      </c>
      <c r="C12" s="9" t="s">
        <v>156</v>
      </c>
      <c r="D12" s="10">
        <v>0</v>
      </c>
      <c r="E12" s="7">
        <v>2</v>
      </c>
      <c r="F12" s="7">
        <v>12</v>
      </c>
      <c r="G12" s="7">
        <v>15</v>
      </c>
      <c r="H12" s="7">
        <v>10</v>
      </c>
      <c r="I12" s="7">
        <v>7</v>
      </c>
      <c r="J12" s="7">
        <v>14</v>
      </c>
      <c r="K12" s="8">
        <f>(18090+4335+195+245)*1.04</f>
        <v>23779.600000000002</v>
      </c>
      <c r="L12" s="1">
        <v>0</v>
      </c>
      <c r="M12" s="1">
        <v>0</v>
      </c>
      <c r="N12" s="1">
        <v>48</v>
      </c>
      <c r="O12" s="1">
        <v>55.5</v>
      </c>
      <c r="P12" s="1">
        <v>29</v>
      </c>
      <c r="Q12" s="1">
        <v>16</v>
      </c>
      <c r="R12" s="1">
        <v>16</v>
      </c>
      <c r="S12" s="3">
        <f t="shared" si="1"/>
        <v>164.5</v>
      </c>
    </row>
    <row r="13" spans="1:42" x14ac:dyDescent="0.25">
      <c r="A13" t="s">
        <v>23</v>
      </c>
      <c r="B13" s="5" t="s">
        <v>22</v>
      </c>
      <c r="C13" s="9" t="s">
        <v>156</v>
      </c>
      <c r="D13" s="10">
        <v>0</v>
      </c>
      <c r="E13" s="7">
        <v>2</v>
      </c>
      <c r="F13" s="7">
        <v>12</v>
      </c>
      <c r="G13" s="7">
        <v>15</v>
      </c>
      <c r="H13" s="7">
        <v>10</v>
      </c>
      <c r="I13" s="7">
        <v>7</v>
      </c>
      <c r="J13" s="7">
        <v>14</v>
      </c>
      <c r="K13" s="8">
        <f>(18090+4335+195+245)*1.04</f>
        <v>23779.600000000002</v>
      </c>
      <c r="L13" s="1">
        <v>0</v>
      </c>
      <c r="M13" s="1">
        <v>0</v>
      </c>
      <c r="N13" s="1">
        <v>48</v>
      </c>
      <c r="O13" s="1">
        <v>55.5</v>
      </c>
      <c r="P13" s="1">
        <v>29</v>
      </c>
      <c r="Q13" s="1">
        <v>16</v>
      </c>
      <c r="R13" s="1">
        <v>16</v>
      </c>
      <c r="S13" s="3">
        <f t="shared" si="0"/>
        <v>164.5</v>
      </c>
    </row>
    <row r="14" spans="1:42" x14ac:dyDescent="0.25">
      <c r="A14" t="s">
        <v>24</v>
      </c>
      <c r="B14" s="5" t="s">
        <v>22</v>
      </c>
      <c r="C14" s="9" t="s">
        <v>156</v>
      </c>
      <c r="D14" s="10">
        <v>0</v>
      </c>
      <c r="E14" s="7">
        <v>2</v>
      </c>
      <c r="F14" s="7">
        <v>12</v>
      </c>
      <c r="G14" s="7">
        <v>15</v>
      </c>
      <c r="H14" s="7">
        <v>10</v>
      </c>
      <c r="I14" s="7">
        <v>7</v>
      </c>
      <c r="J14" s="7">
        <v>14</v>
      </c>
      <c r="K14" s="8">
        <f>(18090+4335+195+245)*1.04</f>
        <v>23779.600000000002</v>
      </c>
      <c r="L14" s="1">
        <v>0</v>
      </c>
      <c r="M14" s="1">
        <v>0</v>
      </c>
      <c r="N14" s="1">
        <v>48</v>
      </c>
      <c r="O14" s="1">
        <v>55.5</v>
      </c>
      <c r="P14" s="1">
        <v>29</v>
      </c>
      <c r="Q14" s="1">
        <v>16</v>
      </c>
      <c r="R14" s="1">
        <v>16</v>
      </c>
      <c r="S14" s="3">
        <f t="shared" ref="S14:S15" si="2">SUM(L14:R14)</f>
        <v>164.5</v>
      </c>
    </row>
    <row r="15" spans="1:42" x14ac:dyDescent="0.25">
      <c r="A15" t="s">
        <v>26</v>
      </c>
      <c r="B15" s="5" t="s">
        <v>25</v>
      </c>
      <c r="C15" s="9" t="s">
        <v>82</v>
      </c>
      <c r="D15" s="10">
        <v>0</v>
      </c>
      <c r="E15" s="7">
        <v>2</v>
      </c>
      <c r="F15" s="7">
        <v>13</v>
      </c>
      <c r="G15" s="7">
        <v>2</v>
      </c>
      <c r="H15" s="7">
        <v>12</v>
      </c>
      <c r="I15" s="7">
        <v>13</v>
      </c>
      <c r="J15" s="7">
        <v>14</v>
      </c>
      <c r="K15" s="8">
        <f>(14490+4335+6435)*1.04</f>
        <v>26270.400000000001</v>
      </c>
      <c r="L15" s="1">
        <v>0</v>
      </c>
      <c r="M15" s="1">
        <v>0</v>
      </c>
      <c r="N15" s="1">
        <v>58</v>
      </c>
      <c r="O15" s="1">
        <v>0</v>
      </c>
      <c r="P15" s="1">
        <v>43</v>
      </c>
      <c r="Q15" s="1">
        <v>59</v>
      </c>
      <c r="R15" s="1">
        <v>16</v>
      </c>
      <c r="S15" s="3">
        <f t="shared" si="2"/>
        <v>176</v>
      </c>
    </row>
    <row r="16" spans="1:42" x14ac:dyDescent="0.25">
      <c r="A16" t="s">
        <v>27</v>
      </c>
      <c r="B16" s="5" t="s">
        <v>25</v>
      </c>
      <c r="C16" s="9" t="s">
        <v>156</v>
      </c>
      <c r="D16" s="10">
        <v>0</v>
      </c>
      <c r="E16" s="7">
        <v>2</v>
      </c>
      <c r="F16" s="7">
        <v>13</v>
      </c>
      <c r="G16" s="7">
        <v>2</v>
      </c>
      <c r="H16" s="7">
        <v>12</v>
      </c>
      <c r="I16" s="7">
        <v>13</v>
      </c>
      <c r="J16" s="7">
        <v>14</v>
      </c>
      <c r="K16" s="8">
        <f>(14490+4335+6435)*1.04</f>
        <v>26270.400000000001</v>
      </c>
      <c r="L16" s="1">
        <v>0</v>
      </c>
      <c r="M16" s="1">
        <v>0</v>
      </c>
      <c r="N16" s="1">
        <v>58</v>
      </c>
      <c r="O16" s="1">
        <v>0</v>
      </c>
      <c r="P16" s="1">
        <v>43</v>
      </c>
      <c r="Q16" s="1">
        <v>59</v>
      </c>
      <c r="R16" s="1">
        <v>16</v>
      </c>
      <c r="S16" s="3">
        <f t="shared" si="0"/>
        <v>176</v>
      </c>
    </row>
    <row r="17" spans="1:42" x14ac:dyDescent="0.25">
      <c r="A17" t="s">
        <v>28</v>
      </c>
      <c r="B17" s="5" t="s">
        <v>25</v>
      </c>
      <c r="C17" s="9" t="s">
        <v>156</v>
      </c>
      <c r="D17" s="11">
        <v>0</v>
      </c>
      <c r="E17" s="7">
        <v>2</v>
      </c>
      <c r="F17" s="7">
        <v>13</v>
      </c>
      <c r="G17" s="7">
        <v>2</v>
      </c>
      <c r="H17" s="7">
        <v>12</v>
      </c>
      <c r="I17" s="7">
        <v>13</v>
      </c>
      <c r="J17" s="7">
        <v>14</v>
      </c>
      <c r="K17" s="8">
        <f>(14490+4335+6435)*1.04</f>
        <v>26270.400000000001</v>
      </c>
      <c r="L17" s="1">
        <v>0</v>
      </c>
      <c r="M17" s="1">
        <v>0</v>
      </c>
      <c r="N17" s="1">
        <v>58</v>
      </c>
      <c r="O17" s="1">
        <v>0</v>
      </c>
      <c r="P17" s="1">
        <v>43</v>
      </c>
      <c r="Q17" s="1">
        <v>59</v>
      </c>
      <c r="R17" s="1">
        <v>16</v>
      </c>
      <c r="S17" s="3">
        <f t="shared" ref="S17:S18" si="3">SUM(L17:R17)</f>
        <v>176</v>
      </c>
    </row>
    <row r="18" spans="1:42" x14ac:dyDescent="0.25">
      <c r="A18" t="s">
        <v>56</v>
      </c>
      <c r="B18" s="5" t="s">
        <v>25</v>
      </c>
      <c r="C18" s="9" t="s">
        <v>156</v>
      </c>
      <c r="D18" s="11">
        <v>0</v>
      </c>
      <c r="E18" s="7">
        <v>2</v>
      </c>
      <c r="F18" s="7">
        <v>13</v>
      </c>
      <c r="G18" s="7">
        <v>2</v>
      </c>
      <c r="H18" s="7">
        <v>12</v>
      </c>
      <c r="I18" s="7">
        <v>13</v>
      </c>
      <c r="J18" s="7">
        <v>14</v>
      </c>
      <c r="K18" s="8">
        <f>(14490+4335+6435)*1.04</f>
        <v>26270.400000000001</v>
      </c>
      <c r="L18" s="1">
        <v>0</v>
      </c>
      <c r="M18" s="1">
        <v>0</v>
      </c>
      <c r="N18" s="1">
        <v>58</v>
      </c>
      <c r="O18" s="1">
        <v>0</v>
      </c>
      <c r="P18" s="1">
        <v>43</v>
      </c>
      <c r="Q18" s="1">
        <v>59</v>
      </c>
      <c r="R18" s="1">
        <v>16</v>
      </c>
      <c r="S18" s="3">
        <f t="shared" si="3"/>
        <v>176</v>
      </c>
    </row>
    <row r="19" spans="1:42" x14ac:dyDescent="0.25">
      <c r="K19" s="17">
        <f>SUM(K21:K35)</f>
        <v>8725</v>
      </c>
      <c r="AE19" s="17">
        <f>SUM(AE21:AE35)</f>
        <v>19345</v>
      </c>
    </row>
    <row r="20" spans="1:42" x14ac:dyDescent="0.25">
      <c r="A20" s="4" t="s">
        <v>1</v>
      </c>
      <c r="B20" s="4" t="s">
        <v>2</v>
      </c>
      <c r="C20" s="4" t="s">
        <v>3</v>
      </c>
      <c r="D20" s="4" t="s">
        <v>4</v>
      </c>
      <c r="E20" s="4" t="s">
        <v>5</v>
      </c>
      <c r="F20" s="4" t="s">
        <v>6</v>
      </c>
      <c r="G20" s="4" t="s">
        <v>7</v>
      </c>
      <c r="H20" s="4" t="s">
        <v>8</v>
      </c>
      <c r="I20" s="4" t="s">
        <v>9</v>
      </c>
      <c r="J20" s="4" t="s">
        <v>10</v>
      </c>
      <c r="K20" s="4" t="s">
        <v>11</v>
      </c>
      <c r="L20" s="4" t="s">
        <v>46</v>
      </c>
      <c r="M20" s="4" t="s">
        <v>47</v>
      </c>
      <c r="N20" s="4" t="s">
        <v>48</v>
      </c>
      <c r="O20" s="4" t="s">
        <v>49</v>
      </c>
      <c r="P20" s="4" t="s">
        <v>50</v>
      </c>
      <c r="Q20" s="4" t="s">
        <v>51</v>
      </c>
      <c r="R20" s="4" t="s">
        <v>52</v>
      </c>
      <c r="S20" s="4" t="s">
        <v>53</v>
      </c>
      <c r="U20" s="4" t="s">
        <v>1</v>
      </c>
      <c r="V20" s="4" t="s">
        <v>2</v>
      </c>
      <c r="W20" s="4" t="s">
        <v>3</v>
      </c>
      <c r="X20" s="4" t="s">
        <v>4</v>
      </c>
      <c r="Y20" s="4" t="s">
        <v>5</v>
      </c>
      <c r="Z20" s="4" t="s">
        <v>6</v>
      </c>
      <c r="AA20" s="4" t="s">
        <v>7</v>
      </c>
      <c r="AB20" s="4" t="s">
        <v>8</v>
      </c>
      <c r="AC20" s="4" t="s">
        <v>9</v>
      </c>
      <c r="AD20" s="4" t="s">
        <v>10</v>
      </c>
      <c r="AE20" s="4" t="s">
        <v>11</v>
      </c>
      <c r="AF20" s="4" t="s">
        <v>46</v>
      </c>
      <c r="AG20" s="4" t="s">
        <v>47</v>
      </c>
      <c r="AH20" s="4" t="s">
        <v>48</v>
      </c>
      <c r="AI20" s="4" t="s">
        <v>49</v>
      </c>
      <c r="AJ20" s="4" t="s">
        <v>50</v>
      </c>
      <c r="AK20" s="4" t="s">
        <v>51</v>
      </c>
      <c r="AL20" s="4" t="s">
        <v>52</v>
      </c>
      <c r="AM20" s="4" t="s">
        <v>53</v>
      </c>
    </row>
    <row r="21" spans="1:42" x14ac:dyDescent="0.25">
      <c r="A21" t="s">
        <v>12</v>
      </c>
      <c r="B21" s="5"/>
      <c r="C21" s="6"/>
      <c r="D21" s="11">
        <v>2</v>
      </c>
      <c r="E21" s="7">
        <v>2</v>
      </c>
      <c r="F21" s="11">
        <v>0</v>
      </c>
      <c r="G21" s="7">
        <v>0</v>
      </c>
      <c r="H21" s="11">
        <v>0</v>
      </c>
      <c r="I21" s="7">
        <v>0</v>
      </c>
      <c r="J21" s="11">
        <v>2</v>
      </c>
      <c r="K21" s="8"/>
      <c r="L21" s="1">
        <v>0</v>
      </c>
      <c r="M21" s="1">
        <v>0</v>
      </c>
      <c r="N21" s="1">
        <v>0</v>
      </c>
      <c r="O21" s="12">
        <v>0</v>
      </c>
      <c r="P21" s="12">
        <v>0</v>
      </c>
      <c r="Q21" s="12">
        <v>0</v>
      </c>
      <c r="R21" s="12">
        <v>0</v>
      </c>
      <c r="S21" s="3">
        <f>SUM(L21:R21)</f>
        <v>0</v>
      </c>
      <c r="U21" t="s">
        <v>12</v>
      </c>
      <c r="V21" s="5"/>
      <c r="W21" s="6"/>
      <c r="X21" s="11">
        <v>2</v>
      </c>
      <c r="Y21" s="7">
        <v>2</v>
      </c>
      <c r="Z21" s="11">
        <v>0</v>
      </c>
      <c r="AA21" s="7">
        <v>0</v>
      </c>
      <c r="AB21" s="11">
        <v>0</v>
      </c>
      <c r="AC21" s="7">
        <v>0</v>
      </c>
      <c r="AD21" s="11">
        <v>2</v>
      </c>
      <c r="AE21" s="8"/>
      <c r="AF21" s="1">
        <v>0</v>
      </c>
      <c r="AG21" s="1">
        <v>0</v>
      </c>
      <c r="AH21" s="1">
        <v>0</v>
      </c>
      <c r="AI21" s="12">
        <v>0</v>
      </c>
      <c r="AJ21" s="12">
        <v>0</v>
      </c>
      <c r="AK21" s="12">
        <v>0</v>
      </c>
      <c r="AL21" s="12">
        <v>0</v>
      </c>
      <c r="AM21" s="3">
        <f>SUM(AF21:AL21)</f>
        <v>0</v>
      </c>
    </row>
    <row r="22" spans="1:42" x14ac:dyDescent="0.25">
      <c r="A22" t="s">
        <v>14</v>
      </c>
      <c r="B22" s="5"/>
      <c r="C22" s="9" t="s">
        <v>81</v>
      </c>
      <c r="D22" s="11">
        <v>0</v>
      </c>
      <c r="E22" s="7">
        <v>5</v>
      </c>
      <c r="F22" s="11">
        <v>2</v>
      </c>
      <c r="G22" s="7">
        <v>5</v>
      </c>
      <c r="H22" s="11">
        <v>9</v>
      </c>
      <c r="I22" s="7">
        <v>2</v>
      </c>
      <c r="J22" s="11">
        <v>2</v>
      </c>
      <c r="K22" s="8">
        <f>1810+150+150</f>
        <v>2110</v>
      </c>
      <c r="L22" s="1">
        <v>0</v>
      </c>
      <c r="M22" s="1">
        <v>10</v>
      </c>
      <c r="N22" s="1">
        <v>0</v>
      </c>
      <c r="O22" s="12">
        <v>5.5</v>
      </c>
      <c r="P22" s="12">
        <v>23</v>
      </c>
      <c r="Q22" s="12">
        <v>0</v>
      </c>
      <c r="R22" s="12">
        <v>0</v>
      </c>
      <c r="S22" s="3">
        <f t="shared" ref="S22:S31" si="4">SUM(L22:R22)</f>
        <v>38.5</v>
      </c>
      <c r="U22" t="s">
        <v>14</v>
      </c>
      <c r="V22" s="5"/>
      <c r="W22" s="9" t="s">
        <v>81</v>
      </c>
      <c r="X22" s="11">
        <v>0</v>
      </c>
      <c r="Y22" s="7">
        <v>5</v>
      </c>
      <c r="Z22" s="11">
        <v>2</v>
      </c>
      <c r="AA22" s="7">
        <v>12</v>
      </c>
      <c r="AB22" s="11">
        <v>9</v>
      </c>
      <c r="AC22" s="7">
        <v>2</v>
      </c>
      <c r="AD22" s="11">
        <v>2</v>
      </c>
      <c r="AE22" s="8">
        <f>145+150+4470</f>
        <v>4765</v>
      </c>
      <c r="AF22" s="1">
        <v>0</v>
      </c>
      <c r="AG22" s="1">
        <v>10</v>
      </c>
      <c r="AH22" s="1">
        <v>0</v>
      </c>
      <c r="AI22" s="12">
        <v>33</v>
      </c>
      <c r="AJ22" s="12">
        <v>23</v>
      </c>
      <c r="AK22" s="12">
        <v>0</v>
      </c>
      <c r="AL22" s="12">
        <v>0</v>
      </c>
      <c r="AM22" s="3">
        <f t="shared" ref="AM22" si="5">SUM(AF22:AL22)</f>
        <v>66</v>
      </c>
    </row>
    <row r="23" spans="1:42" x14ac:dyDescent="0.25">
      <c r="A23" t="s">
        <v>15</v>
      </c>
      <c r="B23" s="5"/>
      <c r="C23" s="9"/>
      <c r="D23" s="11">
        <v>0</v>
      </c>
      <c r="E23" s="7">
        <v>2</v>
      </c>
      <c r="F23" s="11">
        <v>2</v>
      </c>
      <c r="G23" s="7">
        <v>2</v>
      </c>
      <c r="H23" s="11">
        <v>2</v>
      </c>
      <c r="I23" s="7">
        <v>2</v>
      </c>
      <c r="J23" s="11">
        <v>2</v>
      </c>
      <c r="K23" s="8"/>
      <c r="L23" s="1">
        <v>0</v>
      </c>
      <c r="M23" s="1">
        <v>0</v>
      </c>
      <c r="N23" s="1">
        <v>0</v>
      </c>
      <c r="O23" s="12">
        <v>0</v>
      </c>
      <c r="P23" s="12">
        <v>0</v>
      </c>
      <c r="Q23" s="12">
        <v>0</v>
      </c>
      <c r="R23" s="12">
        <v>0</v>
      </c>
      <c r="S23" s="3">
        <f>SUM(L23:R23)</f>
        <v>0</v>
      </c>
      <c r="U23" t="s">
        <v>15</v>
      </c>
      <c r="V23" s="5"/>
      <c r="W23" s="9"/>
      <c r="X23" s="11">
        <v>0</v>
      </c>
      <c r="Y23" s="7">
        <v>2</v>
      </c>
      <c r="Z23" s="11">
        <v>2</v>
      </c>
      <c r="AA23" s="7">
        <v>2</v>
      </c>
      <c r="AB23" s="11">
        <v>2</v>
      </c>
      <c r="AC23" s="7">
        <v>2</v>
      </c>
      <c r="AD23" s="11">
        <v>2</v>
      </c>
      <c r="AE23" s="8"/>
      <c r="AF23" s="1">
        <v>0</v>
      </c>
      <c r="AG23" s="1">
        <v>0</v>
      </c>
      <c r="AH23" s="1">
        <v>0</v>
      </c>
      <c r="AI23" s="12">
        <v>0</v>
      </c>
      <c r="AJ23" s="12">
        <v>0</v>
      </c>
      <c r="AK23" s="12">
        <v>0</v>
      </c>
      <c r="AL23" s="12">
        <v>0</v>
      </c>
      <c r="AM23" s="3">
        <f>SUM(AF23:AL23)</f>
        <v>0</v>
      </c>
    </row>
    <row r="24" spans="1:42" x14ac:dyDescent="0.25">
      <c r="A24" t="s">
        <v>16</v>
      </c>
      <c r="B24" s="5"/>
      <c r="C24" s="9"/>
      <c r="D24" s="11">
        <v>0</v>
      </c>
      <c r="E24" s="7">
        <v>2</v>
      </c>
      <c r="F24" s="11">
        <v>2</v>
      </c>
      <c r="G24" s="7">
        <v>2</v>
      </c>
      <c r="H24" s="11">
        <v>2</v>
      </c>
      <c r="I24" s="7">
        <v>2</v>
      </c>
      <c r="J24" s="11">
        <v>2</v>
      </c>
      <c r="K24" s="8"/>
      <c r="L24" s="1">
        <v>0</v>
      </c>
      <c r="M24" s="1">
        <v>0</v>
      </c>
      <c r="N24" s="1">
        <v>0</v>
      </c>
      <c r="O24" s="12">
        <v>0</v>
      </c>
      <c r="P24" s="12">
        <v>0</v>
      </c>
      <c r="Q24" s="12">
        <v>0</v>
      </c>
      <c r="R24" s="12">
        <v>0</v>
      </c>
      <c r="S24" s="3">
        <f>SUM(L24:R24)</f>
        <v>0</v>
      </c>
      <c r="U24" t="s">
        <v>16</v>
      </c>
      <c r="V24" s="5"/>
      <c r="W24" s="9"/>
      <c r="X24" s="11">
        <v>0</v>
      </c>
      <c r="Y24" s="7">
        <v>2</v>
      </c>
      <c r="Z24" s="11">
        <v>2</v>
      </c>
      <c r="AA24" s="7">
        <v>2</v>
      </c>
      <c r="AB24" s="11">
        <v>2</v>
      </c>
      <c r="AC24" s="7">
        <v>2</v>
      </c>
      <c r="AD24" s="11">
        <v>2</v>
      </c>
      <c r="AE24" s="8"/>
      <c r="AF24" s="1">
        <v>0</v>
      </c>
      <c r="AG24" s="1">
        <v>0</v>
      </c>
      <c r="AH24" s="1">
        <v>0</v>
      </c>
      <c r="AI24" s="12">
        <v>0</v>
      </c>
      <c r="AJ24" s="12">
        <v>0</v>
      </c>
      <c r="AK24" s="12">
        <v>0</v>
      </c>
      <c r="AL24" s="12">
        <v>0</v>
      </c>
      <c r="AM24" s="3">
        <f>SUM(AF24:AL24)</f>
        <v>0</v>
      </c>
    </row>
    <row r="25" spans="1:42" x14ac:dyDescent="0.25">
      <c r="A25" t="s">
        <v>17</v>
      </c>
      <c r="B25" s="5"/>
      <c r="C25" s="9"/>
      <c r="D25" s="11">
        <v>0</v>
      </c>
      <c r="E25" s="7">
        <v>2</v>
      </c>
      <c r="F25" s="11">
        <v>2</v>
      </c>
      <c r="G25" s="7">
        <v>2</v>
      </c>
      <c r="H25" s="11">
        <v>2</v>
      </c>
      <c r="I25" s="7">
        <v>2</v>
      </c>
      <c r="J25" s="11">
        <v>2</v>
      </c>
      <c r="K25" s="8"/>
      <c r="L25" s="1">
        <v>0</v>
      </c>
      <c r="M25" s="1">
        <v>0</v>
      </c>
      <c r="N25" s="1">
        <v>0</v>
      </c>
      <c r="O25" s="12">
        <v>0</v>
      </c>
      <c r="P25" s="12">
        <v>0</v>
      </c>
      <c r="Q25" s="12">
        <v>0</v>
      </c>
      <c r="R25" s="12">
        <v>0</v>
      </c>
      <c r="S25" s="3">
        <f t="shared" si="4"/>
        <v>0</v>
      </c>
      <c r="U25" t="s">
        <v>17</v>
      </c>
      <c r="V25" s="5"/>
      <c r="W25" s="9"/>
      <c r="X25" s="11">
        <v>0</v>
      </c>
      <c r="Y25" s="7">
        <v>2</v>
      </c>
      <c r="Z25" s="11">
        <v>2</v>
      </c>
      <c r="AA25" s="7">
        <v>2</v>
      </c>
      <c r="AB25" s="11">
        <v>2</v>
      </c>
      <c r="AC25" s="7">
        <v>2</v>
      </c>
      <c r="AD25" s="11">
        <v>2</v>
      </c>
      <c r="AE25" s="8"/>
      <c r="AF25" s="1">
        <v>0</v>
      </c>
      <c r="AG25" s="1">
        <v>0</v>
      </c>
      <c r="AH25" s="1">
        <v>0</v>
      </c>
      <c r="AI25" s="12">
        <v>0</v>
      </c>
      <c r="AJ25" s="12">
        <v>0</v>
      </c>
      <c r="AK25" s="12">
        <v>0</v>
      </c>
      <c r="AL25" s="12">
        <v>0</v>
      </c>
      <c r="AM25" s="3">
        <f t="shared" ref="AM25:AM31" si="6">SUM(AF25:AL25)</f>
        <v>0</v>
      </c>
      <c r="AO25" t="s">
        <v>78</v>
      </c>
      <c r="AP25" t="s">
        <v>79</v>
      </c>
    </row>
    <row r="26" spans="1:42" x14ac:dyDescent="0.25">
      <c r="A26" t="s">
        <v>18</v>
      </c>
      <c r="B26" s="5"/>
      <c r="C26" s="9"/>
      <c r="D26" s="11">
        <v>0</v>
      </c>
      <c r="E26" s="7">
        <v>2</v>
      </c>
      <c r="F26" s="11">
        <v>2</v>
      </c>
      <c r="G26" s="7">
        <v>2</v>
      </c>
      <c r="H26" s="11">
        <v>2</v>
      </c>
      <c r="I26" s="7">
        <v>2</v>
      </c>
      <c r="J26" s="11">
        <v>2</v>
      </c>
      <c r="K26" s="8"/>
      <c r="L26" s="1">
        <v>0</v>
      </c>
      <c r="M26" s="1">
        <v>0</v>
      </c>
      <c r="N26" s="1">
        <v>0</v>
      </c>
      <c r="O26" s="12">
        <v>0</v>
      </c>
      <c r="P26" s="12">
        <v>0</v>
      </c>
      <c r="Q26" s="12">
        <v>0</v>
      </c>
      <c r="R26" s="12">
        <v>0</v>
      </c>
      <c r="S26" s="3">
        <f t="shared" si="4"/>
        <v>0</v>
      </c>
      <c r="U26" t="s">
        <v>18</v>
      </c>
      <c r="V26" s="5"/>
      <c r="W26" s="9"/>
      <c r="X26" s="11">
        <v>0</v>
      </c>
      <c r="Y26" s="7">
        <v>2</v>
      </c>
      <c r="Z26" s="11">
        <v>2</v>
      </c>
      <c r="AA26" s="7">
        <v>2</v>
      </c>
      <c r="AB26" s="11">
        <v>2</v>
      </c>
      <c r="AC26" s="7">
        <v>2</v>
      </c>
      <c r="AD26" s="11">
        <v>2</v>
      </c>
      <c r="AE26" s="8"/>
      <c r="AF26" s="1">
        <v>0</v>
      </c>
      <c r="AG26" s="1">
        <v>0</v>
      </c>
      <c r="AH26" s="1">
        <v>0</v>
      </c>
      <c r="AI26" s="12">
        <v>0</v>
      </c>
      <c r="AJ26" s="12">
        <v>0</v>
      </c>
      <c r="AK26" s="12">
        <v>0</v>
      </c>
      <c r="AL26" s="12">
        <v>0</v>
      </c>
      <c r="AM26" s="3">
        <f t="shared" si="6"/>
        <v>0</v>
      </c>
      <c r="AN26" s="18" t="s">
        <v>54</v>
      </c>
      <c r="AO26">
        <f>33-5.5</f>
        <v>27.5</v>
      </c>
      <c r="AP26" s="19">
        <f>AO26/16</f>
        <v>1.71875</v>
      </c>
    </row>
    <row r="27" spans="1:42" x14ac:dyDescent="0.25">
      <c r="A27" t="s">
        <v>19</v>
      </c>
      <c r="B27" s="5"/>
      <c r="C27" s="9"/>
      <c r="D27" s="11">
        <v>0</v>
      </c>
      <c r="E27" s="7">
        <v>2</v>
      </c>
      <c r="F27" s="11">
        <v>2</v>
      </c>
      <c r="G27" s="7">
        <v>2</v>
      </c>
      <c r="H27" s="11">
        <v>2</v>
      </c>
      <c r="I27" s="7">
        <v>2</v>
      </c>
      <c r="J27" s="11">
        <v>2</v>
      </c>
      <c r="K27" s="8"/>
      <c r="L27" s="1">
        <v>0</v>
      </c>
      <c r="M27" s="1">
        <v>0</v>
      </c>
      <c r="N27" s="1">
        <v>0</v>
      </c>
      <c r="O27" s="12">
        <v>0</v>
      </c>
      <c r="P27" s="12">
        <v>0</v>
      </c>
      <c r="Q27" s="12">
        <v>0</v>
      </c>
      <c r="R27" s="12">
        <v>0</v>
      </c>
      <c r="S27" s="3">
        <f t="shared" si="4"/>
        <v>0</v>
      </c>
      <c r="U27" t="s">
        <v>19</v>
      </c>
      <c r="V27" s="5"/>
      <c r="W27" s="9"/>
      <c r="X27" s="11">
        <v>0</v>
      </c>
      <c r="Y27" s="7">
        <v>2</v>
      </c>
      <c r="Z27" s="11">
        <v>2</v>
      </c>
      <c r="AA27" s="7">
        <v>2</v>
      </c>
      <c r="AB27" s="11">
        <v>2</v>
      </c>
      <c r="AC27" s="7">
        <v>2</v>
      </c>
      <c r="AD27" s="11">
        <v>2</v>
      </c>
      <c r="AE27" s="8"/>
      <c r="AF27" s="1">
        <v>0</v>
      </c>
      <c r="AG27" s="1">
        <v>0</v>
      </c>
      <c r="AH27" s="1">
        <v>0</v>
      </c>
      <c r="AI27" s="12">
        <v>0</v>
      </c>
      <c r="AJ27" s="12">
        <v>0</v>
      </c>
      <c r="AK27" s="12">
        <v>0</v>
      </c>
      <c r="AL27" s="12">
        <v>0</v>
      </c>
      <c r="AM27" s="3">
        <f t="shared" si="6"/>
        <v>0</v>
      </c>
    </row>
    <row r="28" spans="1:42" x14ac:dyDescent="0.25">
      <c r="A28" t="s">
        <v>20</v>
      </c>
      <c r="B28" s="5"/>
      <c r="C28" s="9"/>
      <c r="D28" s="11">
        <v>0</v>
      </c>
      <c r="E28" s="7">
        <v>2</v>
      </c>
      <c r="F28" s="11">
        <v>2</v>
      </c>
      <c r="G28" s="7">
        <v>2</v>
      </c>
      <c r="H28" s="11">
        <v>2</v>
      </c>
      <c r="I28" s="7">
        <v>2</v>
      </c>
      <c r="J28" s="11">
        <v>2</v>
      </c>
      <c r="K28" s="8"/>
      <c r="L28" s="1">
        <v>0</v>
      </c>
      <c r="M28" s="1">
        <v>0</v>
      </c>
      <c r="N28" s="1">
        <v>0</v>
      </c>
      <c r="O28" s="12">
        <v>0</v>
      </c>
      <c r="P28" s="12">
        <v>0</v>
      </c>
      <c r="Q28" s="12">
        <v>0</v>
      </c>
      <c r="R28" s="12">
        <v>0</v>
      </c>
      <c r="S28" s="3">
        <f t="shared" si="4"/>
        <v>0</v>
      </c>
      <c r="U28" t="s">
        <v>20</v>
      </c>
      <c r="V28" s="5"/>
      <c r="W28" s="9"/>
      <c r="X28" s="11">
        <v>0</v>
      </c>
      <c r="Y28" s="7">
        <v>2</v>
      </c>
      <c r="Z28" s="11">
        <v>2</v>
      </c>
      <c r="AA28" s="7">
        <v>2</v>
      </c>
      <c r="AB28" s="11">
        <v>2</v>
      </c>
      <c r="AC28" s="7">
        <v>2</v>
      </c>
      <c r="AD28" s="11">
        <v>2</v>
      </c>
      <c r="AE28" s="8"/>
      <c r="AF28" s="1">
        <v>0</v>
      </c>
      <c r="AG28" s="1">
        <v>0</v>
      </c>
      <c r="AH28" s="1">
        <v>0</v>
      </c>
      <c r="AI28" s="12">
        <v>0</v>
      </c>
      <c r="AJ28" s="12">
        <v>0</v>
      </c>
      <c r="AK28" s="12">
        <v>0</v>
      </c>
      <c r="AL28" s="12">
        <v>0</v>
      </c>
      <c r="AM28" s="3">
        <f t="shared" si="6"/>
        <v>0</v>
      </c>
    </row>
    <row r="29" spans="1:42" x14ac:dyDescent="0.25">
      <c r="A29" t="s">
        <v>21</v>
      </c>
      <c r="B29" s="5"/>
      <c r="C29" s="9"/>
      <c r="D29" s="11">
        <v>0</v>
      </c>
      <c r="E29" s="7">
        <v>2</v>
      </c>
      <c r="F29" s="11">
        <v>2</v>
      </c>
      <c r="G29" s="7">
        <v>2</v>
      </c>
      <c r="H29" s="11">
        <v>2</v>
      </c>
      <c r="I29" s="7">
        <v>2</v>
      </c>
      <c r="J29" s="11">
        <v>2</v>
      </c>
      <c r="K29" s="8"/>
      <c r="L29" s="1">
        <v>0</v>
      </c>
      <c r="M29" s="1">
        <v>0</v>
      </c>
      <c r="N29" s="1">
        <v>0</v>
      </c>
      <c r="O29" s="12">
        <v>0</v>
      </c>
      <c r="P29" s="12">
        <v>0</v>
      </c>
      <c r="Q29" s="12">
        <v>0</v>
      </c>
      <c r="R29" s="12">
        <v>0</v>
      </c>
      <c r="S29" s="3">
        <f t="shared" si="4"/>
        <v>0</v>
      </c>
      <c r="U29" t="s">
        <v>21</v>
      </c>
      <c r="V29" s="5"/>
      <c r="W29" s="9"/>
      <c r="X29" s="11">
        <v>0</v>
      </c>
      <c r="Y29" s="7">
        <v>2</v>
      </c>
      <c r="Z29" s="11">
        <v>2</v>
      </c>
      <c r="AA29" s="7">
        <v>2</v>
      </c>
      <c r="AB29" s="11">
        <v>2</v>
      </c>
      <c r="AC29" s="7">
        <v>2</v>
      </c>
      <c r="AD29" s="11">
        <v>2</v>
      </c>
      <c r="AE29" s="8"/>
      <c r="AF29" s="1">
        <v>0</v>
      </c>
      <c r="AG29" s="1">
        <v>0</v>
      </c>
      <c r="AH29" s="1">
        <v>0</v>
      </c>
      <c r="AI29" s="12">
        <v>0</v>
      </c>
      <c r="AJ29" s="12">
        <v>0</v>
      </c>
      <c r="AK29" s="12">
        <v>0</v>
      </c>
      <c r="AL29" s="12">
        <v>0</v>
      </c>
      <c r="AM29" s="3">
        <f t="shared" si="6"/>
        <v>0</v>
      </c>
    </row>
    <row r="30" spans="1:42" x14ac:dyDescent="0.25">
      <c r="A30" t="s">
        <v>21</v>
      </c>
      <c r="B30" s="5"/>
      <c r="C30" s="9"/>
      <c r="D30" s="11">
        <v>0</v>
      </c>
      <c r="E30" s="7">
        <v>2</v>
      </c>
      <c r="F30" s="11">
        <v>2</v>
      </c>
      <c r="G30" s="7">
        <v>2</v>
      </c>
      <c r="H30" s="11">
        <v>2</v>
      </c>
      <c r="I30" s="7">
        <v>2</v>
      </c>
      <c r="J30" s="11">
        <v>2</v>
      </c>
      <c r="K30" s="8"/>
      <c r="L30" s="1">
        <v>0</v>
      </c>
      <c r="M30" s="1">
        <v>0</v>
      </c>
      <c r="N30" s="1">
        <v>0</v>
      </c>
      <c r="O30" s="12">
        <v>0</v>
      </c>
      <c r="P30" s="12">
        <v>0</v>
      </c>
      <c r="Q30" s="12">
        <v>0</v>
      </c>
      <c r="R30" s="12">
        <v>0</v>
      </c>
      <c r="S30" s="3">
        <f t="shared" si="4"/>
        <v>0</v>
      </c>
      <c r="U30" t="s">
        <v>21</v>
      </c>
      <c r="V30" s="5"/>
      <c r="W30" s="9"/>
      <c r="X30" s="11">
        <v>0</v>
      </c>
      <c r="Y30" s="7">
        <v>2</v>
      </c>
      <c r="Z30" s="11">
        <v>2</v>
      </c>
      <c r="AA30" s="7">
        <v>2</v>
      </c>
      <c r="AB30" s="11">
        <v>2</v>
      </c>
      <c r="AC30" s="7">
        <v>2</v>
      </c>
      <c r="AD30" s="11">
        <v>2</v>
      </c>
      <c r="AE30" s="8"/>
      <c r="AF30" s="1">
        <v>0</v>
      </c>
      <c r="AG30" s="1">
        <v>0</v>
      </c>
      <c r="AH30" s="1">
        <v>0</v>
      </c>
      <c r="AI30" s="12">
        <v>0</v>
      </c>
      <c r="AJ30" s="12">
        <v>0</v>
      </c>
      <c r="AK30" s="12">
        <v>0</v>
      </c>
      <c r="AL30" s="12">
        <v>0</v>
      </c>
      <c r="AM30" s="3">
        <f t="shared" si="6"/>
        <v>0</v>
      </c>
    </row>
    <row r="31" spans="1:42" x14ac:dyDescent="0.25">
      <c r="A31" t="s">
        <v>23</v>
      </c>
      <c r="B31" s="5"/>
      <c r="C31" s="9" t="s">
        <v>76</v>
      </c>
      <c r="D31" s="11">
        <v>0</v>
      </c>
      <c r="E31" s="7">
        <v>2</v>
      </c>
      <c r="F31" s="11">
        <v>2</v>
      </c>
      <c r="G31" s="7">
        <v>5</v>
      </c>
      <c r="H31" s="11">
        <v>9</v>
      </c>
      <c r="I31" s="7">
        <v>7</v>
      </c>
      <c r="J31" s="11">
        <v>2</v>
      </c>
      <c r="K31" s="8">
        <f>1810+245+150</f>
        <v>2205</v>
      </c>
      <c r="L31" s="1">
        <v>0</v>
      </c>
      <c r="M31" s="1">
        <v>0</v>
      </c>
      <c r="N31" s="1">
        <v>0</v>
      </c>
      <c r="O31" s="12">
        <v>5.5</v>
      </c>
      <c r="P31" s="12">
        <v>23</v>
      </c>
      <c r="Q31" s="12">
        <v>16</v>
      </c>
      <c r="R31" s="12">
        <v>0</v>
      </c>
      <c r="S31" s="3">
        <f t="shared" si="4"/>
        <v>44.5</v>
      </c>
      <c r="U31" t="s">
        <v>23</v>
      </c>
      <c r="V31" s="5"/>
      <c r="W31" s="9" t="s">
        <v>76</v>
      </c>
      <c r="X31" s="11">
        <v>0</v>
      </c>
      <c r="Y31" s="7">
        <v>2</v>
      </c>
      <c r="Z31" s="11">
        <v>2</v>
      </c>
      <c r="AA31" s="7">
        <v>12</v>
      </c>
      <c r="AB31" s="11">
        <v>9</v>
      </c>
      <c r="AC31" s="7">
        <v>7</v>
      </c>
      <c r="AD31" s="11">
        <v>2</v>
      </c>
      <c r="AE31" s="8">
        <f>145+245+4470</f>
        <v>4860</v>
      </c>
      <c r="AF31" s="1">
        <v>0</v>
      </c>
      <c r="AG31" s="1">
        <v>0</v>
      </c>
      <c r="AH31" s="1">
        <v>0</v>
      </c>
      <c r="AI31" s="12">
        <v>33</v>
      </c>
      <c r="AJ31" s="12">
        <v>23</v>
      </c>
      <c r="AK31" s="12">
        <v>16</v>
      </c>
      <c r="AL31" s="12">
        <v>0</v>
      </c>
      <c r="AM31" s="3">
        <f t="shared" si="6"/>
        <v>72</v>
      </c>
    </row>
    <row r="32" spans="1:42" x14ac:dyDescent="0.25">
      <c r="A32" t="s">
        <v>24</v>
      </c>
      <c r="B32" s="5"/>
      <c r="C32" s="9" t="s">
        <v>80</v>
      </c>
      <c r="D32" s="11">
        <v>0</v>
      </c>
      <c r="E32" s="7">
        <v>2</v>
      </c>
      <c r="F32" s="11">
        <v>2</v>
      </c>
      <c r="G32" s="7">
        <v>5</v>
      </c>
      <c r="H32" s="11">
        <v>9</v>
      </c>
      <c r="I32" s="7">
        <v>7</v>
      </c>
      <c r="J32" s="11">
        <v>2</v>
      </c>
      <c r="K32" s="8">
        <f>1810+245+150</f>
        <v>2205</v>
      </c>
      <c r="L32" s="1">
        <v>0</v>
      </c>
      <c r="M32" s="1">
        <v>0</v>
      </c>
      <c r="N32" s="1">
        <v>0</v>
      </c>
      <c r="O32" s="12">
        <v>5.5</v>
      </c>
      <c r="P32" s="12">
        <v>23</v>
      </c>
      <c r="Q32" s="12">
        <v>16</v>
      </c>
      <c r="R32" s="12">
        <v>0</v>
      </c>
      <c r="S32" s="3">
        <f>SUM(L32:R32)</f>
        <v>44.5</v>
      </c>
      <c r="U32" t="s">
        <v>24</v>
      </c>
      <c r="V32" s="5"/>
      <c r="W32" s="9" t="s">
        <v>80</v>
      </c>
      <c r="X32" s="11">
        <v>0</v>
      </c>
      <c r="Y32" s="7">
        <v>2</v>
      </c>
      <c r="Z32" s="11">
        <v>2</v>
      </c>
      <c r="AA32" s="7">
        <v>12</v>
      </c>
      <c r="AB32" s="11">
        <v>9</v>
      </c>
      <c r="AC32" s="7">
        <v>7</v>
      </c>
      <c r="AD32" s="11">
        <v>2</v>
      </c>
      <c r="AE32" s="8">
        <f>145+245+4470</f>
        <v>4860</v>
      </c>
      <c r="AF32" s="1">
        <v>0</v>
      </c>
      <c r="AG32" s="1">
        <v>0</v>
      </c>
      <c r="AH32" s="1">
        <v>0</v>
      </c>
      <c r="AI32" s="12">
        <v>33</v>
      </c>
      <c r="AJ32" s="12">
        <v>23</v>
      </c>
      <c r="AK32" s="12">
        <v>16</v>
      </c>
      <c r="AL32" s="12">
        <v>0</v>
      </c>
      <c r="AM32" s="3">
        <f>SUM(AF32:AL32)</f>
        <v>72</v>
      </c>
    </row>
    <row r="33" spans="1:42" x14ac:dyDescent="0.25">
      <c r="A33" t="s">
        <v>26</v>
      </c>
      <c r="B33" s="5"/>
      <c r="C33" s="9" t="s">
        <v>80</v>
      </c>
      <c r="D33" s="11">
        <v>0</v>
      </c>
      <c r="E33" s="7">
        <v>2</v>
      </c>
      <c r="F33" s="11">
        <v>2</v>
      </c>
      <c r="G33" s="7">
        <v>5</v>
      </c>
      <c r="H33" s="11">
        <v>9</v>
      </c>
      <c r="I33" s="7">
        <v>7</v>
      </c>
      <c r="J33" s="11">
        <v>2</v>
      </c>
      <c r="K33" s="8">
        <f>1810+245+150</f>
        <v>2205</v>
      </c>
      <c r="L33" s="1">
        <v>0</v>
      </c>
      <c r="M33" s="1">
        <v>0</v>
      </c>
      <c r="N33" s="1">
        <v>0</v>
      </c>
      <c r="O33" s="12">
        <v>5.5</v>
      </c>
      <c r="P33" s="12">
        <v>23</v>
      </c>
      <c r="Q33" s="12">
        <v>16</v>
      </c>
      <c r="R33" s="12">
        <v>0</v>
      </c>
      <c r="S33" s="3">
        <f>SUM(L33:R33)</f>
        <v>44.5</v>
      </c>
      <c r="U33" t="s">
        <v>26</v>
      </c>
      <c r="V33" s="5"/>
      <c r="W33" s="9" t="s">
        <v>80</v>
      </c>
      <c r="X33" s="11">
        <v>0</v>
      </c>
      <c r="Y33" s="7">
        <v>2</v>
      </c>
      <c r="Z33" s="11">
        <v>2</v>
      </c>
      <c r="AA33" s="7">
        <v>12</v>
      </c>
      <c r="AB33" s="11">
        <v>9</v>
      </c>
      <c r="AC33" s="7">
        <v>7</v>
      </c>
      <c r="AD33" s="11">
        <v>2</v>
      </c>
      <c r="AE33" s="8">
        <f>145+245+4470</f>
        <v>4860</v>
      </c>
      <c r="AF33" s="1">
        <v>0</v>
      </c>
      <c r="AG33" s="1">
        <v>0</v>
      </c>
      <c r="AH33" s="1">
        <v>0</v>
      </c>
      <c r="AI33" s="12">
        <v>33</v>
      </c>
      <c r="AJ33" s="12">
        <v>23</v>
      </c>
      <c r="AK33" s="12">
        <v>16</v>
      </c>
      <c r="AL33" s="12">
        <v>0</v>
      </c>
      <c r="AM33" s="3">
        <f>SUM(AF33:AL33)</f>
        <v>72</v>
      </c>
    </row>
    <row r="34" spans="1:42" x14ac:dyDescent="0.25">
      <c r="A34" t="s">
        <v>27</v>
      </c>
      <c r="B34" s="5"/>
      <c r="C34" s="9"/>
      <c r="D34" s="11">
        <v>0</v>
      </c>
      <c r="E34" s="7">
        <v>2</v>
      </c>
      <c r="F34" s="11">
        <v>2</v>
      </c>
      <c r="G34" s="7">
        <v>2</v>
      </c>
      <c r="H34" s="11">
        <v>2</v>
      </c>
      <c r="I34" s="7">
        <v>2</v>
      </c>
      <c r="J34" s="11">
        <v>2</v>
      </c>
      <c r="K34" s="8"/>
      <c r="L34" s="1">
        <v>0</v>
      </c>
      <c r="M34" s="1">
        <v>0</v>
      </c>
      <c r="N34" s="1">
        <v>0</v>
      </c>
      <c r="O34" s="12">
        <v>0</v>
      </c>
      <c r="P34" s="12">
        <v>0</v>
      </c>
      <c r="Q34" s="12">
        <v>0</v>
      </c>
      <c r="R34" s="12">
        <v>0</v>
      </c>
      <c r="S34" s="3">
        <f t="shared" ref="S34:S36" si="7">SUM(L34:R34)</f>
        <v>0</v>
      </c>
      <c r="U34" t="s">
        <v>27</v>
      </c>
      <c r="V34" s="5"/>
      <c r="W34" s="9"/>
      <c r="X34" s="11">
        <v>0</v>
      </c>
      <c r="Y34" s="7">
        <v>2</v>
      </c>
      <c r="Z34" s="11">
        <v>2</v>
      </c>
      <c r="AA34" s="7">
        <v>2</v>
      </c>
      <c r="AB34" s="11">
        <v>2</v>
      </c>
      <c r="AC34" s="7">
        <v>2</v>
      </c>
      <c r="AD34" s="11">
        <v>2</v>
      </c>
      <c r="AE34" s="8"/>
      <c r="AF34" s="1">
        <v>0</v>
      </c>
      <c r="AG34" s="1">
        <v>0</v>
      </c>
      <c r="AH34" s="1">
        <v>0</v>
      </c>
      <c r="AI34" s="12">
        <v>0</v>
      </c>
      <c r="AJ34" s="12">
        <v>0</v>
      </c>
      <c r="AK34" s="12">
        <v>0</v>
      </c>
      <c r="AL34" s="12">
        <v>0</v>
      </c>
      <c r="AM34" s="3">
        <f t="shared" ref="AM34:AM36" si="8">SUM(AF34:AL34)</f>
        <v>0</v>
      </c>
    </row>
    <row r="35" spans="1:42" x14ac:dyDescent="0.25">
      <c r="A35" t="s">
        <v>28</v>
      </c>
      <c r="B35" s="5"/>
      <c r="C35" s="9"/>
      <c r="D35" s="11">
        <v>0</v>
      </c>
      <c r="E35" s="7">
        <v>2</v>
      </c>
      <c r="F35" s="11">
        <v>2</v>
      </c>
      <c r="G35" s="7">
        <v>2</v>
      </c>
      <c r="H35" s="11">
        <v>2</v>
      </c>
      <c r="I35" s="7">
        <v>2</v>
      </c>
      <c r="J35" s="11">
        <v>2</v>
      </c>
      <c r="K35" s="8"/>
      <c r="L35" s="1">
        <v>0</v>
      </c>
      <c r="M35" s="1">
        <v>0</v>
      </c>
      <c r="N35" s="1">
        <v>0</v>
      </c>
      <c r="O35" s="12">
        <v>0</v>
      </c>
      <c r="P35" s="12">
        <v>0</v>
      </c>
      <c r="Q35" s="12">
        <v>0</v>
      </c>
      <c r="R35" s="12">
        <v>0</v>
      </c>
      <c r="S35" s="3">
        <f t="shared" si="7"/>
        <v>0</v>
      </c>
      <c r="U35" t="s">
        <v>28</v>
      </c>
      <c r="V35" s="5"/>
      <c r="W35" s="9"/>
      <c r="X35" s="11">
        <v>0</v>
      </c>
      <c r="Y35" s="7">
        <v>2</v>
      </c>
      <c r="Z35" s="11">
        <v>2</v>
      </c>
      <c r="AA35" s="7">
        <v>2</v>
      </c>
      <c r="AB35" s="11">
        <v>2</v>
      </c>
      <c r="AC35" s="7">
        <v>2</v>
      </c>
      <c r="AD35" s="11">
        <v>2</v>
      </c>
      <c r="AE35" s="8"/>
      <c r="AF35" s="1">
        <v>0</v>
      </c>
      <c r="AG35" s="1">
        <v>0</v>
      </c>
      <c r="AH35" s="1">
        <v>0</v>
      </c>
      <c r="AI35" s="12">
        <v>0</v>
      </c>
      <c r="AJ35" s="12">
        <v>0</v>
      </c>
      <c r="AK35" s="12">
        <v>0</v>
      </c>
      <c r="AL35" s="12">
        <v>0</v>
      </c>
      <c r="AM35" s="3">
        <f t="shared" si="8"/>
        <v>0</v>
      </c>
    </row>
    <row r="36" spans="1:42" x14ac:dyDescent="0.25">
      <c r="A36" t="s">
        <v>56</v>
      </c>
      <c r="B36" s="5"/>
      <c r="C36" s="9"/>
      <c r="D36" s="11">
        <v>0</v>
      </c>
      <c r="E36" s="7">
        <v>2</v>
      </c>
      <c r="F36" s="11">
        <v>2</v>
      </c>
      <c r="G36" s="7">
        <v>2</v>
      </c>
      <c r="H36" s="11">
        <v>2</v>
      </c>
      <c r="I36" s="7">
        <v>2</v>
      </c>
      <c r="J36" s="11">
        <v>2</v>
      </c>
      <c r="K36" s="8"/>
      <c r="L36" s="1">
        <v>0</v>
      </c>
      <c r="M36" s="1">
        <v>0</v>
      </c>
      <c r="N36" s="1">
        <v>0</v>
      </c>
      <c r="O36" s="12">
        <v>0</v>
      </c>
      <c r="P36" s="12">
        <v>0</v>
      </c>
      <c r="Q36" s="12">
        <v>0</v>
      </c>
      <c r="R36" s="12">
        <v>0</v>
      </c>
      <c r="S36" s="3">
        <f t="shared" si="7"/>
        <v>0</v>
      </c>
      <c r="U36" t="s">
        <v>56</v>
      </c>
      <c r="V36" s="5"/>
      <c r="W36" s="9"/>
      <c r="X36" s="11">
        <v>0</v>
      </c>
      <c r="Y36" s="7">
        <v>2</v>
      </c>
      <c r="Z36" s="11">
        <v>2</v>
      </c>
      <c r="AA36" s="7">
        <v>2</v>
      </c>
      <c r="AB36" s="11">
        <v>2</v>
      </c>
      <c r="AC36" s="7">
        <v>2</v>
      </c>
      <c r="AD36" s="11">
        <v>2</v>
      </c>
      <c r="AE36" s="8"/>
      <c r="AF36" s="1">
        <v>0</v>
      </c>
      <c r="AG36" s="1">
        <v>0</v>
      </c>
      <c r="AH36" s="1">
        <v>0</v>
      </c>
      <c r="AI36" s="12">
        <v>0</v>
      </c>
      <c r="AJ36" s="12">
        <v>0</v>
      </c>
      <c r="AK36" s="12">
        <v>0</v>
      </c>
      <c r="AL36" s="12">
        <v>0</v>
      </c>
      <c r="AM36" s="3">
        <f t="shared" si="8"/>
        <v>0</v>
      </c>
    </row>
    <row r="37" spans="1:42" x14ac:dyDescent="0.25">
      <c r="K37" s="17">
        <f>SUM(K39:K53)</f>
        <v>34985</v>
      </c>
      <c r="AE37" s="17">
        <f>SUM(AE39:AE53)</f>
        <v>66725</v>
      </c>
    </row>
    <row r="38" spans="1:42" x14ac:dyDescent="0.25">
      <c r="A38" s="4" t="s">
        <v>1</v>
      </c>
      <c r="B38" s="4" t="s">
        <v>2</v>
      </c>
      <c r="C38" s="4" t="s">
        <v>3</v>
      </c>
      <c r="D38" s="4" t="s">
        <v>4</v>
      </c>
      <c r="E38" s="4" t="s">
        <v>5</v>
      </c>
      <c r="F38" s="4" t="s">
        <v>6</v>
      </c>
      <c r="G38" s="4" t="s">
        <v>7</v>
      </c>
      <c r="H38" s="4" t="s">
        <v>8</v>
      </c>
      <c r="I38" s="4" t="s">
        <v>9</v>
      </c>
      <c r="J38" s="4" t="s">
        <v>10</v>
      </c>
      <c r="K38" s="4" t="s">
        <v>11</v>
      </c>
      <c r="L38" s="4" t="s">
        <v>46</v>
      </c>
      <c r="M38" s="4" t="s">
        <v>47</v>
      </c>
      <c r="N38" s="4" t="s">
        <v>48</v>
      </c>
      <c r="O38" s="4" t="s">
        <v>49</v>
      </c>
      <c r="P38" s="4" t="s">
        <v>50</v>
      </c>
      <c r="Q38" s="4" t="s">
        <v>51</v>
      </c>
      <c r="R38" s="4" t="s">
        <v>52</v>
      </c>
      <c r="S38" s="4" t="s">
        <v>53</v>
      </c>
      <c r="U38" s="4" t="s">
        <v>1</v>
      </c>
      <c r="V38" s="4" t="s">
        <v>2</v>
      </c>
      <c r="W38" s="4" t="s">
        <v>3</v>
      </c>
      <c r="X38" s="4" t="s">
        <v>4</v>
      </c>
      <c r="Y38" s="4" t="s">
        <v>5</v>
      </c>
      <c r="Z38" s="4" t="s">
        <v>6</v>
      </c>
      <c r="AA38" s="4" t="s">
        <v>7</v>
      </c>
      <c r="AB38" s="4" t="s">
        <v>8</v>
      </c>
      <c r="AC38" s="4" t="s">
        <v>9</v>
      </c>
      <c r="AD38" s="4" t="s">
        <v>10</v>
      </c>
      <c r="AE38" s="4" t="s">
        <v>11</v>
      </c>
      <c r="AF38" s="4" t="s">
        <v>46</v>
      </c>
      <c r="AG38" s="4" t="s">
        <v>47</v>
      </c>
      <c r="AH38" s="4" t="s">
        <v>48</v>
      </c>
      <c r="AI38" s="4" t="s">
        <v>49</v>
      </c>
      <c r="AJ38" s="4" t="s">
        <v>50</v>
      </c>
      <c r="AK38" s="4" t="s">
        <v>51</v>
      </c>
      <c r="AL38" s="4" t="s">
        <v>52</v>
      </c>
      <c r="AM38" s="4" t="s">
        <v>53</v>
      </c>
    </row>
    <row r="39" spans="1:42" x14ac:dyDescent="0.25">
      <c r="A39" t="s">
        <v>12</v>
      </c>
      <c r="B39" s="5"/>
      <c r="C39" s="6"/>
      <c r="D39" s="11">
        <v>2</v>
      </c>
      <c r="E39" s="7">
        <v>2</v>
      </c>
      <c r="F39" s="11">
        <v>0</v>
      </c>
      <c r="G39" s="7">
        <v>0</v>
      </c>
      <c r="H39" s="11">
        <v>0</v>
      </c>
      <c r="I39" s="7">
        <v>0</v>
      </c>
      <c r="J39" s="11">
        <v>2</v>
      </c>
      <c r="K39" s="8"/>
      <c r="L39" s="1">
        <v>0</v>
      </c>
      <c r="M39" s="1">
        <v>0</v>
      </c>
      <c r="N39" s="1">
        <v>0</v>
      </c>
      <c r="O39" s="12">
        <v>0</v>
      </c>
      <c r="P39" s="12">
        <v>0</v>
      </c>
      <c r="Q39" s="12">
        <v>0</v>
      </c>
      <c r="R39" s="12">
        <v>0</v>
      </c>
      <c r="S39" s="3">
        <f>SUM(L39:R39)</f>
        <v>0</v>
      </c>
      <c r="U39" t="s">
        <v>12</v>
      </c>
      <c r="V39" s="5"/>
      <c r="W39" s="6"/>
      <c r="X39" s="11">
        <v>2</v>
      </c>
      <c r="Y39" s="7">
        <v>2</v>
      </c>
      <c r="Z39" s="11">
        <v>0</v>
      </c>
      <c r="AA39" s="7">
        <v>0</v>
      </c>
      <c r="AB39" s="11">
        <v>0</v>
      </c>
      <c r="AC39" s="7">
        <v>0</v>
      </c>
      <c r="AD39" s="11">
        <v>2</v>
      </c>
      <c r="AE39" s="8"/>
      <c r="AF39" s="1">
        <v>0</v>
      </c>
      <c r="AG39" s="1">
        <v>0</v>
      </c>
      <c r="AH39" s="1">
        <v>0</v>
      </c>
      <c r="AI39" s="12">
        <v>0</v>
      </c>
      <c r="AJ39" s="12">
        <v>0</v>
      </c>
      <c r="AK39" s="12">
        <v>0</v>
      </c>
      <c r="AL39" s="12">
        <v>0</v>
      </c>
      <c r="AM39" s="3">
        <f>SUM(AF39:AL39)</f>
        <v>0</v>
      </c>
    </row>
    <row r="40" spans="1:42" x14ac:dyDescent="0.25">
      <c r="A40" t="s">
        <v>14</v>
      </c>
      <c r="B40" s="5"/>
      <c r="C40" s="9" t="s">
        <v>81</v>
      </c>
      <c r="D40" s="11">
        <v>0</v>
      </c>
      <c r="E40" s="7">
        <v>5</v>
      </c>
      <c r="F40" s="11">
        <v>2</v>
      </c>
      <c r="G40" s="7">
        <v>12</v>
      </c>
      <c r="H40" s="11">
        <v>9</v>
      </c>
      <c r="I40" s="7">
        <v>2</v>
      </c>
      <c r="J40" s="11">
        <v>2</v>
      </c>
      <c r="K40" s="8">
        <f>145+150+4470</f>
        <v>4765</v>
      </c>
      <c r="L40" s="1">
        <v>0</v>
      </c>
      <c r="M40" s="1">
        <v>10</v>
      </c>
      <c r="N40" s="1">
        <v>0</v>
      </c>
      <c r="O40" s="12">
        <v>33</v>
      </c>
      <c r="P40" s="12">
        <v>23</v>
      </c>
      <c r="Q40" s="12">
        <v>0</v>
      </c>
      <c r="R40" s="12">
        <v>0</v>
      </c>
      <c r="S40" s="3">
        <f t="shared" ref="S40" si="9">SUM(L40:R40)</f>
        <v>66</v>
      </c>
      <c r="U40" t="s">
        <v>14</v>
      </c>
      <c r="V40" s="5"/>
      <c r="W40" s="9" t="s">
        <v>81</v>
      </c>
      <c r="X40" s="11">
        <v>0</v>
      </c>
      <c r="Y40" s="7">
        <f>9+6/7</f>
        <v>9.8571428571428577</v>
      </c>
      <c r="Z40" s="11">
        <v>2</v>
      </c>
      <c r="AA40" s="7">
        <v>12</v>
      </c>
      <c r="AB40" s="11">
        <v>9</v>
      </c>
      <c r="AC40" s="7">
        <v>2</v>
      </c>
      <c r="AD40" s="11">
        <v>2</v>
      </c>
      <c r="AE40" s="8">
        <f>145+1150+4470</f>
        <v>5765</v>
      </c>
      <c r="AF40" s="1">
        <v>0</v>
      </c>
      <c r="AG40" s="1">
        <v>36</v>
      </c>
      <c r="AH40" s="1">
        <v>0</v>
      </c>
      <c r="AI40" s="12">
        <v>33</v>
      </c>
      <c r="AJ40" s="12">
        <v>23</v>
      </c>
      <c r="AK40" s="12">
        <v>0</v>
      </c>
      <c r="AL40" s="12">
        <v>0</v>
      </c>
      <c r="AM40" s="3">
        <f t="shared" ref="AM40" si="10">SUM(AF40:AL40)</f>
        <v>92</v>
      </c>
    </row>
    <row r="41" spans="1:42" x14ac:dyDescent="0.25">
      <c r="A41" t="s">
        <v>15</v>
      </c>
      <c r="B41" s="5"/>
      <c r="C41" s="9"/>
      <c r="D41" s="11">
        <v>0</v>
      </c>
      <c r="E41" s="7">
        <v>9</v>
      </c>
      <c r="F41" s="11">
        <v>2</v>
      </c>
      <c r="G41" s="7">
        <v>5</v>
      </c>
      <c r="H41" s="11">
        <v>9</v>
      </c>
      <c r="I41" s="7">
        <v>2</v>
      </c>
      <c r="J41" s="11">
        <v>2</v>
      </c>
      <c r="K41" s="8">
        <f>2330+145+125</f>
        <v>2600</v>
      </c>
      <c r="L41" s="1">
        <v>0</v>
      </c>
      <c r="M41" s="1">
        <v>30</v>
      </c>
      <c r="N41" s="1">
        <v>0</v>
      </c>
      <c r="O41" s="12">
        <v>5.5</v>
      </c>
      <c r="P41" s="12">
        <v>23</v>
      </c>
      <c r="Q41" s="12">
        <v>0</v>
      </c>
      <c r="R41" s="12">
        <v>0</v>
      </c>
      <c r="S41" s="3">
        <f>SUM(L41:R41)</f>
        <v>58.5</v>
      </c>
      <c r="U41" t="s">
        <v>15</v>
      </c>
      <c r="V41" s="5"/>
      <c r="W41" s="9"/>
      <c r="X41" s="11">
        <v>0</v>
      </c>
      <c r="Y41" s="7">
        <v>12</v>
      </c>
      <c r="Z41" s="11">
        <v>2</v>
      </c>
      <c r="AA41" s="7">
        <v>5</v>
      </c>
      <c r="AB41" s="11">
        <v>9</v>
      </c>
      <c r="AC41" s="7">
        <v>2</v>
      </c>
      <c r="AD41" s="11">
        <v>2</v>
      </c>
      <c r="AE41" s="8">
        <f t="shared" ref="AE41:AE46" si="11">7010+195+125</f>
        <v>7330</v>
      </c>
      <c r="AF41" s="1">
        <v>0</v>
      </c>
      <c r="AG41" s="1">
        <v>56</v>
      </c>
      <c r="AH41" s="1">
        <v>0</v>
      </c>
      <c r="AI41" s="12">
        <v>5.5</v>
      </c>
      <c r="AJ41" s="12">
        <v>23</v>
      </c>
      <c r="AK41" s="12">
        <v>0</v>
      </c>
      <c r="AL41" s="12">
        <v>0</v>
      </c>
      <c r="AM41" s="3">
        <f>SUM(AF41:AL41)</f>
        <v>84.5</v>
      </c>
    </row>
    <row r="42" spans="1:42" x14ac:dyDescent="0.25">
      <c r="A42" t="s">
        <v>16</v>
      </c>
      <c r="B42" s="5"/>
      <c r="C42" s="9"/>
      <c r="D42" s="11">
        <v>0</v>
      </c>
      <c r="E42" s="7">
        <v>9</v>
      </c>
      <c r="F42" s="11">
        <v>2</v>
      </c>
      <c r="G42" s="7">
        <v>5</v>
      </c>
      <c r="H42" s="11">
        <v>9</v>
      </c>
      <c r="I42" s="7">
        <v>2</v>
      </c>
      <c r="J42" s="11">
        <v>2</v>
      </c>
      <c r="K42" s="8">
        <f>2330+145+125</f>
        <v>2600</v>
      </c>
      <c r="L42" s="1">
        <v>0</v>
      </c>
      <c r="M42" s="1">
        <v>30</v>
      </c>
      <c r="N42" s="1">
        <v>0</v>
      </c>
      <c r="O42" s="12">
        <v>5.5</v>
      </c>
      <c r="P42" s="12">
        <v>23</v>
      </c>
      <c r="Q42" s="12">
        <v>0</v>
      </c>
      <c r="R42" s="12">
        <v>0</v>
      </c>
      <c r="S42" s="3">
        <f>SUM(L42:R42)</f>
        <v>58.5</v>
      </c>
      <c r="U42" t="s">
        <v>16</v>
      </c>
      <c r="V42" s="5"/>
      <c r="W42" s="9"/>
      <c r="X42" s="11">
        <v>0</v>
      </c>
      <c r="Y42" s="7">
        <v>12</v>
      </c>
      <c r="Z42" s="11">
        <v>2</v>
      </c>
      <c r="AA42" s="7">
        <v>5</v>
      </c>
      <c r="AB42" s="11">
        <v>9</v>
      </c>
      <c r="AC42" s="7">
        <v>2</v>
      </c>
      <c r="AD42" s="11">
        <v>2</v>
      </c>
      <c r="AE42" s="8">
        <f t="shared" si="11"/>
        <v>7330</v>
      </c>
      <c r="AF42" s="1">
        <v>0</v>
      </c>
      <c r="AG42" s="1">
        <v>56</v>
      </c>
      <c r="AH42" s="1">
        <v>0</v>
      </c>
      <c r="AI42" s="12">
        <v>5.5</v>
      </c>
      <c r="AJ42" s="12">
        <v>23</v>
      </c>
      <c r="AK42" s="12">
        <v>0</v>
      </c>
      <c r="AL42" s="12">
        <v>0</v>
      </c>
      <c r="AM42" s="3">
        <f>SUM(AF42:AL42)</f>
        <v>84.5</v>
      </c>
      <c r="AO42" t="s">
        <v>78</v>
      </c>
      <c r="AP42" t="s">
        <v>79</v>
      </c>
    </row>
    <row r="43" spans="1:42" x14ac:dyDescent="0.25">
      <c r="A43" t="s">
        <v>17</v>
      </c>
      <c r="B43" s="5"/>
      <c r="C43" s="9"/>
      <c r="D43" s="11">
        <v>0</v>
      </c>
      <c r="E43" s="7">
        <v>9</v>
      </c>
      <c r="F43" s="11">
        <v>5</v>
      </c>
      <c r="G43" s="7">
        <v>0</v>
      </c>
      <c r="H43" s="11">
        <v>9</v>
      </c>
      <c r="I43" s="7">
        <v>2</v>
      </c>
      <c r="J43" s="11">
        <v>2</v>
      </c>
      <c r="K43" s="8">
        <f>2330+145+135</f>
        <v>2610</v>
      </c>
      <c r="L43" s="1">
        <v>0</v>
      </c>
      <c r="M43" s="1">
        <v>30</v>
      </c>
      <c r="N43" s="1">
        <v>9</v>
      </c>
      <c r="O43" s="12">
        <v>0</v>
      </c>
      <c r="P43" s="12">
        <v>23</v>
      </c>
      <c r="Q43" s="12">
        <v>0</v>
      </c>
      <c r="R43" s="12">
        <v>0</v>
      </c>
      <c r="S43" s="3">
        <f t="shared" ref="S43:S49" si="12">SUM(L43:R43)</f>
        <v>62</v>
      </c>
      <c r="U43" t="s">
        <v>17</v>
      </c>
      <c r="V43" s="5"/>
      <c r="W43" s="9"/>
      <c r="X43" s="11">
        <v>0</v>
      </c>
      <c r="Y43" s="7">
        <v>12</v>
      </c>
      <c r="Z43" s="11">
        <v>5</v>
      </c>
      <c r="AA43" s="7">
        <v>0</v>
      </c>
      <c r="AB43" s="11">
        <v>9</v>
      </c>
      <c r="AC43" s="7">
        <v>2</v>
      </c>
      <c r="AD43" s="11">
        <v>2</v>
      </c>
      <c r="AE43" s="8">
        <f t="shared" si="11"/>
        <v>7330</v>
      </c>
      <c r="AF43" s="1">
        <v>0</v>
      </c>
      <c r="AG43" s="1">
        <v>56</v>
      </c>
      <c r="AH43" s="1">
        <v>9</v>
      </c>
      <c r="AI43" s="12">
        <v>0</v>
      </c>
      <c r="AJ43" s="12">
        <v>23</v>
      </c>
      <c r="AK43" s="12">
        <v>0</v>
      </c>
      <c r="AL43" s="12">
        <v>0</v>
      </c>
      <c r="AM43" s="3">
        <f t="shared" ref="AM43:AM49" si="13">SUM(AF43:AL43)</f>
        <v>88</v>
      </c>
      <c r="AN43" s="18" t="s">
        <v>0</v>
      </c>
      <c r="AO43">
        <f>56-30</f>
        <v>26</v>
      </c>
      <c r="AP43" s="19">
        <f>AO43/16</f>
        <v>1.625</v>
      </c>
    </row>
    <row r="44" spans="1:42" x14ac:dyDescent="0.25">
      <c r="A44" t="s">
        <v>18</v>
      </c>
      <c r="B44" s="5"/>
      <c r="C44" s="9"/>
      <c r="D44" s="11">
        <v>0</v>
      </c>
      <c r="E44" s="7">
        <v>9</v>
      </c>
      <c r="F44" s="11">
        <v>5</v>
      </c>
      <c r="G44" s="7">
        <v>2</v>
      </c>
      <c r="H44" s="11">
        <v>9</v>
      </c>
      <c r="I44" s="7">
        <v>2</v>
      </c>
      <c r="J44" s="11">
        <v>2</v>
      </c>
      <c r="K44" s="8">
        <f>2330+145+135</f>
        <v>2610</v>
      </c>
      <c r="L44" s="1">
        <v>0</v>
      </c>
      <c r="M44" s="1">
        <v>30</v>
      </c>
      <c r="N44" s="1">
        <v>9</v>
      </c>
      <c r="O44" s="12">
        <v>0</v>
      </c>
      <c r="P44" s="12">
        <v>23</v>
      </c>
      <c r="Q44" s="12">
        <v>0</v>
      </c>
      <c r="R44" s="12">
        <v>0</v>
      </c>
      <c r="S44" s="3">
        <f t="shared" si="12"/>
        <v>62</v>
      </c>
      <c r="U44" t="s">
        <v>18</v>
      </c>
      <c r="V44" s="5"/>
      <c r="W44" s="9"/>
      <c r="X44" s="11">
        <v>0</v>
      </c>
      <c r="Y44" s="7">
        <v>12</v>
      </c>
      <c r="Z44" s="11">
        <v>5</v>
      </c>
      <c r="AA44" s="7">
        <v>2</v>
      </c>
      <c r="AB44" s="11">
        <v>9</v>
      </c>
      <c r="AC44" s="7">
        <v>2</v>
      </c>
      <c r="AD44" s="11">
        <v>2</v>
      </c>
      <c r="AE44" s="8">
        <f t="shared" si="11"/>
        <v>7330</v>
      </c>
      <c r="AF44" s="1">
        <v>0</v>
      </c>
      <c r="AG44" s="1">
        <v>56</v>
      </c>
      <c r="AH44" s="1">
        <v>9</v>
      </c>
      <c r="AI44" s="12">
        <v>0</v>
      </c>
      <c r="AJ44" s="12">
        <v>23</v>
      </c>
      <c r="AK44" s="12">
        <v>0</v>
      </c>
      <c r="AL44" s="12">
        <v>0</v>
      </c>
      <c r="AM44" s="3">
        <f t="shared" si="13"/>
        <v>88</v>
      </c>
    </row>
    <row r="45" spans="1:42" x14ac:dyDescent="0.25">
      <c r="A45" t="s">
        <v>19</v>
      </c>
      <c r="B45" s="5"/>
      <c r="C45" s="9"/>
      <c r="D45" s="11">
        <v>0</v>
      </c>
      <c r="E45" s="7">
        <v>9</v>
      </c>
      <c r="F45" s="11">
        <v>5</v>
      </c>
      <c r="G45" s="7">
        <v>2</v>
      </c>
      <c r="H45" s="11">
        <v>9</v>
      </c>
      <c r="I45" s="7">
        <v>2</v>
      </c>
      <c r="J45" s="11">
        <v>2</v>
      </c>
      <c r="K45" s="8">
        <f>2330+145+135</f>
        <v>2610</v>
      </c>
      <c r="L45" s="1">
        <v>0</v>
      </c>
      <c r="M45" s="1">
        <v>30</v>
      </c>
      <c r="N45" s="1">
        <v>9</v>
      </c>
      <c r="O45" s="12">
        <v>0</v>
      </c>
      <c r="P45" s="12">
        <v>23</v>
      </c>
      <c r="Q45" s="12">
        <v>0</v>
      </c>
      <c r="R45" s="12">
        <v>0</v>
      </c>
      <c r="S45" s="3">
        <f t="shared" si="12"/>
        <v>62</v>
      </c>
      <c r="U45" t="s">
        <v>19</v>
      </c>
      <c r="V45" s="5"/>
      <c r="W45" s="9"/>
      <c r="X45" s="11">
        <v>0</v>
      </c>
      <c r="Y45" s="7">
        <v>12</v>
      </c>
      <c r="Z45" s="11">
        <v>5</v>
      </c>
      <c r="AA45" s="7">
        <v>2</v>
      </c>
      <c r="AB45" s="11">
        <v>9</v>
      </c>
      <c r="AC45" s="7">
        <v>2</v>
      </c>
      <c r="AD45" s="11">
        <v>2</v>
      </c>
      <c r="AE45" s="8">
        <f t="shared" si="11"/>
        <v>7330</v>
      </c>
      <c r="AF45" s="1">
        <v>0</v>
      </c>
      <c r="AG45" s="1">
        <v>56</v>
      </c>
      <c r="AH45" s="1">
        <v>9</v>
      </c>
      <c r="AI45" s="12">
        <v>0</v>
      </c>
      <c r="AJ45" s="12">
        <v>23</v>
      </c>
      <c r="AK45" s="12">
        <v>0</v>
      </c>
      <c r="AL45" s="12">
        <v>0</v>
      </c>
      <c r="AM45" s="3">
        <f t="shared" si="13"/>
        <v>88</v>
      </c>
    </row>
    <row r="46" spans="1:42" x14ac:dyDescent="0.25">
      <c r="A46" t="s">
        <v>20</v>
      </c>
      <c r="B46" s="5"/>
      <c r="C46" s="9"/>
      <c r="D46" s="11">
        <v>0</v>
      </c>
      <c r="E46" s="7">
        <v>9</v>
      </c>
      <c r="F46" s="11">
        <v>5</v>
      </c>
      <c r="G46" s="7">
        <v>2</v>
      </c>
      <c r="H46" s="11">
        <v>9</v>
      </c>
      <c r="I46" s="7">
        <v>2</v>
      </c>
      <c r="J46" s="11">
        <v>2</v>
      </c>
      <c r="K46" s="8">
        <f>2330+145+135</f>
        <v>2610</v>
      </c>
      <c r="L46" s="1">
        <v>0</v>
      </c>
      <c r="M46" s="1">
        <v>30</v>
      </c>
      <c r="N46" s="1">
        <v>9</v>
      </c>
      <c r="O46" s="12">
        <v>0</v>
      </c>
      <c r="P46" s="12">
        <v>23</v>
      </c>
      <c r="Q46" s="12">
        <v>0</v>
      </c>
      <c r="R46" s="12">
        <v>0</v>
      </c>
      <c r="S46" s="3">
        <f t="shared" si="12"/>
        <v>62</v>
      </c>
      <c r="U46" t="s">
        <v>20</v>
      </c>
      <c r="V46" s="5"/>
      <c r="W46" s="9"/>
      <c r="X46" s="11">
        <v>0</v>
      </c>
      <c r="Y46" s="7">
        <v>12</v>
      </c>
      <c r="Z46" s="11">
        <v>5</v>
      </c>
      <c r="AA46" s="7">
        <v>2</v>
      </c>
      <c r="AB46" s="11">
        <v>9</v>
      </c>
      <c r="AC46" s="7">
        <v>2</v>
      </c>
      <c r="AD46" s="11">
        <v>2</v>
      </c>
      <c r="AE46" s="8">
        <f t="shared" si="11"/>
        <v>7330</v>
      </c>
      <c r="AF46" s="1">
        <v>0</v>
      </c>
      <c r="AG46" s="1">
        <v>56</v>
      </c>
      <c r="AH46" s="1">
        <v>9</v>
      </c>
      <c r="AI46" s="12">
        <v>0</v>
      </c>
      <c r="AJ46" s="12">
        <v>23</v>
      </c>
      <c r="AK46" s="12">
        <v>0</v>
      </c>
      <c r="AL46" s="12">
        <v>0</v>
      </c>
      <c r="AM46" s="3">
        <f t="shared" si="13"/>
        <v>88</v>
      </c>
    </row>
    <row r="47" spans="1:42" x14ac:dyDescent="0.25">
      <c r="A47" t="s">
        <v>21</v>
      </c>
      <c r="B47" s="5"/>
      <c r="C47" s="9"/>
      <c r="D47" s="11">
        <v>0</v>
      </c>
      <c r="E47" s="7">
        <v>2</v>
      </c>
      <c r="F47" s="11">
        <v>2</v>
      </c>
      <c r="G47" s="7">
        <v>2</v>
      </c>
      <c r="H47" s="11">
        <v>2</v>
      </c>
      <c r="I47" s="7">
        <v>2</v>
      </c>
      <c r="J47" s="11">
        <v>2</v>
      </c>
      <c r="K47" s="8"/>
      <c r="L47" s="1">
        <v>0</v>
      </c>
      <c r="M47" s="1">
        <v>0</v>
      </c>
      <c r="N47" s="1">
        <v>0</v>
      </c>
      <c r="O47" s="12">
        <v>0</v>
      </c>
      <c r="P47" s="12">
        <v>0</v>
      </c>
      <c r="Q47" s="12">
        <v>0</v>
      </c>
      <c r="R47" s="12">
        <v>0</v>
      </c>
      <c r="S47" s="3">
        <f t="shared" si="12"/>
        <v>0</v>
      </c>
      <c r="U47" t="s">
        <v>21</v>
      </c>
      <c r="V47" s="5"/>
      <c r="W47" s="9"/>
      <c r="X47" s="11">
        <v>0</v>
      </c>
      <c r="Y47" s="7">
        <v>2</v>
      </c>
      <c r="Z47" s="11">
        <v>2</v>
      </c>
      <c r="AA47" s="7">
        <v>2</v>
      </c>
      <c r="AB47" s="11">
        <v>2</v>
      </c>
      <c r="AC47" s="7">
        <v>2</v>
      </c>
      <c r="AD47" s="11">
        <v>2</v>
      </c>
      <c r="AE47" s="8"/>
      <c r="AF47" s="1">
        <v>0</v>
      </c>
      <c r="AG47" s="1">
        <v>0</v>
      </c>
      <c r="AH47" s="1">
        <v>0</v>
      </c>
      <c r="AI47" s="12">
        <v>0</v>
      </c>
      <c r="AJ47" s="12">
        <v>0</v>
      </c>
      <c r="AK47" s="12">
        <v>0</v>
      </c>
      <c r="AL47" s="12">
        <v>0</v>
      </c>
      <c r="AM47" s="3">
        <f t="shared" si="13"/>
        <v>0</v>
      </c>
    </row>
    <row r="48" spans="1:42" x14ac:dyDescent="0.25">
      <c r="A48" t="s">
        <v>21</v>
      </c>
      <c r="B48" s="5"/>
      <c r="C48" s="9"/>
      <c r="D48" s="11">
        <v>0</v>
      </c>
      <c r="E48" s="7">
        <v>2</v>
      </c>
      <c r="F48" s="11">
        <v>2</v>
      </c>
      <c r="G48" s="7">
        <v>2</v>
      </c>
      <c r="H48" s="11">
        <v>2</v>
      </c>
      <c r="I48" s="7">
        <v>2</v>
      </c>
      <c r="J48" s="11">
        <v>2</v>
      </c>
      <c r="K48" s="8"/>
      <c r="L48" s="1">
        <v>0</v>
      </c>
      <c r="M48" s="1">
        <v>0</v>
      </c>
      <c r="N48" s="1">
        <v>0</v>
      </c>
      <c r="O48" s="12">
        <v>0</v>
      </c>
      <c r="P48" s="12">
        <v>0</v>
      </c>
      <c r="Q48" s="12">
        <v>0</v>
      </c>
      <c r="R48" s="12">
        <v>0</v>
      </c>
      <c r="S48" s="3">
        <f t="shared" si="12"/>
        <v>0</v>
      </c>
      <c r="U48" t="s">
        <v>21</v>
      </c>
      <c r="V48" s="5"/>
      <c r="W48" s="9"/>
      <c r="X48" s="11">
        <v>0</v>
      </c>
      <c r="Y48" s="7">
        <v>2</v>
      </c>
      <c r="Z48" s="11">
        <v>2</v>
      </c>
      <c r="AA48" s="7">
        <v>2</v>
      </c>
      <c r="AB48" s="11">
        <v>2</v>
      </c>
      <c r="AC48" s="7">
        <v>2</v>
      </c>
      <c r="AD48" s="11">
        <v>2</v>
      </c>
      <c r="AE48" s="8"/>
      <c r="AF48" s="1">
        <v>0</v>
      </c>
      <c r="AG48" s="1">
        <v>0</v>
      </c>
      <c r="AH48" s="1">
        <v>0</v>
      </c>
      <c r="AI48" s="12">
        <v>0</v>
      </c>
      <c r="AJ48" s="12">
        <v>0</v>
      </c>
      <c r="AK48" s="12">
        <v>0</v>
      </c>
      <c r="AL48" s="12">
        <v>0</v>
      </c>
      <c r="AM48" s="3">
        <f t="shared" si="13"/>
        <v>0</v>
      </c>
    </row>
    <row r="49" spans="1:42" x14ac:dyDescent="0.25">
      <c r="A49" t="s">
        <v>23</v>
      </c>
      <c r="B49" s="5"/>
      <c r="C49" s="9" t="s">
        <v>76</v>
      </c>
      <c r="D49" s="11">
        <v>0</v>
      </c>
      <c r="E49" s="7">
        <v>2</v>
      </c>
      <c r="F49" s="11">
        <v>2</v>
      </c>
      <c r="G49" s="7">
        <v>12</v>
      </c>
      <c r="H49" s="11">
        <v>9</v>
      </c>
      <c r="I49" s="7">
        <v>7</v>
      </c>
      <c r="J49" s="11">
        <v>2</v>
      </c>
      <c r="K49" s="8">
        <f>145+245+4470</f>
        <v>4860</v>
      </c>
      <c r="L49" s="1">
        <v>0</v>
      </c>
      <c r="M49" s="1">
        <v>0</v>
      </c>
      <c r="N49" s="1">
        <v>0</v>
      </c>
      <c r="O49" s="12">
        <v>33</v>
      </c>
      <c r="P49" s="12">
        <v>23</v>
      </c>
      <c r="Q49" s="12">
        <v>16</v>
      </c>
      <c r="R49" s="12">
        <v>0</v>
      </c>
      <c r="S49" s="3">
        <f t="shared" si="12"/>
        <v>72</v>
      </c>
      <c r="U49" t="s">
        <v>23</v>
      </c>
      <c r="V49" s="5"/>
      <c r="W49" s="9" t="s">
        <v>76</v>
      </c>
      <c r="X49" s="11">
        <v>0</v>
      </c>
      <c r="Y49" s="7">
        <f>8+2/6</f>
        <v>8.3333333333333339</v>
      </c>
      <c r="Z49" s="11">
        <v>2</v>
      </c>
      <c r="AA49" s="7">
        <v>12</v>
      </c>
      <c r="AB49" s="11">
        <v>9</v>
      </c>
      <c r="AC49" s="7">
        <v>7</v>
      </c>
      <c r="AD49" s="11">
        <v>2</v>
      </c>
      <c r="AE49" s="8">
        <f>145+245+4470+800</f>
        <v>5660</v>
      </c>
      <c r="AF49" s="1">
        <v>0</v>
      </c>
      <c r="AG49" s="1">
        <v>26</v>
      </c>
      <c r="AH49" s="1">
        <v>0</v>
      </c>
      <c r="AI49" s="12">
        <v>33</v>
      </c>
      <c r="AJ49" s="12">
        <v>23</v>
      </c>
      <c r="AK49" s="12">
        <v>16</v>
      </c>
      <c r="AL49" s="12">
        <v>0</v>
      </c>
      <c r="AM49" s="3">
        <f t="shared" si="13"/>
        <v>98</v>
      </c>
    </row>
    <row r="50" spans="1:42" x14ac:dyDescent="0.25">
      <c r="A50" t="s">
        <v>24</v>
      </c>
      <c r="B50" s="5"/>
      <c r="C50" s="9" t="s">
        <v>80</v>
      </c>
      <c r="D50" s="11">
        <v>0</v>
      </c>
      <c r="E50" s="7">
        <v>2</v>
      </c>
      <c r="F50" s="11">
        <v>2</v>
      </c>
      <c r="G50" s="7">
        <v>12</v>
      </c>
      <c r="H50" s="11">
        <v>9</v>
      </c>
      <c r="I50" s="7">
        <v>7</v>
      </c>
      <c r="J50" s="11">
        <v>2</v>
      </c>
      <c r="K50" s="8">
        <f>145+245+4470</f>
        <v>4860</v>
      </c>
      <c r="L50" s="1">
        <v>0</v>
      </c>
      <c r="M50" s="1">
        <v>0</v>
      </c>
      <c r="N50" s="1">
        <v>0</v>
      </c>
      <c r="O50" s="12">
        <v>33</v>
      </c>
      <c r="P50" s="12">
        <v>23</v>
      </c>
      <c r="Q50" s="12">
        <v>16</v>
      </c>
      <c r="R50" s="12">
        <v>0</v>
      </c>
      <c r="S50" s="3">
        <f>SUM(L50:R50)</f>
        <v>72</v>
      </c>
      <c r="U50" t="s">
        <v>24</v>
      </c>
      <c r="V50" s="5"/>
      <c r="W50" s="9" t="s">
        <v>80</v>
      </c>
      <c r="X50" s="11">
        <v>0</v>
      </c>
      <c r="Y50" s="7">
        <f>8+2/6</f>
        <v>8.3333333333333339</v>
      </c>
      <c r="Z50" s="11">
        <v>2</v>
      </c>
      <c r="AA50" s="7">
        <v>12</v>
      </c>
      <c r="AB50" s="11">
        <v>9</v>
      </c>
      <c r="AC50" s="7">
        <v>7</v>
      </c>
      <c r="AD50" s="11">
        <v>2</v>
      </c>
      <c r="AE50" s="8">
        <f>145+245+4470+800</f>
        <v>5660</v>
      </c>
      <c r="AF50" s="1">
        <v>0</v>
      </c>
      <c r="AG50" s="1">
        <v>26</v>
      </c>
      <c r="AH50" s="1">
        <v>0</v>
      </c>
      <c r="AI50" s="12">
        <v>33</v>
      </c>
      <c r="AJ50" s="12">
        <v>23</v>
      </c>
      <c r="AK50" s="12">
        <v>16</v>
      </c>
      <c r="AL50" s="12">
        <v>0</v>
      </c>
      <c r="AM50" s="3">
        <f>SUM(AF50:AL50)</f>
        <v>98</v>
      </c>
    </row>
    <row r="51" spans="1:42" x14ac:dyDescent="0.25">
      <c r="A51" t="s">
        <v>26</v>
      </c>
      <c r="B51" s="5"/>
      <c r="C51" s="9" t="s">
        <v>80</v>
      </c>
      <c r="D51" s="11">
        <v>0</v>
      </c>
      <c r="E51" s="7">
        <v>2</v>
      </c>
      <c r="F51" s="11">
        <v>2</v>
      </c>
      <c r="G51" s="7">
        <v>12</v>
      </c>
      <c r="H51" s="11">
        <v>9</v>
      </c>
      <c r="I51" s="7">
        <v>7</v>
      </c>
      <c r="J51" s="11">
        <v>2</v>
      </c>
      <c r="K51" s="8">
        <f>145+245+4470</f>
        <v>4860</v>
      </c>
      <c r="L51" s="1">
        <v>0</v>
      </c>
      <c r="M51" s="1">
        <v>0</v>
      </c>
      <c r="N51" s="1">
        <v>0</v>
      </c>
      <c r="O51" s="12">
        <v>33</v>
      </c>
      <c r="P51" s="12">
        <v>23</v>
      </c>
      <c r="Q51" s="12">
        <v>16</v>
      </c>
      <c r="R51" s="12">
        <v>0</v>
      </c>
      <c r="S51" s="3">
        <f>SUM(L51:R51)</f>
        <v>72</v>
      </c>
      <c r="U51" t="s">
        <v>26</v>
      </c>
      <c r="V51" s="5"/>
      <c r="W51" s="9" t="s">
        <v>80</v>
      </c>
      <c r="X51" s="11">
        <v>0</v>
      </c>
      <c r="Y51" s="7">
        <f>8+2/6</f>
        <v>8.3333333333333339</v>
      </c>
      <c r="Z51" s="11">
        <v>2</v>
      </c>
      <c r="AA51" s="7">
        <v>12</v>
      </c>
      <c r="AB51" s="11">
        <v>9</v>
      </c>
      <c r="AC51" s="7">
        <v>7</v>
      </c>
      <c r="AD51" s="11">
        <v>2</v>
      </c>
      <c r="AE51" s="8">
        <f>145+245+4470+800</f>
        <v>5660</v>
      </c>
      <c r="AF51" s="1">
        <v>0</v>
      </c>
      <c r="AG51" s="1">
        <v>26</v>
      </c>
      <c r="AH51" s="1">
        <v>0</v>
      </c>
      <c r="AI51" s="12">
        <v>33</v>
      </c>
      <c r="AJ51" s="12">
        <v>23</v>
      </c>
      <c r="AK51" s="12">
        <v>16</v>
      </c>
      <c r="AL51" s="12">
        <v>0</v>
      </c>
      <c r="AM51" s="3">
        <f>SUM(AF51:AL51)</f>
        <v>98</v>
      </c>
    </row>
    <row r="52" spans="1:42" x14ac:dyDescent="0.25">
      <c r="A52" t="s">
        <v>27</v>
      </c>
      <c r="B52" s="5"/>
      <c r="C52" s="9"/>
      <c r="D52" s="11">
        <v>0</v>
      </c>
      <c r="E52" s="7">
        <v>2</v>
      </c>
      <c r="F52" s="11">
        <v>2</v>
      </c>
      <c r="G52" s="7">
        <v>2</v>
      </c>
      <c r="H52" s="11">
        <v>2</v>
      </c>
      <c r="I52" s="7">
        <v>2</v>
      </c>
      <c r="J52" s="11">
        <v>2</v>
      </c>
      <c r="K52" s="8"/>
      <c r="L52" s="1">
        <v>0</v>
      </c>
      <c r="M52" s="1">
        <v>0</v>
      </c>
      <c r="N52" s="1">
        <v>0</v>
      </c>
      <c r="O52" s="12">
        <v>0</v>
      </c>
      <c r="P52" s="12">
        <v>0</v>
      </c>
      <c r="Q52" s="12">
        <v>0</v>
      </c>
      <c r="R52" s="12">
        <v>0</v>
      </c>
      <c r="S52" s="3">
        <f t="shared" ref="S52:S54" si="14">SUM(L52:R52)</f>
        <v>0</v>
      </c>
      <c r="U52" t="s">
        <v>27</v>
      </c>
      <c r="V52" s="5"/>
      <c r="W52" s="9"/>
      <c r="X52" s="11">
        <v>0</v>
      </c>
      <c r="Y52" s="7">
        <v>2</v>
      </c>
      <c r="Z52" s="11">
        <v>2</v>
      </c>
      <c r="AA52" s="7">
        <v>2</v>
      </c>
      <c r="AB52" s="11">
        <v>2</v>
      </c>
      <c r="AC52" s="7">
        <v>2</v>
      </c>
      <c r="AD52" s="11">
        <v>2</v>
      </c>
      <c r="AE52" s="8"/>
      <c r="AF52" s="1">
        <v>0</v>
      </c>
      <c r="AG52" s="1">
        <v>0</v>
      </c>
      <c r="AH52" s="1">
        <v>0</v>
      </c>
      <c r="AI52" s="12">
        <v>0</v>
      </c>
      <c r="AJ52" s="12">
        <v>0</v>
      </c>
      <c r="AK52" s="12">
        <v>0</v>
      </c>
      <c r="AL52" s="12">
        <v>0</v>
      </c>
      <c r="AM52" s="3">
        <f t="shared" ref="AM52:AM54" si="15">SUM(AF52:AL52)</f>
        <v>0</v>
      </c>
    </row>
    <row r="53" spans="1:42" x14ac:dyDescent="0.25">
      <c r="A53" t="s">
        <v>28</v>
      </c>
      <c r="B53" s="5"/>
      <c r="C53" s="9"/>
      <c r="D53" s="11">
        <v>0</v>
      </c>
      <c r="E53" s="7">
        <v>2</v>
      </c>
      <c r="F53" s="11">
        <v>2</v>
      </c>
      <c r="G53" s="7">
        <v>2</v>
      </c>
      <c r="H53" s="11">
        <v>2</v>
      </c>
      <c r="I53" s="7">
        <v>2</v>
      </c>
      <c r="J53" s="11">
        <v>2</v>
      </c>
      <c r="K53" s="8"/>
      <c r="L53" s="1">
        <v>0</v>
      </c>
      <c r="M53" s="1">
        <v>0</v>
      </c>
      <c r="N53" s="1">
        <v>0</v>
      </c>
      <c r="O53" s="12">
        <v>0</v>
      </c>
      <c r="P53" s="12">
        <v>0</v>
      </c>
      <c r="Q53" s="12">
        <v>0</v>
      </c>
      <c r="R53" s="12">
        <v>0</v>
      </c>
      <c r="S53" s="3">
        <f t="shared" si="14"/>
        <v>0</v>
      </c>
      <c r="U53" t="s">
        <v>28</v>
      </c>
      <c r="V53" s="5"/>
      <c r="W53" s="9"/>
      <c r="X53" s="11">
        <v>0</v>
      </c>
      <c r="Y53" s="7">
        <v>2</v>
      </c>
      <c r="Z53" s="11">
        <v>2</v>
      </c>
      <c r="AA53" s="7">
        <v>2</v>
      </c>
      <c r="AB53" s="11">
        <v>2</v>
      </c>
      <c r="AC53" s="7">
        <v>2</v>
      </c>
      <c r="AD53" s="11">
        <v>2</v>
      </c>
      <c r="AE53" s="8"/>
      <c r="AF53" s="1">
        <v>0</v>
      </c>
      <c r="AG53" s="1">
        <v>0</v>
      </c>
      <c r="AH53" s="1">
        <v>0</v>
      </c>
      <c r="AI53" s="12">
        <v>0</v>
      </c>
      <c r="AJ53" s="12">
        <v>0</v>
      </c>
      <c r="AK53" s="12">
        <v>0</v>
      </c>
      <c r="AL53" s="12">
        <v>0</v>
      </c>
      <c r="AM53" s="3">
        <f t="shared" si="15"/>
        <v>0</v>
      </c>
    </row>
    <row r="54" spans="1:42" x14ac:dyDescent="0.25">
      <c r="A54" t="s">
        <v>56</v>
      </c>
      <c r="B54" s="5"/>
      <c r="C54" s="9"/>
      <c r="D54" s="11">
        <v>0</v>
      </c>
      <c r="E54" s="7">
        <v>2</v>
      </c>
      <c r="F54" s="11">
        <v>2</v>
      </c>
      <c r="G54" s="7">
        <v>2</v>
      </c>
      <c r="H54" s="11">
        <v>2</v>
      </c>
      <c r="I54" s="7">
        <v>2</v>
      </c>
      <c r="J54" s="11">
        <v>2</v>
      </c>
      <c r="K54" s="8"/>
      <c r="L54" s="1">
        <v>0</v>
      </c>
      <c r="M54" s="1">
        <v>0</v>
      </c>
      <c r="N54" s="1">
        <v>0</v>
      </c>
      <c r="O54" s="12">
        <v>0</v>
      </c>
      <c r="P54" s="12">
        <v>0</v>
      </c>
      <c r="Q54" s="12">
        <v>0</v>
      </c>
      <c r="R54" s="12">
        <v>0</v>
      </c>
      <c r="S54" s="3">
        <f t="shared" si="14"/>
        <v>0</v>
      </c>
      <c r="U54" t="s">
        <v>56</v>
      </c>
      <c r="V54" s="5"/>
      <c r="W54" s="9"/>
      <c r="X54" s="11">
        <v>0</v>
      </c>
      <c r="Y54" s="7">
        <v>2</v>
      </c>
      <c r="Z54" s="11">
        <v>2</v>
      </c>
      <c r="AA54" s="7">
        <v>2</v>
      </c>
      <c r="AB54" s="11">
        <v>2</v>
      </c>
      <c r="AC54" s="7">
        <v>2</v>
      </c>
      <c r="AD54" s="11">
        <v>2</v>
      </c>
      <c r="AE54" s="8"/>
      <c r="AF54" s="1">
        <v>0</v>
      </c>
      <c r="AG54" s="1">
        <v>0</v>
      </c>
      <c r="AH54" s="1">
        <v>0</v>
      </c>
      <c r="AI54" s="12">
        <v>0</v>
      </c>
      <c r="AJ54" s="12">
        <v>0</v>
      </c>
      <c r="AK54" s="12">
        <v>0</v>
      </c>
      <c r="AL54" s="12">
        <v>0</v>
      </c>
      <c r="AM54" s="3">
        <f t="shared" si="15"/>
        <v>0</v>
      </c>
    </row>
    <row r="55" spans="1:42" x14ac:dyDescent="0.25">
      <c r="K55" s="17">
        <f>SUM(K57:K71)</f>
        <v>155319.63999999998</v>
      </c>
      <c r="AE55" s="17">
        <f>SUM(AE57:AE71)</f>
        <v>158873.30499999999</v>
      </c>
    </row>
    <row r="56" spans="1:42" x14ac:dyDescent="0.25">
      <c r="A56" s="4" t="s">
        <v>1</v>
      </c>
      <c r="B56" s="4" t="s">
        <v>2</v>
      </c>
      <c r="C56" s="4" t="s">
        <v>3</v>
      </c>
      <c r="D56" s="4" t="s">
        <v>4</v>
      </c>
      <c r="E56" s="4" t="s">
        <v>5</v>
      </c>
      <c r="F56" s="4" t="s">
        <v>6</v>
      </c>
      <c r="G56" s="4" t="s">
        <v>7</v>
      </c>
      <c r="H56" s="4" t="s">
        <v>8</v>
      </c>
      <c r="I56" s="4" t="s">
        <v>9</v>
      </c>
      <c r="J56" s="4" t="s">
        <v>10</v>
      </c>
      <c r="K56" s="4" t="s">
        <v>11</v>
      </c>
      <c r="L56" s="4" t="s">
        <v>46</v>
      </c>
      <c r="M56" s="4" t="s">
        <v>47</v>
      </c>
      <c r="N56" s="4" t="s">
        <v>48</v>
      </c>
      <c r="O56" s="4" t="s">
        <v>49</v>
      </c>
      <c r="P56" s="4" t="s">
        <v>50</v>
      </c>
      <c r="Q56" s="4" t="s">
        <v>51</v>
      </c>
      <c r="R56" s="4" t="s">
        <v>52</v>
      </c>
      <c r="S56" s="4" t="s">
        <v>53</v>
      </c>
      <c r="U56" s="4" t="s">
        <v>1</v>
      </c>
      <c r="V56" s="4" t="s">
        <v>2</v>
      </c>
      <c r="W56" s="4" t="s">
        <v>3</v>
      </c>
      <c r="X56" s="4" t="s">
        <v>4</v>
      </c>
      <c r="Y56" s="4" t="s">
        <v>5</v>
      </c>
      <c r="Z56" s="4" t="s">
        <v>6</v>
      </c>
      <c r="AA56" s="4" t="s">
        <v>7</v>
      </c>
      <c r="AB56" s="4" t="s">
        <v>8</v>
      </c>
      <c r="AC56" s="4" t="s">
        <v>9</v>
      </c>
      <c r="AD56" s="4" t="s">
        <v>10</v>
      </c>
      <c r="AE56" s="4" t="s">
        <v>11</v>
      </c>
      <c r="AF56" s="4" t="s">
        <v>46</v>
      </c>
      <c r="AG56" s="4" t="s">
        <v>47</v>
      </c>
      <c r="AH56" s="4" t="s">
        <v>48</v>
      </c>
      <c r="AI56" s="4" t="s">
        <v>49</v>
      </c>
      <c r="AJ56" s="4" t="s">
        <v>50</v>
      </c>
      <c r="AK56" s="4" t="s">
        <v>51</v>
      </c>
      <c r="AL56" s="4" t="s">
        <v>52</v>
      </c>
      <c r="AM56" s="4" t="s">
        <v>53</v>
      </c>
    </row>
    <row r="57" spans="1:42" x14ac:dyDescent="0.25">
      <c r="A57" t="s">
        <v>12</v>
      </c>
      <c r="B57" s="5"/>
      <c r="C57" s="6"/>
      <c r="D57" s="11">
        <v>15</v>
      </c>
      <c r="E57" s="7">
        <v>5</v>
      </c>
      <c r="F57" s="11">
        <v>0</v>
      </c>
      <c r="G57" s="7">
        <v>0</v>
      </c>
      <c r="H57" s="11">
        <v>0</v>
      </c>
      <c r="I57" s="7">
        <v>0</v>
      </c>
      <c r="J57" s="11">
        <v>5</v>
      </c>
      <c r="K57" s="8">
        <f>(24270+135)*1.016</f>
        <v>24795.48</v>
      </c>
      <c r="L57" s="1">
        <v>52</v>
      </c>
      <c r="M57" s="1">
        <v>10</v>
      </c>
      <c r="N57" s="1">
        <v>0</v>
      </c>
      <c r="O57" s="12">
        <v>0</v>
      </c>
      <c r="P57" s="12">
        <v>0</v>
      </c>
      <c r="Q57" s="12">
        <v>0</v>
      </c>
      <c r="R57" s="12">
        <v>3</v>
      </c>
      <c r="S57" s="3">
        <f>SUM(L57:R57)</f>
        <v>65</v>
      </c>
      <c r="U57" t="s">
        <v>12</v>
      </c>
      <c r="V57" s="5"/>
      <c r="W57" s="6"/>
      <c r="X57" s="11">
        <v>15</v>
      </c>
      <c r="Y57" s="7">
        <v>5</v>
      </c>
      <c r="Z57" s="11">
        <v>0</v>
      </c>
      <c r="AA57" s="7">
        <v>0</v>
      </c>
      <c r="AB57" s="11">
        <v>0</v>
      </c>
      <c r="AC57" s="7">
        <v>0</v>
      </c>
      <c r="AD57" s="11">
        <v>12.5</v>
      </c>
      <c r="AE57" s="8">
        <f>(24270+135)*1.035</f>
        <v>25259.174999999999</v>
      </c>
      <c r="AF57" s="1">
        <v>52</v>
      </c>
      <c r="AG57" s="1">
        <v>10</v>
      </c>
      <c r="AH57" s="1">
        <v>0</v>
      </c>
      <c r="AI57" s="12">
        <v>0</v>
      </c>
      <c r="AJ57" s="12">
        <v>0</v>
      </c>
      <c r="AK57" s="12">
        <v>0</v>
      </c>
      <c r="AL57" s="12">
        <v>13</v>
      </c>
      <c r="AM57" s="3">
        <f>SUM(AF57:AL57)</f>
        <v>75</v>
      </c>
    </row>
    <row r="58" spans="1:42" x14ac:dyDescent="0.25">
      <c r="A58" t="s">
        <v>14</v>
      </c>
      <c r="B58" s="5"/>
      <c r="C58" s="9" t="s">
        <v>81</v>
      </c>
      <c r="D58" s="11">
        <v>0</v>
      </c>
      <c r="E58" s="7">
        <f>9+6/7</f>
        <v>9.8571428571428577</v>
      </c>
      <c r="F58" s="11">
        <v>2</v>
      </c>
      <c r="G58" s="7">
        <v>12</v>
      </c>
      <c r="H58" s="11">
        <v>9</v>
      </c>
      <c r="I58" s="7">
        <v>2</v>
      </c>
      <c r="J58" s="11">
        <v>2</v>
      </c>
      <c r="K58" s="8">
        <f>145+1150+4470</f>
        <v>5765</v>
      </c>
      <c r="L58" s="1">
        <v>0</v>
      </c>
      <c r="M58" s="1">
        <v>36</v>
      </c>
      <c r="N58" s="1">
        <v>0</v>
      </c>
      <c r="O58" s="12">
        <v>33</v>
      </c>
      <c r="P58" s="12">
        <v>23</v>
      </c>
      <c r="Q58" s="12">
        <v>0</v>
      </c>
      <c r="R58" s="12">
        <v>0</v>
      </c>
      <c r="S58" s="3">
        <f t="shared" ref="S58" si="16">SUM(L58:R58)</f>
        <v>92</v>
      </c>
      <c r="U58" t="s">
        <v>14</v>
      </c>
      <c r="V58" s="5"/>
      <c r="W58" s="9" t="s">
        <v>81</v>
      </c>
      <c r="X58" s="11">
        <v>0</v>
      </c>
      <c r="Y58" s="7">
        <f>9+6/7</f>
        <v>9.8571428571428577</v>
      </c>
      <c r="Z58" s="11">
        <v>2</v>
      </c>
      <c r="AA58" s="7">
        <v>12</v>
      </c>
      <c r="AB58" s="11">
        <v>9</v>
      </c>
      <c r="AC58" s="7">
        <v>2</v>
      </c>
      <c r="AD58" s="11">
        <v>11</v>
      </c>
      <c r="AE58" s="8">
        <f>(145+1150+4470)*1.032</f>
        <v>5949.4800000000005</v>
      </c>
      <c r="AF58" s="1">
        <v>0</v>
      </c>
      <c r="AG58" s="1">
        <v>36</v>
      </c>
      <c r="AH58" s="1">
        <v>0</v>
      </c>
      <c r="AI58" s="12">
        <v>33</v>
      </c>
      <c r="AJ58" s="12">
        <v>23</v>
      </c>
      <c r="AK58" s="12">
        <v>0</v>
      </c>
      <c r="AL58" s="12">
        <v>10</v>
      </c>
      <c r="AM58" s="3">
        <f t="shared" ref="AM58" si="17">SUM(AF58:AL58)</f>
        <v>102</v>
      </c>
    </row>
    <row r="59" spans="1:42" x14ac:dyDescent="0.25">
      <c r="A59" t="s">
        <v>15</v>
      </c>
      <c r="B59" s="5"/>
      <c r="C59" s="9" t="s">
        <v>81</v>
      </c>
      <c r="D59" s="11">
        <v>0</v>
      </c>
      <c r="E59" s="7">
        <v>12</v>
      </c>
      <c r="F59" s="11">
        <v>2</v>
      </c>
      <c r="G59" s="7">
        <v>5</v>
      </c>
      <c r="H59" s="11">
        <v>9</v>
      </c>
      <c r="I59" s="7">
        <v>2</v>
      </c>
      <c r="J59" s="11">
        <v>2</v>
      </c>
      <c r="K59" s="8">
        <f t="shared" ref="K59:K64" si="18">7010+195+125</f>
        <v>7330</v>
      </c>
      <c r="L59" s="1">
        <v>0</v>
      </c>
      <c r="M59" s="1">
        <v>56</v>
      </c>
      <c r="N59" s="1">
        <v>0</v>
      </c>
      <c r="O59" s="12">
        <v>5.5</v>
      </c>
      <c r="P59" s="12">
        <v>23</v>
      </c>
      <c r="Q59" s="12">
        <v>0</v>
      </c>
      <c r="R59" s="12">
        <v>0</v>
      </c>
      <c r="S59" s="3">
        <f>SUM(L59:R59)</f>
        <v>84.5</v>
      </c>
      <c r="U59" t="s">
        <v>15</v>
      </c>
      <c r="V59" s="5"/>
      <c r="W59" s="9" t="s">
        <v>81</v>
      </c>
      <c r="X59" s="11">
        <v>0</v>
      </c>
      <c r="Y59" s="7">
        <v>12</v>
      </c>
      <c r="Z59" s="11">
        <v>2</v>
      </c>
      <c r="AA59" s="7">
        <v>5</v>
      </c>
      <c r="AB59" s="11">
        <v>9</v>
      </c>
      <c r="AC59" s="7">
        <v>2</v>
      </c>
      <c r="AD59" s="11">
        <v>11</v>
      </c>
      <c r="AE59" s="8">
        <f t="shared" ref="AE59:AE64" si="19">(7010+195+125)*1.032</f>
        <v>7564.56</v>
      </c>
      <c r="AF59" s="1">
        <v>0</v>
      </c>
      <c r="AG59" s="1">
        <v>56</v>
      </c>
      <c r="AH59" s="1">
        <v>0</v>
      </c>
      <c r="AI59" s="12">
        <v>5.5</v>
      </c>
      <c r="AJ59" s="12">
        <v>23</v>
      </c>
      <c r="AK59" s="12">
        <v>0</v>
      </c>
      <c r="AL59" s="12">
        <v>10</v>
      </c>
      <c r="AM59" s="3">
        <f>SUM(AF59:AL59)</f>
        <v>94.5</v>
      </c>
    </row>
    <row r="60" spans="1:42" x14ac:dyDescent="0.25">
      <c r="A60" t="s">
        <v>16</v>
      </c>
      <c r="B60" s="5"/>
      <c r="C60" s="9" t="s">
        <v>81</v>
      </c>
      <c r="D60" s="11">
        <v>0</v>
      </c>
      <c r="E60" s="7">
        <v>12</v>
      </c>
      <c r="F60" s="11">
        <v>2</v>
      </c>
      <c r="G60" s="7">
        <v>5</v>
      </c>
      <c r="H60" s="11">
        <v>9</v>
      </c>
      <c r="I60" s="7">
        <v>2</v>
      </c>
      <c r="J60" s="11">
        <v>2</v>
      </c>
      <c r="K60" s="8">
        <f t="shared" si="18"/>
        <v>7330</v>
      </c>
      <c r="L60" s="1">
        <v>0</v>
      </c>
      <c r="M60" s="1">
        <v>56</v>
      </c>
      <c r="N60" s="1">
        <v>0</v>
      </c>
      <c r="O60" s="12">
        <v>5.5</v>
      </c>
      <c r="P60" s="12">
        <v>23</v>
      </c>
      <c r="Q60" s="12">
        <v>0</v>
      </c>
      <c r="R60" s="12">
        <v>0</v>
      </c>
      <c r="S60" s="3">
        <f>SUM(L60:R60)</f>
        <v>84.5</v>
      </c>
      <c r="U60" t="s">
        <v>16</v>
      </c>
      <c r="V60" s="5"/>
      <c r="W60" s="9" t="s">
        <v>81</v>
      </c>
      <c r="X60" s="11">
        <v>0</v>
      </c>
      <c r="Y60" s="7">
        <v>12</v>
      </c>
      <c r="Z60" s="11">
        <v>2</v>
      </c>
      <c r="AA60" s="7">
        <v>5</v>
      </c>
      <c r="AB60" s="11">
        <v>9</v>
      </c>
      <c r="AC60" s="7">
        <v>2</v>
      </c>
      <c r="AD60" s="11">
        <v>11</v>
      </c>
      <c r="AE60" s="8">
        <f t="shared" si="19"/>
        <v>7564.56</v>
      </c>
      <c r="AF60" s="1">
        <v>0</v>
      </c>
      <c r="AG60" s="1">
        <v>56</v>
      </c>
      <c r="AH60" s="1">
        <v>0</v>
      </c>
      <c r="AI60" s="12">
        <v>5.5</v>
      </c>
      <c r="AJ60" s="12">
        <v>23</v>
      </c>
      <c r="AK60" s="12">
        <v>0</v>
      </c>
      <c r="AL60" s="12">
        <v>10</v>
      </c>
      <c r="AM60" s="3">
        <f>SUM(AF60:AL60)</f>
        <v>94.5</v>
      </c>
    </row>
    <row r="61" spans="1:42" x14ac:dyDescent="0.25">
      <c r="A61" t="s">
        <v>17</v>
      </c>
      <c r="B61" s="5"/>
      <c r="C61" s="9" t="s">
        <v>80</v>
      </c>
      <c r="D61" s="11">
        <v>0</v>
      </c>
      <c r="E61" s="7">
        <v>12</v>
      </c>
      <c r="F61" s="11">
        <v>5</v>
      </c>
      <c r="G61" s="7">
        <v>0</v>
      </c>
      <c r="H61" s="11">
        <v>9</v>
      </c>
      <c r="I61" s="7">
        <v>2</v>
      </c>
      <c r="J61" s="11">
        <v>2</v>
      </c>
      <c r="K61" s="8">
        <f t="shared" si="18"/>
        <v>7330</v>
      </c>
      <c r="L61" s="1">
        <v>0</v>
      </c>
      <c r="M61" s="1">
        <v>56</v>
      </c>
      <c r="N61" s="1">
        <v>9</v>
      </c>
      <c r="O61" s="12">
        <v>0</v>
      </c>
      <c r="P61" s="12">
        <v>23</v>
      </c>
      <c r="Q61" s="12">
        <v>0</v>
      </c>
      <c r="R61" s="12">
        <v>0</v>
      </c>
      <c r="S61" s="3">
        <f t="shared" ref="S61:S67" si="20">SUM(L61:R61)</f>
        <v>88</v>
      </c>
      <c r="U61" t="s">
        <v>17</v>
      </c>
      <c r="V61" s="5"/>
      <c r="W61" s="9" t="s">
        <v>80</v>
      </c>
      <c r="X61" s="11">
        <v>0</v>
      </c>
      <c r="Y61" s="7">
        <v>12</v>
      </c>
      <c r="Z61" s="11">
        <v>5</v>
      </c>
      <c r="AA61" s="7">
        <v>0</v>
      </c>
      <c r="AB61" s="11">
        <v>9</v>
      </c>
      <c r="AC61" s="7">
        <v>2</v>
      </c>
      <c r="AD61" s="11">
        <v>11</v>
      </c>
      <c r="AE61" s="8">
        <f t="shared" si="19"/>
        <v>7564.56</v>
      </c>
      <c r="AF61" s="1">
        <v>0</v>
      </c>
      <c r="AG61" s="1">
        <v>56</v>
      </c>
      <c r="AH61" s="1">
        <v>9</v>
      </c>
      <c r="AI61" s="12">
        <v>0</v>
      </c>
      <c r="AJ61" s="12">
        <v>23</v>
      </c>
      <c r="AK61" s="12">
        <v>0</v>
      </c>
      <c r="AL61" s="12">
        <v>10</v>
      </c>
      <c r="AM61" s="3">
        <f t="shared" ref="AM61:AM67" si="21">SUM(AF61:AL61)</f>
        <v>98</v>
      </c>
      <c r="AO61" t="s">
        <v>78</v>
      </c>
      <c r="AP61" t="s">
        <v>79</v>
      </c>
    </row>
    <row r="62" spans="1:42" x14ac:dyDescent="0.25">
      <c r="A62" t="s">
        <v>18</v>
      </c>
      <c r="B62" s="5"/>
      <c r="C62" s="9" t="s">
        <v>80</v>
      </c>
      <c r="D62" s="11">
        <v>0</v>
      </c>
      <c r="E62" s="7">
        <v>12</v>
      </c>
      <c r="F62" s="11">
        <v>5</v>
      </c>
      <c r="G62" s="7">
        <v>2</v>
      </c>
      <c r="H62" s="11">
        <v>9</v>
      </c>
      <c r="I62" s="7">
        <v>2</v>
      </c>
      <c r="J62" s="11">
        <v>2</v>
      </c>
      <c r="K62" s="8">
        <f t="shared" si="18"/>
        <v>7330</v>
      </c>
      <c r="L62" s="1">
        <v>0</v>
      </c>
      <c r="M62" s="1">
        <v>56</v>
      </c>
      <c r="N62" s="1">
        <v>9</v>
      </c>
      <c r="O62" s="12">
        <v>0</v>
      </c>
      <c r="P62" s="12">
        <v>23</v>
      </c>
      <c r="Q62" s="12">
        <v>0</v>
      </c>
      <c r="R62" s="12">
        <v>0</v>
      </c>
      <c r="S62" s="3">
        <f t="shared" si="20"/>
        <v>88</v>
      </c>
      <c r="U62" t="s">
        <v>18</v>
      </c>
      <c r="V62" s="5"/>
      <c r="W62" s="9" t="s">
        <v>80</v>
      </c>
      <c r="X62" s="11">
        <v>0</v>
      </c>
      <c r="Y62" s="7">
        <v>12</v>
      </c>
      <c r="Z62" s="11">
        <v>5</v>
      </c>
      <c r="AA62" s="7">
        <v>2</v>
      </c>
      <c r="AB62" s="11">
        <v>9</v>
      </c>
      <c r="AC62" s="7">
        <v>2</v>
      </c>
      <c r="AD62" s="11">
        <v>11</v>
      </c>
      <c r="AE62" s="8">
        <f t="shared" si="19"/>
        <v>7564.56</v>
      </c>
      <c r="AF62" s="1">
        <v>0</v>
      </c>
      <c r="AG62" s="1">
        <v>56</v>
      </c>
      <c r="AH62" s="1">
        <v>9</v>
      </c>
      <c r="AI62" s="12">
        <v>0</v>
      </c>
      <c r="AJ62" s="12">
        <v>23</v>
      </c>
      <c r="AK62" s="12">
        <v>0</v>
      </c>
      <c r="AL62" s="12">
        <v>10</v>
      </c>
      <c r="AM62" s="3">
        <f t="shared" si="21"/>
        <v>98</v>
      </c>
      <c r="AN62" s="18" t="s">
        <v>84</v>
      </c>
      <c r="AO62">
        <v>10</v>
      </c>
      <c r="AP62" s="19">
        <f>AO62/16</f>
        <v>0.625</v>
      </c>
    </row>
    <row r="63" spans="1:42" x14ac:dyDescent="0.25">
      <c r="A63" t="s">
        <v>19</v>
      </c>
      <c r="B63" s="5"/>
      <c r="C63" s="9" t="s">
        <v>82</v>
      </c>
      <c r="D63" s="11">
        <v>0</v>
      </c>
      <c r="E63" s="7">
        <v>12</v>
      </c>
      <c r="F63" s="11">
        <v>5</v>
      </c>
      <c r="G63" s="7">
        <v>2</v>
      </c>
      <c r="H63" s="11">
        <v>9</v>
      </c>
      <c r="I63" s="7">
        <v>2</v>
      </c>
      <c r="J63" s="11">
        <v>2</v>
      </c>
      <c r="K63" s="8">
        <f t="shared" si="18"/>
        <v>7330</v>
      </c>
      <c r="L63" s="1">
        <v>0</v>
      </c>
      <c r="M63" s="1">
        <v>56</v>
      </c>
      <c r="N63" s="1">
        <v>9</v>
      </c>
      <c r="O63" s="12">
        <v>0</v>
      </c>
      <c r="P63" s="12">
        <v>23</v>
      </c>
      <c r="Q63" s="12">
        <v>0</v>
      </c>
      <c r="R63" s="12">
        <v>0</v>
      </c>
      <c r="S63" s="3">
        <f t="shared" si="20"/>
        <v>88</v>
      </c>
      <c r="U63" t="s">
        <v>19</v>
      </c>
      <c r="V63" s="5"/>
      <c r="W63" s="9" t="s">
        <v>82</v>
      </c>
      <c r="X63" s="11">
        <v>0</v>
      </c>
      <c r="Y63" s="7">
        <v>12</v>
      </c>
      <c r="Z63" s="11">
        <v>5</v>
      </c>
      <c r="AA63" s="7">
        <v>2</v>
      </c>
      <c r="AB63" s="11">
        <v>9</v>
      </c>
      <c r="AC63" s="7">
        <v>2</v>
      </c>
      <c r="AD63" s="11">
        <v>11</v>
      </c>
      <c r="AE63" s="8">
        <f t="shared" si="19"/>
        <v>7564.56</v>
      </c>
      <c r="AF63" s="1">
        <v>0</v>
      </c>
      <c r="AG63" s="1">
        <v>56</v>
      </c>
      <c r="AH63" s="1">
        <v>9</v>
      </c>
      <c r="AI63" s="12">
        <v>0</v>
      </c>
      <c r="AJ63" s="12">
        <v>23</v>
      </c>
      <c r="AK63" s="12">
        <v>0</v>
      </c>
      <c r="AL63" s="12">
        <v>10</v>
      </c>
      <c r="AM63" s="3">
        <f t="shared" si="21"/>
        <v>98</v>
      </c>
    </row>
    <row r="64" spans="1:42" x14ac:dyDescent="0.25">
      <c r="A64" t="s">
        <v>20</v>
      </c>
      <c r="B64" s="5"/>
      <c r="C64" s="9" t="s">
        <v>83</v>
      </c>
      <c r="D64" s="11">
        <v>0</v>
      </c>
      <c r="E64" s="7">
        <v>12</v>
      </c>
      <c r="F64" s="11">
        <v>5</v>
      </c>
      <c r="G64" s="7">
        <v>2</v>
      </c>
      <c r="H64" s="11">
        <v>9</v>
      </c>
      <c r="I64" s="7">
        <v>2</v>
      </c>
      <c r="J64" s="11">
        <v>2</v>
      </c>
      <c r="K64" s="8">
        <f t="shared" si="18"/>
        <v>7330</v>
      </c>
      <c r="L64" s="1">
        <v>0</v>
      </c>
      <c r="M64" s="1">
        <v>56</v>
      </c>
      <c r="N64" s="1">
        <v>9</v>
      </c>
      <c r="O64" s="12">
        <v>0</v>
      </c>
      <c r="P64" s="12">
        <v>23</v>
      </c>
      <c r="Q64" s="12">
        <v>0</v>
      </c>
      <c r="R64" s="12">
        <v>0</v>
      </c>
      <c r="S64" s="3">
        <f t="shared" si="20"/>
        <v>88</v>
      </c>
      <c r="U64" t="s">
        <v>20</v>
      </c>
      <c r="V64" s="5"/>
      <c r="W64" s="9" t="s">
        <v>83</v>
      </c>
      <c r="X64" s="11">
        <v>0</v>
      </c>
      <c r="Y64" s="7">
        <v>12</v>
      </c>
      <c r="Z64" s="11">
        <v>5</v>
      </c>
      <c r="AA64" s="7">
        <v>2</v>
      </c>
      <c r="AB64" s="11">
        <v>9</v>
      </c>
      <c r="AC64" s="7">
        <v>2</v>
      </c>
      <c r="AD64" s="11">
        <v>11</v>
      </c>
      <c r="AE64" s="8">
        <f t="shared" si="19"/>
        <v>7564.56</v>
      </c>
      <c r="AF64" s="1">
        <v>0</v>
      </c>
      <c r="AG64" s="1">
        <v>56</v>
      </c>
      <c r="AH64" s="1">
        <v>9</v>
      </c>
      <c r="AI64" s="12">
        <v>0</v>
      </c>
      <c r="AJ64" s="12">
        <v>23</v>
      </c>
      <c r="AK64" s="12">
        <v>0</v>
      </c>
      <c r="AL64" s="12">
        <v>10</v>
      </c>
      <c r="AM64" s="3">
        <f t="shared" si="21"/>
        <v>98</v>
      </c>
    </row>
    <row r="65" spans="1:42" x14ac:dyDescent="0.25">
      <c r="A65" t="s">
        <v>21</v>
      </c>
      <c r="B65" s="5"/>
      <c r="C65" s="9" t="s">
        <v>82</v>
      </c>
      <c r="D65" s="11">
        <v>0</v>
      </c>
      <c r="E65" s="7">
        <v>12</v>
      </c>
      <c r="F65" s="11">
        <v>12</v>
      </c>
      <c r="G65" s="7">
        <v>2</v>
      </c>
      <c r="H65" s="11">
        <v>12</v>
      </c>
      <c r="I65" s="7">
        <v>7</v>
      </c>
      <c r="J65" s="11">
        <v>5</v>
      </c>
      <c r="K65" s="8">
        <f>(7010+4335+515+245)*1.016</f>
        <v>12298.68</v>
      </c>
      <c r="L65" s="1">
        <v>0</v>
      </c>
      <c r="M65" s="1">
        <v>56</v>
      </c>
      <c r="N65" s="1">
        <v>48</v>
      </c>
      <c r="O65" s="12">
        <v>0</v>
      </c>
      <c r="P65" s="12">
        <v>43</v>
      </c>
      <c r="Q65" s="12">
        <v>16</v>
      </c>
      <c r="R65" s="12">
        <v>3</v>
      </c>
      <c r="S65" s="3">
        <f t="shared" si="20"/>
        <v>166</v>
      </c>
      <c r="U65" t="s">
        <v>21</v>
      </c>
      <c r="V65" s="5"/>
      <c r="W65" s="9" t="s">
        <v>82</v>
      </c>
      <c r="X65" s="11">
        <v>0</v>
      </c>
      <c r="Y65" s="7">
        <v>12</v>
      </c>
      <c r="Z65" s="11">
        <v>12</v>
      </c>
      <c r="AA65" s="7">
        <v>2</v>
      </c>
      <c r="AB65" s="11">
        <v>12</v>
      </c>
      <c r="AC65" s="7">
        <v>7</v>
      </c>
      <c r="AD65" s="11">
        <v>12.5</v>
      </c>
      <c r="AE65" s="8">
        <f>(7010+4335+515+245)*1.035</f>
        <v>12528.674999999999</v>
      </c>
      <c r="AF65" s="1">
        <v>0</v>
      </c>
      <c r="AG65" s="1">
        <v>56</v>
      </c>
      <c r="AH65" s="1">
        <v>48</v>
      </c>
      <c r="AI65" s="12">
        <v>0</v>
      </c>
      <c r="AJ65" s="12">
        <v>43</v>
      </c>
      <c r="AK65" s="12">
        <v>16</v>
      </c>
      <c r="AL65" s="12">
        <v>13</v>
      </c>
      <c r="AM65" s="3">
        <f t="shared" si="21"/>
        <v>176</v>
      </c>
    </row>
    <row r="66" spans="1:42" x14ac:dyDescent="0.25">
      <c r="A66" t="s">
        <v>21</v>
      </c>
      <c r="B66" s="5"/>
      <c r="C66" s="9" t="s">
        <v>81</v>
      </c>
      <c r="D66" s="11">
        <v>0</v>
      </c>
      <c r="E66" s="7">
        <v>12</v>
      </c>
      <c r="F66" s="11">
        <v>12</v>
      </c>
      <c r="G66" s="7">
        <v>2</v>
      </c>
      <c r="H66" s="11">
        <v>12</v>
      </c>
      <c r="I66" s="7">
        <v>7</v>
      </c>
      <c r="J66" s="11">
        <v>5</v>
      </c>
      <c r="K66" s="8">
        <f>(7010+4335+515+245)*1.016</f>
        <v>12298.68</v>
      </c>
      <c r="L66" s="1">
        <v>0</v>
      </c>
      <c r="M66" s="1">
        <v>56</v>
      </c>
      <c r="N66" s="1">
        <v>48</v>
      </c>
      <c r="O66" s="12">
        <v>0</v>
      </c>
      <c r="P66" s="12">
        <v>43</v>
      </c>
      <c r="Q66" s="12">
        <v>16</v>
      </c>
      <c r="R66" s="12">
        <v>3</v>
      </c>
      <c r="S66" s="3">
        <f t="shared" si="20"/>
        <v>166</v>
      </c>
      <c r="U66" t="s">
        <v>21</v>
      </c>
      <c r="V66" s="5"/>
      <c r="W66" s="9" t="s">
        <v>81</v>
      </c>
      <c r="X66" s="11">
        <v>0</v>
      </c>
      <c r="Y66" s="7">
        <v>12</v>
      </c>
      <c r="Z66" s="11">
        <v>12</v>
      </c>
      <c r="AA66" s="7">
        <v>2</v>
      </c>
      <c r="AB66" s="11">
        <v>12</v>
      </c>
      <c r="AC66" s="7">
        <v>7</v>
      </c>
      <c r="AD66" s="11">
        <v>12.5</v>
      </c>
      <c r="AE66" s="8">
        <f>(7010+4335+515+245)*1.035</f>
        <v>12528.674999999999</v>
      </c>
      <c r="AF66" s="1">
        <v>0</v>
      </c>
      <c r="AG66" s="1">
        <v>56</v>
      </c>
      <c r="AH66" s="1">
        <v>48</v>
      </c>
      <c r="AI66" s="12">
        <v>0</v>
      </c>
      <c r="AJ66" s="12">
        <v>43</v>
      </c>
      <c r="AK66" s="12">
        <v>16</v>
      </c>
      <c r="AL66" s="12">
        <v>13</v>
      </c>
      <c r="AM66" s="3">
        <f t="shared" si="21"/>
        <v>176</v>
      </c>
    </row>
    <row r="67" spans="1:42" x14ac:dyDescent="0.25">
      <c r="A67" t="s">
        <v>23</v>
      </c>
      <c r="B67" s="5"/>
      <c r="C67" s="9" t="s">
        <v>76</v>
      </c>
      <c r="D67" s="11">
        <v>0</v>
      </c>
      <c r="E67" s="7">
        <f>8+2/6</f>
        <v>8.3333333333333339</v>
      </c>
      <c r="F67" s="11">
        <v>2</v>
      </c>
      <c r="G67" s="7">
        <v>12</v>
      </c>
      <c r="H67" s="11">
        <v>9</v>
      </c>
      <c r="I67" s="7">
        <v>7</v>
      </c>
      <c r="J67" s="11">
        <v>2</v>
      </c>
      <c r="K67" s="8">
        <f>145+245+4470+800</f>
        <v>5660</v>
      </c>
      <c r="L67" s="1">
        <v>0</v>
      </c>
      <c r="M67" s="1">
        <v>26</v>
      </c>
      <c r="N67" s="1">
        <v>0</v>
      </c>
      <c r="O67" s="12">
        <v>33</v>
      </c>
      <c r="P67" s="12">
        <v>23</v>
      </c>
      <c r="Q67" s="12">
        <v>16</v>
      </c>
      <c r="R67" s="12">
        <v>0</v>
      </c>
      <c r="S67" s="3">
        <f t="shared" si="20"/>
        <v>98</v>
      </c>
      <c r="U67" t="s">
        <v>23</v>
      </c>
      <c r="V67" s="5"/>
      <c r="W67" s="9" t="s">
        <v>76</v>
      </c>
      <c r="X67" s="11">
        <v>0</v>
      </c>
      <c r="Y67" s="7">
        <f>8+2/6</f>
        <v>8.3333333333333339</v>
      </c>
      <c r="Z67" s="11">
        <v>2</v>
      </c>
      <c r="AA67" s="7">
        <v>12</v>
      </c>
      <c r="AB67" s="11">
        <v>9</v>
      </c>
      <c r="AC67" s="7">
        <v>7</v>
      </c>
      <c r="AD67" s="11">
        <v>11</v>
      </c>
      <c r="AE67" s="8">
        <f>(145+245+4470+800)*1.032</f>
        <v>5841.12</v>
      </c>
      <c r="AF67" s="1">
        <v>0</v>
      </c>
      <c r="AG67" s="1">
        <v>26</v>
      </c>
      <c r="AH67" s="1">
        <v>0</v>
      </c>
      <c r="AI67" s="12">
        <v>33</v>
      </c>
      <c r="AJ67" s="12">
        <v>23</v>
      </c>
      <c r="AK67" s="12">
        <v>16</v>
      </c>
      <c r="AL67" s="12">
        <v>10</v>
      </c>
      <c r="AM67" s="3">
        <f t="shared" si="21"/>
        <v>108</v>
      </c>
    </row>
    <row r="68" spans="1:42" x14ac:dyDescent="0.25">
      <c r="A68" t="s">
        <v>24</v>
      </c>
      <c r="B68" s="5"/>
      <c r="C68" s="9" t="s">
        <v>80</v>
      </c>
      <c r="D68" s="11">
        <v>0</v>
      </c>
      <c r="E68" s="7">
        <f>8+2/6</f>
        <v>8.3333333333333339</v>
      </c>
      <c r="F68" s="11">
        <v>2</v>
      </c>
      <c r="G68" s="7">
        <v>12</v>
      </c>
      <c r="H68" s="11">
        <v>9</v>
      </c>
      <c r="I68" s="7">
        <v>7</v>
      </c>
      <c r="J68" s="11">
        <v>2</v>
      </c>
      <c r="K68" s="8">
        <f>145+245+4470+800</f>
        <v>5660</v>
      </c>
      <c r="L68" s="1">
        <v>0</v>
      </c>
      <c r="M68" s="1">
        <v>26</v>
      </c>
      <c r="N68" s="1">
        <v>0</v>
      </c>
      <c r="O68" s="12">
        <v>33</v>
      </c>
      <c r="P68" s="12">
        <v>23</v>
      </c>
      <c r="Q68" s="12">
        <v>16</v>
      </c>
      <c r="R68" s="12">
        <v>0</v>
      </c>
      <c r="S68" s="3">
        <f>SUM(L68:R68)</f>
        <v>98</v>
      </c>
      <c r="U68" t="s">
        <v>24</v>
      </c>
      <c r="V68" s="5"/>
      <c r="W68" s="9" t="s">
        <v>80</v>
      </c>
      <c r="X68" s="11">
        <v>0</v>
      </c>
      <c r="Y68" s="7">
        <f>8+2/6</f>
        <v>8.3333333333333339</v>
      </c>
      <c r="Z68" s="11">
        <v>2</v>
      </c>
      <c r="AA68" s="7">
        <v>12</v>
      </c>
      <c r="AB68" s="11">
        <v>9</v>
      </c>
      <c r="AC68" s="7">
        <v>7</v>
      </c>
      <c r="AD68" s="11">
        <v>11</v>
      </c>
      <c r="AE68" s="8">
        <f>(145+245+4470+800)*1.032</f>
        <v>5841.12</v>
      </c>
      <c r="AF68" s="1">
        <v>0</v>
      </c>
      <c r="AG68" s="1">
        <v>26</v>
      </c>
      <c r="AH68" s="1">
        <v>0</v>
      </c>
      <c r="AI68" s="12">
        <v>33</v>
      </c>
      <c r="AJ68" s="12">
        <v>23</v>
      </c>
      <c r="AK68" s="12">
        <v>16</v>
      </c>
      <c r="AL68" s="12">
        <v>10</v>
      </c>
      <c r="AM68" s="3">
        <f>SUM(AF68:AL68)</f>
        <v>108</v>
      </c>
    </row>
    <row r="69" spans="1:42" x14ac:dyDescent="0.25">
      <c r="A69" t="s">
        <v>26</v>
      </c>
      <c r="B69" s="5"/>
      <c r="C69" s="9" t="s">
        <v>80</v>
      </c>
      <c r="D69" s="11">
        <v>0</v>
      </c>
      <c r="E69" s="7">
        <f>8+2/6</f>
        <v>8.3333333333333339</v>
      </c>
      <c r="F69" s="11">
        <v>2</v>
      </c>
      <c r="G69" s="7">
        <v>12</v>
      </c>
      <c r="H69" s="11">
        <v>9</v>
      </c>
      <c r="I69" s="7">
        <v>7</v>
      </c>
      <c r="J69" s="11">
        <v>2</v>
      </c>
      <c r="K69" s="8">
        <f>145+245+4470+800</f>
        <v>5660</v>
      </c>
      <c r="L69" s="1">
        <v>0</v>
      </c>
      <c r="M69" s="1">
        <v>26</v>
      </c>
      <c r="N69" s="1">
        <v>0</v>
      </c>
      <c r="O69" s="12">
        <v>33</v>
      </c>
      <c r="P69" s="12">
        <v>23</v>
      </c>
      <c r="Q69" s="12">
        <v>16</v>
      </c>
      <c r="R69" s="12">
        <v>0</v>
      </c>
      <c r="S69" s="3">
        <f>SUM(L69:R69)</f>
        <v>98</v>
      </c>
      <c r="U69" t="s">
        <v>26</v>
      </c>
      <c r="V69" s="5"/>
      <c r="W69" s="9" t="s">
        <v>80</v>
      </c>
      <c r="X69" s="11">
        <v>0</v>
      </c>
      <c r="Y69" s="7">
        <f>8+2/6</f>
        <v>8.3333333333333339</v>
      </c>
      <c r="Z69" s="11">
        <v>2</v>
      </c>
      <c r="AA69" s="7">
        <v>12</v>
      </c>
      <c r="AB69" s="11">
        <v>9</v>
      </c>
      <c r="AC69" s="7">
        <v>7</v>
      </c>
      <c r="AD69" s="11">
        <v>11</v>
      </c>
      <c r="AE69" s="8">
        <f>(145+245+4470+800)*1.032</f>
        <v>5841.12</v>
      </c>
      <c r="AF69" s="1">
        <v>0</v>
      </c>
      <c r="AG69" s="1">
        <v>26</v>
      </c>
      <c r="AH69" s="1">
        <v>0</v>
      </c>
      <c r="AI69" s="12">
        <v>33</v>
      </c>
      <c r="AJ69" s="12">
        <v>23</v>
      </c>
      <c r="AK69" s="12">
        <v>16</v>
      </c>
      <c r="AL69" s="12">
        <v>10</v>
      </c>
      <c r="AM69" s="3">
        <f>SUM(AF69:AL69)</f>
        <v>108</v>
      </c>
    </row>
    <row r="70" spans="1:42" x14ac:dyDescent="0.25">
      <c r="A70" t="s">
        <v>27</v>
      </c>
      <c r="B70" s="5"/>
      <c r="C70" s="9" t="s">
        <v>80</v>
      </c>
      <c r="D70" s="11">
        <v>0</v>
      </c>
      <c r="E70" s="7">
        <v>2</v>
      </c>
      <c r="F70" s="11">
        <v>2</v>
      </c>
      <c r="G70" s="7">
        <v>10</v>
      </c>
      <c r="H70" s="11">
        <v>14</v>
      </c>
      <c r="I70" s="7">
        <v>12</v>
      </c>
      <c r="J70" s="11">
        <v>10</v>
      </c>
      <c r="K70" s="8">
        <f>(14290+3955+785)*1.03</f>
        <v>19600.900000000001</v>
      </c>
      <c r="L70" s="1">
        <v>0</v>
      </c>
      <c r="M70" s="1">
        <v>0</v>
      </c>
      <c r="N70" s="1">
        <v>0</v>
      </c>
      <c r="O70" s="12">
        <v>23</v>
      </c>
      <c r="P70" s="12">
        <v>62</v>
      </c>
      <c r="Q70" s="12">
        <v>49</v>
      </c>
      <c r="R70" s="12">
        <v>8</v>
      </c>
      <c r="S70" s="3">
        <f t="shared" ref="S70:S72" si="22">SUM(L70:R70)</f>
        <v>142</v>
      </c>
      <c r="U70" t="s">
        <v>27</v>
      </c>
      <c r="V70" s="5"/>
      <c r="W70" s="9" t="s">
        <v>80</v>
      </c>
      <c r="X70" s="11">
        <v>0</v>
      </c>
      <c r="Y70" s="7">
        <v>2</v>
      </c>
      <c r="Z70" s="11">
        <v>2</v>
      </c>
      <c r="AA70" s="7">
        <v>10</v>
      </c>
      <c r="AB70" s="11">
        <v>14</v>
      </c>
      <c r="AC70" s="7">
        <v>12</v>
      </c>
      <c r="AD70" s="11">
        <v>15</v>
      </c>
      <c r="AE70" s="8">
        <f>(14290+3955+785)*1.043</f>
        <v>19848.289999999997</v>
      </c>
      <c r="AF70" s="1">
        <v>0</v>
      </c>
      <c r="AG70" s="1">
        <v>0</v>
      </c>
      <c r="AH70" s="1">
        <v>0</v>
      </c>
      <c r="AI70" s="12">
        <v>23</v>
      </c>
      <c r="AJ70" s="12">
        <v>62</v>
      </c>
      <c r="AK70" s="12">
        <v>49</v>
      </c>
      <c r="AL70" s="12">
        <v>18</v>
      </c>
      <c r="AM70" s="3">
        <f t="shared" ref="AM70:AM72" si="23">SUM(AF70:AL70)</f>
        <v>152</v>
      </c>
    </row>
    <row r="71" spans="1:42" x14ac:dyDescent="0.25">
      <c r="A71" t="s">
        <v>28</v>
      </c>
      <c r="B71" s="5"/>
      <c r="C71" s="9" t="s">
        <v>76</v>
      </c>
      <c r="D71" s="11">
        <v>0</v>
      </c>
      <c r="E71" s="7">
        <v>2</v>
      </c>
      <c r="F71" s="11">
        <v>2</v>
      </c>
      <c r="G71" s="7">
        <v>10</v>
      </c>
      <c r="H71" s="11">
        <v>14</v>
      </c>
      <c r="I71" s="7">
        <v>12</v>
      </c>
      <c r="J71" s="11">
        <v>10</v>
      </c>
      <c r="K71" s="8">
        <f>(14290+3955+785)*1.03</f>
        <v>19600.900000000001</v>
      </c>
      <c r="L71" s="1">
        <v>0</v>
      </c>
      <c r="M71" s="1">
        <v>0</v>
      </c>
      <c r="N71" s="1">
        <v>0</v>
      </c>
      <c r="O71" s="12">
        <v>23</v>
      </c>
      <c r="P71" s="12">
        <v>62</v>
      </c>
      <c r="Q71" s="12">
        <v>49</v>
      </c>
      <c r="R71" s="12">
        <v>8</v>
      </c>
      <c r="S71" s="3">
        <f t="shared" si="22"/>
        <v>142</v>
      </c>
      <c r="U71" t="s">
        <v>28</v>
      </c>
      <c r="V71" s="5"/>
      <c r="W71" s="9" t="s">
        <v>76</v>
      </c>
      <c r="X71" s="11">
        <v>0</v>
      </c>
      <c r="Y71" s="7">
        <v>2</v>
      </c>
      <c r="Z71" s="11">
        <v>2</v>
      </c>
      <c r="AA71" s="7">
        <v>10</v>
      </c>
      <c r="AB71" s="11">
        <v>14</v>
      </c>
      <c r="AC71" s="7">
        <v>12</v>
      </c>
      <c r="AD71" s="11">
        <v>15</v>
      </c>
      <c r="AE71" s="8">
        <f>(14290+3955+785)*1.043</f>
        <v>19848.289999999997</v>
      </c>
      <c r="AF71" s="1">
        <v>0</v>
      </c>
      <c r="AG71" s="1">
        <v>0</v>
      </c>
      <c r="AH71" s="1">
        <v>0</v>
      </c>
      <c r="AI71" s="12">
        <v>23</v>
      </c>
      <c r="AJ71" s="12">
        <v>62</v>
      </c>
      <c r="AK71" s="12">
        <v>49</v>
      </c>
      <c r="AL71" s="12">
        <v>18</v>
      </c>
      <c r="AM71" s="3">
        <f t="shared" si="23"/>
        <v>152</v>
      </c>
    </row>
    <row r="72" spans="1:42" x14ac:dyDescent="0.25">
      <c r="A72" t="s">
        <v>56</v>
      </c>
      <c r="B72" s="5"/>
      <c r="C72" s="9" t="s">
        <v>80</v>
      </c>
      <c r="D72" s="11">
        <v>0</v>
      </c>
      <c r="E72" s="7">
        <v>2</v>
      </c>
      <c r="F72" s="11">
        <v>2</v>
      </c>
      <c r="G72" s="7">
        <v>10</v>
      </c>
      <c r="H72" s="11">
        <v>14</v>
      </c>
      <c r="I72" s="7">
        <v>12</v>
      </c>
      <c r="J72" s="11">
        <v>10</v>
      </c>
      <c r="K72" s="8">
        <f>(14290+3955+785)*1.03</f>
        <v>19600.900000000001</v>
      </c>
      <c r="L72" s="1">
        <v>0</v>
      </c>
      <c r="M72" s="1">
        <v>0</v>
      </c>
      <c r="N72" s="1">
        <v>0</v>
      </c>
      <c r="O72" s="12">
        <v>23</v>
      </c>
      <c r="P72" s="12">
        <v>62</v>
      </c>
      <c r="Q72" s="12">
        <v>49</v>
      </c>
      <c r="R72" s="12">
        <v>8</v>
      </c>
      <c r="S72" s="3">
        <f t="shared" si="22"/>
        <v>142</v>
      </c>
      <c r="U72" t="s">
        <v>56</v>
      </c>
      <c r="V72" s="5"/>
      <c r="W72" s="9" t="s">
        <v>80</v>
      </c>
      <c r="X72" s="11">
        <v>0</v>
      </c>
      <c r="Y72" s="7">
        <v>2</v>
      </c>
      <c r="Z72" s="11">
        <v>2</v>
      </c>
      <c r="AA72" s="7">
        <v>10</v>
      </c>
      <c r="AB72" s="11">
        <v>14</v>
      </c>
      <c r="AC72" s="7">
        <v>12</v>
      </c>
      <c r="AD72" s="11">
        <v>15</v>
      </c>
      <c r="AE72" s="8">
        <f>(14290+3955+785)*1.043</f>
        <v>19848.289999999997</v>
      </c>
      <c r="AF72" s="1">
        <v>0</v>
      </c>
      <c r="AG72" s="1">
        <v>0</v>
      </c>
      <c r="AH72" s="1">
        <v>0</v>
      </c>
      <c r="AI72" s="12">
        <v>23</v>
      </c>
      <c r="AJ72" s="12">
        <v>62</v>
      </c>
      <c r="AK72" s="12">
        <v>49</v>
      </c>
      <c r="AL72" s="12">
        <v>18</v>
      </c>
      <c r="AM72" s="3">
        <f t="shared" si="23"/>
        <v>152</v>
      </c>
    </row>
    <row r="73" spans="1:42" x14ac:dyDescent="0.25">
      <c r="K73" s="17">
        <f>SUM(K75:K89)</f>
        <v>158873.30499999999</v>
      </c>
      <c r="AE73" s="17">
        <f>SUM(AE75:AE89)</f>
        <v>240042.42999999996</v>
      </c>
    </row>
    <row r="74" spans="1:42" x14ac:dyDescent="0.25">
      <c r="A74" s="4" t="s">
        <v>1</v>
      </c>
      <c r="B74" s="4" t="s">
        <v>2</v>
      </c>
      <c r="C74" s="4" t="s">
        <v>3</v>
      </c>
      <c r="D74" s="4" t="s">
        <v>4</v>
      </c>
      <c r="E74" s="4" t="s">
        <v>5</v>
      </c>
      <c r="F74" s="4" t="s">
        <v>6</v>
      </c>
      <c r="G74" s="4" t="s">
        <v>7</v>
      </c>
      <c r="H74" s="4" t="s">
        <v>8</v>
      </c>
      <c r="I74" s="4" t="s">
        <v>9</v>
      </c>
      <c r="J74" s="4" t="s">
        <v>10</v>
      </c>
      <c r="K74" s="4" t="s">
        <v>11</v>
      </c>
      <c r="L74" s="4" t="s">
        <v>46</v>
      </c>
      <c r="M74" s="4" t="s">
        <v>47</v>
      </c>
      <c r="N74" s="4" t="s">
        <v>48</v>
      </c>
      <c r="O74" s="4" t="s">
        <v>49</v>
      </c>
      <c r="P74" s="4" t="s">
        <v>50</v>
      </c>
      <c r="Q74" s="4" t="s">
        <v>51</v>
      </c>
      <c r="R74" s="4" t="s">
        <v>52</v>
      </c>
      <c r="S74" s="4" t="s">
        <v>53</v>
      </c>
      <c r="U74" s="4" t="s">
        <v>1</v>
      </c>
      <c r="V74" s="4" t="s">
        <v>2</v>
      </c>
      <c r="W74" s="4" t="s">
        <v>3</v>
      </c>
      <c r="X74" s="4" t="s">
        <v>4</v>
      </c>
      <c r="Y74" s="4" t="s">
        <v>5</v>
      </c>
      <c r="Z74" s="4" t="s">
        <v>6</v>
      </c>
      <c r="AA74" s="4" t="s">
        <v>7</v>
      </c>
      <c r="AB74" s="4" t="s">
        <v>8</v>
      </c>
      <c r="AC74" s="4" t="s">
        <v>9</v>
      </c>
      <c r="AD74" s="4" t="s">
        <v>10</v>
      </c>
      <c r="AE74" s="4" t="s">
        <v>11</v>
      </c>
      <c r="AF74" s="4" t="s">
        <v>46</v>
      </c>
      <c r="AG74" s="4" t="s">
        <v>47</v>
      </c>
      <c r="AH74" s="4" t="s">
        <v>48</v>
      </c>
      <c r="AI74" s="4" t="s">
        <v>49</v>
      </c>
      <c r="AJ74" s="4" t="s">
        <v>50</v>
      </c>
      <c r="AK74" s="4" t="s">
        <v>51</v>
      </c>
      <c r="AL74" s="4" t="s">
        <v>52</v>
      </c>
      <c r="AM74" s="4" t="s">
        <v>53</v>
      </c>
    </row>
    <row r="75" spans="1:42" x14ac:dyDescent="0.25">
      <c r="A75" t="s">
        <v>12</v>
      </c>
      <c r="B75" s="5"/>
      <c r="C75" s="6"/>
      <c r="D75" s="11">
        <v>15</v>
      </c>
      <c r="E75" s="7">
        <v>5</v>
      </c>
      <c r="F75" s="11">
        <v>0</v>
      </c>
      <c r="G75" s="7">
        <v>0</v>
      </c>
      <c r="H75" s="11">
        <v>0</v>
      </c>
      <c r="I75" s="7">
        <v>0</v>
      </c>
      <c r="J75" s="11">
        <v>12.5</v>
      </c>
      <c r="K75" s="8">
        <f>(24270+135)*1.035</f>
        <v>25259.174999999999</v>
      </c>
      <c r="L75" s="1">
        <v>52</v>
      </c>
      <c r="M75" s="1">
        <v>10</v>
      </c>
      <c r="N75" s="1">
        <v>0</v>
      </c>
      <c r="O75" s="12">
        <v>0</v>
      </c>
      <c r="P75" s="12">
        <v>0</v>
      </c>
      <c r="Q75" s="12">
        <v>0</v>
      </c>
      <c r="R75" s="12">
        <v>13</v>
      </c>
      <c r="S75" s="3">
        <f>SUM(L75:R75)</f>
        <v>75</v>
      </c>
      <c r="U75" t="s">
        <v>12</v>
      </c>
      <c r="V75" s="5"/>
      <c r="W75" s="6"/>
      <c r="X75" s="11">
        <v>15</v>
      </c>
      <c r="Y75" s="7">
        <f>9+3/7</f>
        <v>9.4285714285714288</v>
      </c>
      <c r="Z75" s="11">
        <v>0</v>
      </c>
      <c r="AA75" s="7">
        <v>0</v>
      </c>
      <c r="AB75" s="11">
        <v>0</v>
      </c>
      <c r="AC75" s="7">
        <v>0</v>
      </c>
      <c r="AD75" s="11">
        <v>12.5</v>
      </c>
      <c r="AE75" s="8">
        <f>(24270+910)*1.035</f>
        <v>26061.3</v>
      </c>
      <c r="AF75" s="1">
        <v>52</v>
      </c>
      <c r="AG75" s="1">
        <v>10</v>
      </c>
      <c r="AH75" s="1">
        <v>0</v>
      </c>
      <c r="AI75" s="12">
        <v>0</v>
      </c>
      <c r="AJ75" s="12">
        <v>0</v>
      </c>
      <c r="AK75" s="12">
        <v>0</v>
      </c>
      <c r="AL75" s="12">
        <v>13</v>
      </c>
      <c r="AM75" s="3">
        <f>SUM(AF75:AL75)</f>
        <v>75</v>
      </c>
    </row>
    <row r="76" spans="1:42" x14ac:dyDescent="0.25">
      <c r="A76" t="s">
        <v>14</v>
      </c>
      <c r="B76" s="5"/>
      <c r="C76" s="9" t="s">
        <v>81</v>
      </c>
      <c r="D76" s="11">
        <v>0</v>
      </c>
      <c r="E76" s="7">
        <f>9+6/7</f>
        <v>9.8571428571428577</v>
      </c>
      <c r="F76" s="11">
        <v>2</v>
      </c>
      <c r="G76" s="7">
        <v>12</v>
      </c>
      <c r="H76" s="11">
        <v>9</v>
      </c>
      <c r="I76" s="7">
        <v>2</v>
      </c>
      <c r="J76" s="11">
        <v>11</v>
      </c>
      <c r="K76" s="8">
        <f>(145+1150+4470)*1.032</f>
        <v>5949.4800000000005</v>
      </c>
      <c r="L76" s="1">
        <v>0</v>
      </c>
      <c r="M76" s="1">
        <v>36</v>
      </c>
      <c r="N76" s="1">
        <v>0</v>
      </c>
      <c r="O76" s="12">
        <v>33</v>
      </c>
      <c r="P76" s="12">
        <v>23</v>
      </c>
      <c r="Q76" s="12">
        <v>0</v>
      </c>
      <c r="R76" s="12">
        <v>10</v>
      </c>
      <c r="S76" s="3">
        <f t="shared" ref="S76" si="24">SUM(L76:R76)</f>
        <v>102</v>
      </c>
      <c r="U76" t="s">
        <v>14</v>
      </c>
      <c r="V76" s="5"/>
      <c r="W76" s="9" t="s">
        <v>81</v>
      </c>
      <c r="X76" s="11">
        <v>0</v>
      </c>
      <c r="Y76" s="7">
        <f>12+3/11</f>
        <v>12.272727272727273</v>
      </c>
      <c r="Z76" s="11">
        <v>2</v>
      </c>
      <c r="AA76" s="7">
        <v>12</v>
      </c>
      <c r="AB76" s="11">
        <v>9</v>
      </c>
      <c r="AC76" s="7">
        <v>2</v>
      </c>
      <c r="AD76" s="11">
        <v>11</v>
      </c>
      <c r="AE76" s="8">
        <f>(8000+2235+145)*1.032</f>
        <v>10712.16</v>
      </c>
      <c r="AF76" s="1">
        <v>0</v>
      </c>
      <c r="AG76" s="1">
        <v>59</v>
      </c>
      <c r="AH76" s="1">
        <v>0</v>
      </c>
      <c r="AI76" s="12">
        <v>33</v>
      </c>
      <c r="AJ76" s="12">
        <v>23</v>
      </c>
      <c r="AK76" s="12">
        <v>0</v>
      </c>
      <c r="AL76" s="12">
        <v>10</v>
      </c>
      <c r="AM76" s="3">
        <f t="shared" ref="AM76" si="25">SUM(AF76:AL76)</f>
        <v>125</v>
      </c>
    </row>
    <row r="77" spans="1:42" x14ac:dyDescent="0.25">
      <c r="A77" t="s">
        <v>15</v>
      </c>
      <c r="B77" s="5"/>
      <c r="C77" s="9" t="s">
        <v>81</v>
      </c>
      <c r="D77" s="11">
        <v>0</v>
      </c>
      <c r="E77" s="7">
        <v>12</v>
      </c>
      <c r="F77" s="11">
        <v>2</v>
      </c>
      <c r="G77" s="7">
        <v>5</v>
      </c>
      <c r="H77" s="11">
        <v>9</v>
      </c>
      <c r="I77" s="7">
        <v>2</v>
      </c>
      <c r="J77" s="11">
        <v>11</v>
      </c>
      <c r="K77" s="8">
        <f t="shared" ref="K77:K82" si="26">(7010+195+125)*1.032</f>
        <v>7564.56</v>
      </c>
      <c r="L77" s="1">
        <v>0</v>
      </c>
      <c r="M77" s="1">
        <v>56</v>
      </c>
      <c r="N77" s="1">
        <v>0</v>
      </c>
      <c r="O77" s="12">
        <v>5.5</v>
      </c>
      <c r="P77" s="12">
        <v>23</v>
      </c>
      <c r="Q77" s="12">
        <v>0</v>
      </c>
      <c r="R77" s="12">
        <v>10</v>
      </c>
      <c r="S77" s="3">
        <f>SUM(L77:R77)</f>
        <v>94.5</v>
      </c>
      <c r="U77" t="s">
        <v>15</v>
      </c>
      <c r="V77" s="5"/>
      <c r="W77" s="9" t="s">
        <v>81</v>
      </c>
      <c r="X77" s="11">
        <v>0</v>
      </c>
      <c r="Y77" s="7">
        <v>14</v>
      </c>
      <c r="Z77" s="11">
        <v>2</v>
      </c>
      <c r="AA77" s="7">
        <v>5</v>
      </c>
      <c r="AB77" s="11">
        <v>9</v>
      </c>
      <c r="AC77" s="7">
        <v>2</v>
      </c>
      <c r="AD77" s="11">
        <v>11</v>
      </c>
      <c r="AE77" s="8">
        <f t="shared" ref="AE77:AE82" si="27">(18370+195+125)*1.032</f>
        <v>19288.080000000002</v>
      </c>
      <c r="AF77" s="1">
        <v>0</v>
      </c>
      <c r="AG77" s="1">
        <v>79</v>
      </c>
      <c r="AH77" s="1">
        <v>0</v>
      </c>
      <c r="AI77" s="12">
        <v>5.5</v>
      </c>
      <c r="AJ77" s="12">
        <v>23</v>
      </c>
      <c r="AK77" s="12">
        <v>0</v>
      </c>
      <c r="AL77" s="12">
        <v>10</v>
      </c>
      <c r="AM77" s="3">
        <f>SUM(AF77:AL77)</f>
        <v>117.5</v>
      </c>
    </row>
    <row r="78" spans="1:42" x14ac:dyDescent="0.25">
      <c r="A78" t="s">
        <v>16</v>
      </c>
      <c r="B78" s="5"/>
      <c r="C78" s="9" t="s">
        <v>81</v>
      </c>
      <c r="D78" s="11">
        <v>0</v>
      </c>
      <c r="E78" s="7">
        <v>12</v>
      </c>
      <c r="F78" s="11">
        <v>2</v>
      </c>
      <c r="G78" s="7">
        <v>5</v>
      </c>
      <c r="H78" s="11">
        <v>9</v>
      </c>
      <c r="I78" s="7">
        <v>2</v>
      </c>
      <c r="J78" s="11">
        <v>11</v>
      </c>
      <c r="K78" s="8">
        <f t="shared" si="26"/>
        <v>7564.56</v>
      </c>
      <c r="L78" s="1">
        <v>0</v>
      </c>
      <c r="M78" s="1">
        <v>56</v>
      </c>
      <c r="N78" s="1">
        <v>0</v>
      </c>
      <c r="O78" s="12">
        <v>5.5</v>
      </c>
      <c r="P78" s="12">
        <v>23</v>
      </c>
      <c r="Q78" s="12">
        <v>0</v>
      </c>
      <c r="R78" s="12">
        <v>10</v>
      </c>
      <c r="S78" s="3">
        <f>SUM(L78:R78)</f>
        <v>94.5</v>
      </c>
      <c r="U78" t="s">
        <v>16</v>
      </c>
      <c r="V78" s="5"/>
      <c r="W78" s="9" t="s">
        <v>81</v>
      </c>
      <c r="X78" s="11">
        <v>0</v>
      </c>
      <c r="Y78" s="7">
        <v>14</v>
      </c>
      <c r="Z78" s="11">
        <v>2</v>
      </c>
      <c r="AA78" s="7">
        <v>5</v>
      </c>
      <c r="AB78" s="11">
        <v>9</v>
      </c>
      <c r="AC78" s="7">
        <v>2</v>
      </c>
      <c r="AD78" s="11">
        <v>11</v>
      </c>
      <c r="AE78" s="8">
        <f t="shared" si="27"/>
        <v>19288.080000000002</v>
      </c>
      <c r="AF78" s="1">
        <v>0</v>
      </c>
      <c r="AG78" s="1">
        <v>79</v>
      </c>
      <c r="AH78" s="1">
        <v>0</v>
      </c>
      <c r="AI78" s="12">
        <v>5.5</v>
      </c>
      <c r="AJ78" s="12">
        <v>23</v>
      </c>
      <c r="AK78" s="12">
        <v>0</v>
      </c>
      <c r="AL78" s="12">
        <v>10</v>
      </c>
      <c r="AM78" s="3">
        <f>SUM(AF78:AL78)</f>
        <v>117.5</v>
      </c>
    </row>
    <row r="79" spans="1:42" x14ac:dyDescent="0.25">
      <c r="A79" t="s">
        <v>17</v>
      </c>
      <c r="B79" s="5"/>
      <c r="C79" s="9" t="s">
        <v>80</v>
      </c>
      <c r="D79" s="11">
        <v>0</v>
      </c>
      <c r="E79" s="7">
        <v>12</v>
      </c>
      <c r="F79" s="11">
        <v>5</v>
      </c>
      <c r="G79" s="7">
        <v>0</v>
      </c>
      <c r="H79" s="11">
        <v>9</v>
      </c>
      <c r="I79" s="7">
        <v>2</v>
      </c>
      <c r="J79" s="11">
        <v>11</v>
      </c>
      <c r="K79" s="8">
        <f t="shared" si="26"/>
        <v>7564.56</v>
      </c>
      <c r="L79" s="1">
        <v>0</v>
      </c>
      <c r="M79" s="1">
        <v>56</v>
      </c>
      <c r="N79" s="1">
        <v>9</v>
      </c>
      <c r="O79" s="12">
        <v>0</v>
      </c>
      <c r="P79" s="12">
        <v>23</v>
      </c>
      <c r="Q79" s="12">
        <v>0</v>
      </c>
      <c r="R79" s="12">
        <v>10</v>
      </c>
      <c r="S79" s="3">
        <f t="shared" ref="S79:S85" si="28">SUM(L79:R79)</f>
        <v>98</v>
      </c>
      <c r="U79" t="s">
        <v>17</v>
      </c>
      <c r="V79" s="5"/>
      <c r="W79" s="9" t="s">
        <v>80</v>
      </c>
      <c r="X79" s="11">
        <v>0</v>
      </c>
      <c r="Y79" s="7">
        <v>14</v>
      </c>
      <c r="Z79" s="11">
        <v>5</v>
      </c>
      <c r="AA79" s="7">
        <v>0</v>
      </c>
      <c r="AB79" s="11">
        <v>9</v>
      </c>
      <c r="AC79" s="7">
        <v>2</v>
      </c>
      <c r="AD79" s="11">
        <v>11</v>
      </c>
      <c r="AE79" s="8">
        <f t="shared" si="27"/>
        <v>19288.080000000002</v>
      </c>
      <c r="AF79" s="1">
        <v>0</v>
      </c>
      <c r="AG79" s="1">
        <v>79</v>
      </c>
      <c r="AH79" s="1">
        <v>9</v>
      </c>
      <c r="AI79" s="12">
        <v>0</v>
      </c>
      <c r="AJ79" s="12">
        <v>23</v>
      </c>
      <c r="AK79" s="12">
        <v>0</v>
      </c>
      <c r="AL79" s="12">
        <v>10</v>
      </c>
      <c r="AM79" s="3">
        <f t="shared" ref="AM79:AM85" si="29">SUM(AF79:AL79)</f>
        <v>121</v>
      </c>
      <c r="AO79" t="s">
        <v>78</v>
      </c>
      <c r="AP79" t="s">
        <v>79</v>
      </c>
    </row>
    <row r="80" spans="1:42" x14ac:dyDescent="0.25">
      <c r="A80" t="s">
        <v>18</v>
      </c>
      <c r="B80" s="5"/>
      <c r="C80" s="9" t="s">
        <v>80</v>
      </c>
      <c r="D80" s="11">
        <v>0</v>
      </c>
      <c r="E80" s="7">
        <v>12</v>
      </c>
      <c r="F80" s="11">
        <v>5</v>
      </c>
      <c r="G80" s="7">
        <v>2</v>
      </c>
      <c r="H80" s="11">
        <v>9</v>
      </c>
      <c r="I80" s="7">
        <v>2</v>
      </c>
      <c r="J80" s="11">
        <v>11</v>
      </c>
      <c r="K80" s="8">
        <f t="shared" si="26"/>
        <v>7564.56</v>
      </c>
      <c r="L80" s="1">
        <v>0</v>
      </c>
      <c r="M80" s="1">
        <v>56</v>
      </c>
      <c r="N80" s="1">
        <v>9</v>
      </c>
      <c r="O80" s="12">
        <v>0</v>
      </c>
      <c r="P80" s="12">
        <v>23</v>
      </c>
      <c r="Q80" s="12">
        <v>0</v>
      </c>
      <c r="R80" s="12">
        <v>10</v>
      </c>
      <c r="S80" s="3">
        <f t="shared" si="28"/>
        <v>98</v>
      </c>
      <c r="U80" t="s">
        <v>18</v>
      </c>
      <c r="V80" s="5"/>
      <c r="W80" s="9" t="s">
        <v>80</v>
      </c>
      <c r="X80" s="11">
        <v>0</v>
      </c>
      <c r="Y80" s="7">
        <v>14</v>
      </c>
      <c r="Z80" s="11">
        <v>5</v>
      </c>
      <c r="AA80" s="7">
        <v>2</v>
      </c>
      <c r="AB80" s="11">
        <v>9</v>
      </c>
      <c r="AC80" s="7">
        <v>2</v>
      </c>
      <c r="AD80" s="11">
        <v>11</v>
      </c>
      <c r="AE80" s="8">
        <f t="shared" si="27"/>
        <v>19288.080000000002</v>
      </c>
      <c r="AF80" s="1">
        <v>0</v>
      </c>
      <c r="AG80" s="1">
        <v>79</v>
      </c>
      <c r="AH80" s="1">
        <v>9</v>
      </c>
      <c r="AI80" s="12">
        <v>0</v>
      </c>
      <c r="AJ80" s="12">
        <v>23</v>
      </c>
      <c r="AK80" s="12">
        <v>0</v>
      </c>
      <c r="AL80" s="12">
        <v>10</v>
      </c>
      <c r="AM80" s="3">
        <f t="shared" si="29"/>
        <v>121</v>
      </c>
      <c r="AN80" s="18" t="s">
        <v>0</v>
      </c>
      <c r="AO80">
        <v>23</v>
      </c>
      <c r="AP80" s="19">
        <f>AO80/16</f>
        <v>1.4375</v>
      </c>
    </row>
    <row r="81" spans="1:39" x14ac:dyDescent="0.25">
      <c r="A81" t="s">
        <v>19</v>
      </c>
      <c r="B81" s="5"/>
      <c r="C81" s="9" t="s">
        <v>82</v>
      </c>
      <c r="D81" s="11">
        <v>0</v>
      </c>
      <c r="E81" s="7">
        <v>12</v>
      </c>
      <c r="F81" s="11">
        <v>5</v>
      </c>
      <c r="G81" s="7">
        <v>2</v>
      </c>
      <c r="H81" s="11">
        <v>9</v>
      </c>
      <c r="I81" s="7">
        <v>2</v>
      </c>
      <c r="J81" s="11">
        <v>11</v>
      </c>
      <c r="K81" s="8">
        <f t="shared" si="26"/>
        <v>7564.56</v>
      </c>
      <c r="L81" s="1">
        <v>0</v>
      </c>
      <c r="M81" s="1">
        <v>56</v>
      </c>
      <c r="N81" s="1">
        <v>9</v>
      </c>
      <c r="O81" s="12">
        <v>0</v>
      </c>
      <c r="P81" s="12">
        <v>23</v>
      </c>
      <c r="Q81" s="12">
        <v>0</v>
      </c>
      <c r="R81" s="12">
        <v>10</v>
      </c>
      <c r="S81" s="3">
        <f t="shared" si="28"/>
        <v>98</v>
      </c>
      <c r="U81" t="s">
        <v>19</v>
      </c>
      <c r="V81" s="5"/>
      <c r="W81" s="9" t="s">
        <v>82</v>
      </c>
      <c r="X81" s="11">
        <v>0</v>
      </c>
      <c r="Y81" s="7">
        <v>14</v>
      </c>
      <c r="Z81" s="11">
        <v>5</v>
      </c>
      <c r="AA81" s="7">
        <v>2</v>
      </c>
      <c r="AB81" s="11">
        <v>9</v>
      </c>
      <c r="AC81" s="7">
        <v>2</v>
      </c>
      <c r="AD81" s="11">
        <v>11</v>
      </c>
      <c r="AE81" s="8">
        <f t="shared" si="27"/>
        <v>19288.080000000002</v>
      </c>
      <c r="AF81" s="1">
        <v>0</v>
      </c>
      <c r="AG81" s="1">
        <v>79</v>
      </c>
      <c r="AH81" s="1">
        <v>9</v>
      </c>
      <c r="AI81" s="12">
        <v>0</v>
      </c>
      <c r="AJ81" s="12">
        <v>23</v>
      </c>
      <c r="AK81" s="12">
        <v>0</v>
      </c>
      <c r="AL81" s="12">
        <v>10</v>
      </c>
      <c r="AM81" s="3">
        <f t="shared" si="29"/>
        <v>121</v>
      </c>
    </row>
    <row r="82" spans="1:39" x14ac:dyDescent="0.25">
      <c r="A82" t="s">
        <v>20</v>
      </c>
      <c r="B82" s="5"/>
      <c r="C82" s="9" t="s">
        <v>83</v>
      </c>
      <c r="D82" s="11">
        <v>0</v>
      </c>
      <c r="E82" s="7">
        <v>12</v>
      </c>
      <c r="F82" s="11">
        <v>5</v>
      </c>
      <c r="G82" s="7">
        <v>2</v>
      </c>
      <c r="H82" s="11">
        <v>9</v>
      </c>
      <c r="I82" s="7">
        <v>2</v>
      </c>
      <c r="J82" s="11">
        <v>11</v>
      </c>
      <c r="K82" s="8">
        <f t="shared" si="26"/>
        <v>7564.56</v>
      </c>
      <c r="L82" s="1">
        <v>0</v>
      </c>
      <c r="M82" s="1">
        <v>56</v>
      </c>
      <c r="N82" s="1">
        <v>9</v>
      </c>
      <c r="O82" s="12">
        <v>0</v>
      </c>
      <c r="P82" s="12">
        <v>23</v>
      </c>
      <c r="Q82" s="12">
        <v>0</v>
      </c>
      <c r="R82" s="12">
        <v>10</v>
      </c>
      <c r="S82" s="3">
        <f t="shared" si="28"/>
        <v>98</v>
      </c>
      <c r="U82" t="s">
        <v>20</v>
      </c>
      <c r="V82" s="5"/>
      <c r="W82" s="9" t="s">
        <v>83</v>
      </c>
      <c r="X82" s="11">
        <v>0</v>
      </c>
      <c r="Y82" s="7">
        <v>14</v>
      </c>
      <c r="Z82" s="11">
        <v>5</v>
      </c>
      <c r="AA82" s="7">
        <v>2</v>
      </c>
      <c r="AB82" s="11">
        <v>9</v>
      </c>
      <c r="AC82" s="7">
        <v>2</v>
      </c>
      <c r="AD82" s="11">
        <v>11</v>
      </c>
      <c r="AE82" s="8">
        <f t="shared" si="27"/>
        <v>19288.080000000002</v>
      </c>
      <c r="AF82" s="1">
        <v>0</v>
      </c>
      <c r="AG82" s="1">
        <v>79</v>
      </c>
      <c r="AH82" s="1">
        <v>9</v>
      </c>
      <c r="AI82" s="12">
        <v>0</v>
      </c>
      <c r="AJ82" s="12">
        <v>23</v>
      </c>
      <c r="AK82" s="12">
        <v>0</v>
      </c>
      <c r="AL82" s="12">
        <v>10</v>
      </c>
      <c r="AM82" s="3">
        <f t="shared" si="29"/>
        <v>121</v>
      </c>
    </row>
    <row r="83" spans="1:39" x14ac:dyDescent="0.25">
      <c r="A83" t="s">
        <v>21</v>
      </c>
      <c r="B83" s="5"/>
      <c r="C83" s="9" t="s">
        <v>82</v>
      </c>
      <c r="D83" s="11">
        <v>0</v>
      </c>
      <c r="E83" s="7">
        <v>12</v>
      </c>
      <c r="F83" s="11">
        <v>12</v>
      </c>
      <c r="G83" s="7">
        <v>2</v>
      </c>
      <c r="H83" s="11">
        <v>12</v>
      </c>
      <c r="I83" s="7">
        <v>7</v>
      </c>
      <c r="J83" s="11">
        <v>12.5</v>
      </c>
      <c r="K83" s="8">
        <f>(7010+4335+515+245)*1.035</f>
        <v>12528.674999999999</v>
      </c>
      <c r="L83" s="1">
        <v>0</v>
      </c>
      <c r="M83" s="1">
        <v>56</v>
      </c>
      <c r="N83" s="1">
        <v>48</v>
      </c>
      <c r="O83" s="12">
        <v>0</v>
      </c>
      <c r="P83" s="12">
        <v>43</v>
      </c>
      <c r="Q83" s="12">
        <v>16</v>
      </c>
      <c r="R83" s="12">
        <v>13</v>
      </c>
      <c r="S83" s="3">
        <f t="shared" si="28"/>
        <v>176</v>
      </c>
      <c r="U83" t="s">
        <v>21</v>
      </c>
      <c r="V83" s="5"/>
      <c r="W83" s="9" t="s">
        <v>82</v>
      </c>
      <c r="X83" s="11">
        <v>0</v>
      </c>
      <c r="Y83" s="7">
        <v>12</v>
      </c>
      <c r="Z83" s="11">
        <v>12</v>
      </c>
      <c r="AA83" s="7">
        <v>2</v>
      </c>
      <c r="AB83" s="11">
        <v>12</v>
      </c>
      <c r="AC83" s="7">
        <v>7</v>
      </c>
      <c r="AD83" s="11">
        <v>12.5</v>
      </c>
      <c r="AE83" s="8">
        <f>(7010+4335+515+245)*1.035</f>
        <v>12528.674999999999</v>
      </c>
      <c r="AF83" s="1">
        <v>0</v>
      </c>
      <c r="AG83" s="1">
        <v>56</v>
      </c>
      <c r="AH83" s="1">
        <v>48</v>
      </c>
      <c r="AI83" s="12">
        <v>0</v>
      </c>
      <c r="AJ83" s="12">
        <v>43</v>
      </c>
      <c r="AK83" s="12">
        <v>16</v>
      </c>
      <c r="AL83" s="12">
        <v>13</v>
      </c>
      <c r="AM83" s="3">
        <f t="shared" si="29"/>
        <v>176</v>
      </c>
    </row>
    <row r="84" spans="1:39" x14ac:dyDescent="0.25">
      <c r="A84" t="s">
        <v>21</v>
      </c>
      <c r="B84" s="5"/>
      <c r="C84" s="9" t="s">
        <v>81</v>
      </c>
      <c r="D84" s="11">
        <v>0</v>
      </c>
      <c r="E84" s="7">
        <v>12</v>
      </c>
      <c r="F84" s="11">
        <v>12</v>
      </c>
      <c r="G84" s="7">
        <v>2</v>
      </c>
      <c r="H84" s="11">
        <v>12</v>
      </c>
      <c r="I84" s="7">
        <v>7</v>
      </c>
      <c r="J84" s="11">
        <v>12.5</v>
      </c>
      <c r="K84" s="8">
        <f>(7010+4335+515+245)*1.035</f>
        <v>12528.674999999999</v>
      </c>
      <c r="L84" s="1">
        <v>0</v>
      </c>
      <c r="M84" s="1">
        <v>56</v>
      </c>
      <c r="N84" s="1">
        <v>48</v>
      </c>
      <c r="O84" s="12">
        <v>0</v>
      </c>
      <c r="P84" s="12">
        <v>43</v>
      </c>
      <c r="Q84" s="12">
        <v>16</v>
      </c>
      <c r="R84" s="12">
        <v>13</v>
      </c>
      <c r="S84" s="3">
        <f t="shared" si="28"/>
        <v>176</v>
      </c>
      <c r="U84" t="s">
        <v>21</v>
      </c>
      <c r="V84" s="5"/>
      <c r="W84" s="9" t="s">
        <v>81</v>
      </c>
      <c r="X84" s="11">
        <v>0</v>
      </c>
      <c r="Y84" s="7">
        <v>12</v>
      </c>
      <c r="Z84" s="11">
        <v>12</v>
      </c>
      <c r="AA84" s="7">
        <v>2</v>
      </c>
      <c r="AB84" s="11">
        <v>12</v>
      </c>
      <c r="AC84" s="7">
        <v>7</v>
      </c>
      <c r="AD84" s="11">
        <v>12.5</v>
      </c>
      <c r="AE84" s="8">
        <f>(7010+4335+515+245)*1.035</f>
        <v>12528.674999999999</v>
      </c>
      <c r="AF84" s="1">
        <v>0</v>
      </c>
      <c r="AG84" s="1">
        <v>56</v>
      </c>
      <c r="AH84" s="1">
        <v>48</v>
      </c>
      <c r="AI84" s="12">
        <v>0</v>
      </c>
      <c r="AJ84" s="12">
        <v>43</v>
      </c>
      <c r="AK84" s="12">
        <v>16</v>
      </c>
      <c r="AL84" s="12">
        <v>13</v>
      </c>
      <c r="AM84" s="3">
        <f t="shared" si="29"/>
        <v>176</v>
      </c>
    </row>
    <row r="85" spans="1:39" x14ac:dyDescent="0.25">
      <c r="A85" t="s">
        <v>23</v>
      </c>
      <c r="B85" s="5"/>
      <c r="C85" s="9" t="s">
        <v>76</v>
      </c>
      <c r="D85" s="11">
        <v>0</v>
      </c>
      <c r="E85" s="7">
        <f>8+2/6</f>
        <v>8.3333333333333339</v>
      </c>
      <c r="F85" s="11">
        <v>2</v>
      </c>
      <c r="G85" s="7">
        <v>12</v>
      </c>
      <c r="H85" s="11">
        <v>9</v>
      </c>
      <c r="I85" s="7">
        <v>7</v>
      </c>
      <c r="J85" s="11">
        <v>11</v>
      </c>
      <c r="K85" s="8">
        <f>(145+245+4470+800)*1.032</f>
        <v>5841.12</v>
      </c>
      <c r="L85" s="1">
        <v>0</v>
      </c>
      <c r="M85" s="1">
        <v>26</v>
      </c>
      <c r="N85" s="1">
        <v>0</v>
      </c>
      <c r="O85" s="12">
        <v>33</v>
      </c>
      <c r="P85" s="12">
        <v>23</v>
      </c>
      <c r="Q85" s="12">
        <v>16</v>
      </c>
      <c r="R85" s="12">
        <v>10</v>
      </c>
      <c r="S85" s="3">
        <f t="shared" si="28"/>
        <v>108</v>
      </c>
      <c r="U85" t="s">
        <v>23</v>
      </c>
      <c r="V85" s="5"/>
      <c r="W85" s="9" t="s">
        <v>76</v>
      </c>
      <c r="X85" s="11">
        <v>0</v>
      </c>
      <c r="Y85" s="7">
        <f>11+3/10</f>
        <v>11.3</v>
      </c>
      <c r="Z85" s="11">
        <v>2</v>
      </c>
      <c r="AA85" s="7">
        <v>12</v>
      </c>
      <c r="AB85" s="11">
        <v>9</v>
      </c>
      <c r="AC85" s="7">
        <v>7</v>
      </c>
      <c r="AD85" s="11">
        <v>11</v>
      </c>
      <c r="AE85" s="8">
        <f>(145+245+4470+2500)*1.032</f>
        <v>7595.52</v>
      </c>
      <c r="AF85" s="1">
        <v>0</v>
      </c>
      <c r="AG85" s="1">
        <v>49</v>
      </c>
      <c r="AH85" s="1">
        <v>0</v>
      </c>
      <c r="AI85" s="12">
        <v>33</v>
      </c>
      <c r="AJ85" s="12">
        <v>23</v>
      </c>
      <c r="AK85" s="12">
        <v>16</v>
      </c>
      <c r="AL85" s="12">
        <v>10</v>
      </c>
      <c r="AM85" s="3">
        <f t="shared" si="29"/>
        <v>131</v>
      </c>
    </row>
    <row r="86" spans="1:39" x14ac:dyDescent="0.25">
      <c r="A86" t="s">
        <v>24</v>
      </c>
      <c r="B86" s="5"/>
      <c r="C86" s="9" t="s">
        <v>80</v>
      </c>
      <c r="D86" s="11">
        <v>0</v>
      </c>
      <c r="E86" s="7">
        <f>8+2/6</f>
        <v>8.3333333333333339</v>
      </c>
      <c r="F86" s="11">
        <v>2</v>
      </c>
      <c r="G86" s="7">
        <v>12</v>
      </c>
      <c r="H86" s="11">
        <v>9</v>
      </c>
      <c r="I86" s="7">
        <v>7</v>
      </c>
      <c r="J86" s="11">
        <v>11</v>
      </c>
      <c r="K86" s="8">
        <f>(145+245+4470+800)*1.032</f>
        <v>5841.12</v>
      </c>
      <c r="L86" s="1">
        <v>0</v>
      </c>
      <c r="M86" s="1">
        <v>26</v>
      </c>
      <c r="N86" s="1">
        <v>0</v>
      </c>
      <c r="O86" s="12">
        <v>33</v>
      </c>
      <c r="P86" s="12">
        <v>23</v>
      </c>
      <c r="Q86" s="12">
        <v>16</v>
      </c>
      <c r="R86" s="12">
        <v>10</v>
      </c>
      <c r="S86" s="3">
        <f>SUM(L86:R86)</f>
        <v>108</v>
      </c>
      <c r="U86" t="s">
        <v>24</v>
      </c>
      <c r="V86" s="5"/>
      <c r="W86" s="9" t="s">
        <v>80</v>
      </c>
      <c r="X86" s="11">
        <v>0</v>
      </c>
      <c r="Y86" s="7">
        <f>11+3/10</f>
        <v>11.3</v>
      </c>
      <c r="Z86" s="11">
        <v>2</v>
      </c>
      <c r="AA86" s="7">
        <v>12</v>
      </c>
      <c r="AB86" s="11">
        <v>9</v>
      </c>
      <c r="AC86" s="7">
        <v>7</v>
      </c>
      <c r="AD86" s="11">
        <v>11</v>
      </c>
      <c r="AE86" s="8">
        <f>(145+245+4470+2500)*1.032</f>
        <v>7595.52</v>
      </c>
      <c r="AF86" s="1">
        <v>0</v>
      </c>
      <c r="AG86" s="1">
        <v>49</v>
      </c>
      <c r="AH86" s="1">
        <v>0</v>
      </c>
      <c r="AI86" s="12">
        <v>33</v>
      </c>
      <c r="AJ86" s="12">
        <v>23</v>
      </c>
      <c r="AK86" s="12">
        <v>16</v>
      </c>
      <c r="AL86" s="12">
        <v>10</v>
      </c>
      <c r="AM86" s="3">
        <f>SUM(AF86:AL86)</f>
        <v>131</v>
      </c>
    </row>
    <row r="87" spans="1:39" x14ac:dyDescent="0.25">
      <c r="A87" t="s">
        <v>26</v>
      </c>
      <c r="B87" s="5"/>
      <c r="C87" s="9" t="s">
        <v>80</v>
      </c>
      <c r="D87" s="11">
        <v>0</v>
      </c>
      <c r="E87" s="7">
        <f>8+2/6</f>
        <v>8.3333333333333339</v>
      </c>
      <c r="F87" s="11">
        <v>2</v>
      </c>
      <c r="G87" s="7">
        <v>12</v>
      </c>
      <c r="H87" s="11">
        <v>9</v>
      </c>
      <c r="I87" s="7">
        <v>7</v>
      </c>
      <c r="J87" s="11">
        <v>11</v>
      </c>
      <c r="K87" s="8">
        <f>(145+245+4470+800)*1.032</f>
        <v>5841.12</v>
      </c>
      <c r="L87" s="1">
        <v>0</v>
      </c>
      <c r="M87" s="1">
        <v>26</v>
      </c>
      <c r="N87" s="1">
        <v>0</v>
      </c>
      <c r="O87" s="12">
        <v>33</v>
      </c>
      <c r="P87" s="12">
        <v>23</v>
      </c>
      <c r="Q87" s="12">
        <v>16</v>
      </c>
      <c r="R87" s="12">
        <v>10</v>
      </c>
      <c r="S87" s="3">
        <f>SUM(L87:R87)</f>
        <v>108</v>
      </c>
      <c r="U87" t="s">
        <v>26</v>
      </c>
      <c r="V87" s="5"/>
      <c r="W87" s="9" t="s">
        <v>80</v>
      </c>
      <c r="X87" s="11">
        <v>0</v>
      </c>
      <c r="Y87" s="7">
        <f>11+3/10</f>
        <v>11.3</v>
      </c>
      <c r="Z87" s="11">
        <v>2</v>
      </c>
      <c r="AA87" s="7">
        <v>12</v>
      </c>
      <c r="AB87" s="11">
        <v>9</v>
      </c>
      <c r="AC87" s="7">
        <v>7</v>
      </c>
      <c r="AD87" s="11">
        <v>11</v>
      </c>
      <c r="AE87" s="8">
        <f>(145+245+4470+2500)*1.032</f>
        <v>7595.52</v>
      </c>
      <c r="AF87" s="1">
        <v>0</v>
      </c>
      <c r="AG87" s="1">
        <v>49</v>
      </c>
      <c r="AH87" s="1">
        <v>0</v>
      </c>
      <c r="AI87" s="12">
        <v>33</v>
      </c>
      <c r="AJ87" s="12">
        <v>23</v>
      </c>
      <c r="AK87" s="12">
        <v>16</v>
      </c>
      <c r="AL87" s="12">
        <v>10</v>
      </c>
      <c r="AM87" s="3">
        <f>SUM(AF87:AL87)</f>
        <v>131</v>
      </c>
    </row>
    <row r="88" spans="1:39" x14ac:dyDescent="0.25">
      <c r="A88" t="s">
        <v>27</v>
      </c>
      <c r="B88" s="5"/>
      <c r="C88" s="9" t="s">
        <v>80</v>
      </c>
      <c r="D88" s="11">
        <v>0</v>
      </c>
      <c r="E88" s="7">
        <v>2</v>
      </c>
      <c r="F88" s="11">
        <v>2</v>
      </c>
      <c r="G88" s="7">
        <v>10</v>
      </c>
      <c r="H88" s="11">
        <v>14</v>
      </c>
      <c r="I88" s="7">
        <v>12</v>
      </c>
      <c r="J88" s="11">
        <v>15</v>
      </c>
      <c r="K88" s="8">
        <f>(14290+3955+785)*1.043</f>
        <v>19848.289999999997</v>
      </c>
      <c r="L88" s="1">
        <v>0</v>
      </c>
      <c r="M88" s="1">
        <v>0</v>
      </c>
      <c r="N88" s="1">
        <v>0</v>
      </c>
      <c r="O88" s="12">
        <v>23</v>
      </c>
      <c r="P88" s="12">
        <v>62</v>
      </c>
      <c r="Q88" s="12">
        <v>49</v>
      </c>
      <c r="R88" s="12">
        <v>18</v>
      </c>
      <c r="S88" s="3">
        <f t="shared" ref="S88:S90" si="30">SUM(L88:R88)</f>
        <v>152</v>
      </c>
      <c r="U88" t="s">
        <v>27</v>
      </c>
      <c r="V88" s="5"/>
      <c r="W88" s="9" t="s">
        <v>80</v>
      </c>
      <c r="X88" s="11">
        <v>0</v>
      </c>
      <c r="Y88" s="7">
        <v>2</v>
      </c>
      <c r="Z88" s="11">
        <v>2</v>
      </c>
      <c r="AA88" s="7">
        <v>10</v>
      </c>
      <c r="AB88" s="11">
        <v>14</v>
      </c>
      <c r="AC88" s="7">
        <v>12</v>
      </c>
      <c r="AD88" s="11">
        <v>15</v>
      </c>
      <c r="AE88" s="8">
        <f>(14290+3955+785)*1.043</f>
        <v>19848.289999999997</v>
      </c>
      <c r="AF88" s="1">
        <v>0</v>
      </c>
      <c r="AG88" s="1">
        <v>0</v>
      </c>
      <c r="AH88" s="1">
        <v>0</v>
      </c>
      <c r="AI88" s="12">
        <v>23</v>
      </c>
      <c r="AJ88" s="12">
        <v>62</v>
      </c>
      <c r="AK88" s="12">
        <v>49</v>
      </c>
      <c r="AL88" s="12">
        <v>18</v>
      </c>
      <c r="AM88" s="3">
        <f t="shared" ref="AM88:AM90" si="31">SUM(AF88:AL88)</f>
        <v>152</v>
      </c>
    </row>
    <row r="89" spans="1:39" x14ac:dyDescent="0.25">
      <c r="A89" t="s">
        <v>28</v>
      </c>
      <c r="B89" s="5"/>
      <c r="C89" s="9" t="s">
        <v>76</v>
      </c>
      <c r="D89" s="11">
        <v>0</v>
      </c>
      <c r="E89" s="7">
        <v>2</v>
      </c>
      <c r="F89" s="11">
        <v>2</v>
      </c>
      <c r="G89" s="7">
        <v>10</v>
      </c>
      <c r="H89" s="11">
        <v>14</v>
      </c>
      <c r="I89" s="7">
        <v>12</v>
      </c>
      <c r="J89" s="11">
        <v>15</v>
      </c>
      <c r="K89" s="8">
        <f>(14290+3955+785)*1.043</f>
        <v>19848.289999999997</v>
      </c>
      <c r="L89" s="1">
        <v>0</v>
      </c>
      <c r="M89" s="1">
        <v>0</v>
      </c>
      <c r="N89" s="1">
        <v>0</v>
      </c>
      <c r="O89" s="12">
        <v>23</v>
      </c>
      <c r="P89" s="12">
        <v>62</v>
      </c>
      <c r="Q89" s="12">
        <v>49</v>
      </c>
      <c r="R89" s="12">
        <v>18</v>
      </c>
      <c r="S89" s="3">
        <f t="shared" si="30"/>
        <v>152</v>
      </c>
      <c r="U89" t="s">
        <v>28</v>
      </c>
      <c r="V89" s="5"/>
      <c r="W89" s="9" t="s">
        <v>76</v>
      </c>
      <c r="X89" s="11">
        <v>0</v>
      </c>
      <c r="Y89" s="7">
        <v>2</v>
      </c>
      <c r="Z89" s="11">
        <v>2</v>
      </c>
      <c r="AA89" s="7">
        <v>10</v>
      </c>
      <c r="AB89" s="11">
        <v>14</v>
      </c>
      <c r="AC89" s="7">
        <v>12</v>
      </c>
      <c r="AD89" s="11">
        <v>15</v>
      </c>
      <c r="AE89" s="8">
        <f>(14290+3955+785)*1.043</f>
        <v>19848.289999999997</v>
      </c>
      <c r="AF89" s="1">
        <v>0</v>
      </c>
      <c r="AG89" s="1">
        <v>0</v>
      </c>
      <c r="AH89" s="1">
        <v>0</v>
      </c>
      <c r="AI89" s="12">
        <v>23</v>
      </c>
      <c r="AJ89" s="12">
        <v>62</v>
      </c>
      <c r="AK89" s="12">
        <v>49</v>
      </c>
      <c r="AL89" s="12">
        <v>18</v>
      </c>
      <c r="AM89" s="3">
        <f t="shared" si="31"/>
        <v>152</v>
      </c>
    </row>
    <row r="90" spans="1:39" x14ac:dyDescent="0.25">
      <c r="A90" t="s">
        <v>56</v>
      </c>
      <c r="B90" s="5"/>
      <c r="C90" s="9" t="s">
        <v>80</v>
      </c>
      <c r="D90" s="11">
        <v>0</v>
      </c>
      <c r="E90" s="7">
        <v>2</v>
      </c>
      <c r="F90" s="11">
        <v>2</v>
      </c>
      <c r="G90" s="7">
        <v>10</v>
      </c>
      <c r="H90" s="11">
        <v>14</v>
      </c>
      <c r="I90" s="7">
        <v>12</v>
      </c>
      <c r="J90" s="11">
        <v>15</v>
      </c>
      <c r="K90" s="8">
        <f>(14290+3955+785)*1.043</f>
        <v>19848.289999999997</v>
      </c>
      <c r="L90" s="1">
        <v>0</v>
      </c>
      <c r="M90" s="1">
        <v>0</v>
      </c>
      <c r="N90" s="1">
        <v>0</v>
      </c>
      <c r="O90" s="12">
        <v>23</v>
      </c>
      <c r="P90" s="12">
        <v>62</v>
      </c>
      <c r="Q90" s="12">
        <v>49</v>
      </c>
      <c r="R90" s="12">
        <v>18</v>
      </c>
      <c r="S90" s="3">
        <f t="shared" si="30"/>
        <v>152</v>
      </c>
      <c r="U90" t="s">
        <v>56</v>
      </c>
      <c r="V90" s="5"/>
      <c r="W90" s="9" t="s">
        <v>80</v>
      </c>
      <c r="X90" s="11">
        <v>0</v>
      </c>
      <c r="Y90" s="7">
        <v>2</v>
      </c>
      <c r="Z90" s="11">
        <v>2</v>
      </c>
      <c r="AA90" s="7">
        <v>10</v>
      </c>
      <c r="AB90" s="11">
        <v>14</v>
      </c>
      <c r="AC90" s="7">
        <v>12</v>
      </c>
      <c r="AD90" s="11">
        <v>15</v>
      </c>
      <c r="AE90" s="8">
        <f>(14290+3955+785)*1.043</f>
        <v>19848.289999999997</v>
      </c>
      <c r="AF90" s="1">
        <v>0</v>
      </c>
      <c r="AG90" s="1">
        <v>0</v>
      </c>
      <c r="AH90" s="1">
        <v>0</v>
      </c>
      <c r="AI90" s="12">
        <v>23</v>
      </c>
      <c r="AJ90" s="12">
        <v>62</v>
      </c>
      <c r="AK90" s="12">
        <v>49</v>
      </c>
      <c r="AL90" s="12">
        <v>18</v>
      </c>
      <c r="AM90" s="3">
        <f t="shared" si="31"/>
        <v>152</v>
      </c>
    </row>
  </sheetData>
  <conditionalFormatting sqref="D3:J18">
    <cfRule type="colorScale" priority="31">
      <colorScale>
        <cfvo type="min"/>
        <cfvo type="max"/>
        <color rgb="FFFFEF9C"/>
        <color rgb="FF63BE7B"/>
      </colorScale>
    </cfRule>
  </conditionalFormatting>
  <conditionalFormatting sqref="L3:R18">
    <cfRule type="colorScale" priority="30">
      <colorScale>
        <cfvo type="min"/>
        <cfvo type="max"/>
        <color rgb="FFFCFCFF"/>
        <color rgb="FF63BE7B"/>
      </colorScale>
    </cfRule>
  </conditionalFormatting>
  <conditionalFormatting sqref="K3:K18">
    <cfRule type="colorScale" priority="29">
      <colorScale>
        <cfvo type="min"/>
        <cfvo type="max"/>
        <color rgb="FFFCFCFF"/>
        <color rgb="FFF8696B"/>
      </colorScale>
    </cfRule>
  </conditionalFormatting>
  <conditionalFormatting sqref="D21:J36">
    <cfRule type="colorScale" priority="28">
      <colorScale>
        <cfvo type="min"/>
        <cfvo type="max"/>
        <color rgb="FFFFEF9C"/>
        <color rgb="FF63BE7B"/>
      </colorScale>
    </cfRule>
  </conditionalFormatting>
  <conditionalFormatting sqref="K21:K36">
    <cfRule type="dataBar" priority="2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{C21EAECE-35B0-4F7A-AA85-34D4495CCE9B}</x14:id>
        </ext>
      </extLst>
    </cfRule>
  </conditionalFormatting>
  <conditionalFormatting sqref="L21:R36">
    <cfRule type="colorScale" priority="26">
      <colorScale>
        <cfvo type="min"/>
        <cfvo type="max"/>
        <color rgb="FFFCFCFF"/>
        <color rgb="FF63BE7B"/>
      </colorScale>
    </cfRule>
  </conditionalFormatting>
  <conditionalFormatting sqref="X21:AD36">
    <cfRule type="colorScale" priority="25">
      <colorScale>
        <cfvo type="min"/>
        <cfvo type="max"/>
        <color rgb="FFFFEF9C"/>
        <color rgb="FF63BE7B"/>
      </colorScale>
    </cfRule>
  </conditionalFormatting>
  <conditionalFormatting sqref="AE21:AE36">
    <cfRule type="dataBar" priority="2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{B337EF6E-0DE2-49A9-AC31-9599F9FB1CBE}</x14:id>
        </ext>
      </extLst>
    </cfRule>
  </conditionalFormatting>
  <conditionalFormatting sqref="AF21:AL36">
    <cfRule type="colorScale" priority="23">
      <colorScale>
        <cfvo type="min"/>
        <cfvo type="max"/>
        <color rgb="FFFCFCFF"/>
        <color rgb="FF63BE7B"/>
      </colorScale>
    </cfRule>
  </conditionalFormatting>
  <conditionalFormatting sqref="D39:J54">
    <cfRule type="colorScale" priority="22">
      <colorScale>
        <cfvo type="min"/>
        <cfvo type="max"/>
        <color rgb="FFFFEF9C"/>
        <color rgb="FF63BE7B"/>
      </colorScale>
    </cfRule>
  </conditionalFormatting>
  <conditionalFormatting sqref="K39:K54">
    <cfRule type="dataBar" priority="2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{98B09BCF-19E5-4400-9256-3B5C56F57798}</x14:id>
        </ext>
      </extLst>
    </cfRule>
  </conditionalFormatting>
  <conditionalFormatting sqref="L39:R54">
    <cfRule type="colorScale" priority="20">
      <colorScale>
        <cfvo type="min"/>
        <cfvo type="max"/>
        <color rgb="FFFCFCFF"/>
        <color rgb="FF63BE7B"/>
      </colorScale>
    </cfRule>
  </conditionalFormatting>
  <conditionalFormatting sqref="X39:AD54">
    <cfRule type="colorScale" priority="19">
      <colorScale>
        <cfvo type="min"/>
        <cfvo type="max"/>
        <color rgb="FFFFEF9C"/>
        <color rgb="FF63BE7B"/>
      </colorScale>
    </cfRule>
  </conditionalFormatting>
  <conditionalFormatting sqref="AE39:AE54">
    <cfRule type="dataBar" priority="1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{2CB4204D-2DCE-4759-97CF-86AA04AA825E}</x14:id>
        </ext>
      </extLst>
    </cfRule>
  </conditionalFormatting>
  <conditionalFormatting sqref="AF39:AL54">
    <cfRule type="colorScale" priority="17">
      <colorScale>
        <cfvo type="min"/>
        <cfvo type="max"/>
        <color rgb="FFFCFCFF"/>
        <color rgb="FF63BE7B"/>
      </colorScale>
    </cfRule>
  </conditionalFormatting>
  <conditionalFormatting sqref="D57:J72">
    <cfRule type="colorScale" priority="16">
      <colorScale>
        <cfvo type="min"/>
        <cfvo type="max"/>
        <color rgb="FFFFEF9C"/>
        <color rgb="FF63BE7B"/>
      </colorScale>
    </cfRule>
  </conditionalFormatting>
  <conditionalFormatting sqref="K57:K72">
    <cfRule type="dataBar" priority="1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{98718DA7-6773-4718-8539-3B9D7592ECA6}</x14:id>
        </ext>
      </extLst>
    </cfRule>
  </conditionalFormatting>
  <conditionalFormatting sqref="L57:R72">
    <cfRule type="colorScale" priority="14">
      <colorScale>
        <cfvo type="min"/>
        <cfvo type="max"/>
        <color rgb="FFFCFCFF"/>
        <color rgb="FF63BE7B"/>
      </colorScale>
    </cfRule>
  </conditionalFormatting>
  <conditionalFormatting sqref="X57:AD72">
    <cfRule type="colorScale" priority="13">
      <colorScale>
        <cfvo type="min"/>
        <cfvo type="max"/>
        <color rgb="FFFFEF9C"/>
        <color rgb="FF63BE7B"/>
      </colorScale>
    </cfRule>
  </conditionalFormatting>
  <conditionalFormatting sqref="AE57:AE72">
    <cfRule type="dataBar" priority="1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{CF0E7334-A1D7-42DD-9B81-6D831185C458}</x14:id>
        </ext>
      </extLst>
    </cfRule>
  </conditionalFormatting>
  <conditionalFormatting sqref="AF57:AL72">
    <cfRule type="colorScale" priority="10">
      <colorScale>
        <cfvo type="min"/>
        <cfvo type="max"/>
        <color rgb="FFFCFCFF"/>
        <color rgb="FF63BE7B"/>
      </colorScale>
    </cfRule>
  </conditionalFormatting>
  <conditionalFormatting sqref="D75:J90">
    <cfRule type="colorScale" priority="6">
      <colorScale>
        <cfvo type="min"/>
        <cfvo type="max"/>
        <color rgb="FFFFEF9C"/>
        <color rgb="FF63BE7B"/>
      </colorScale>
    </cfRule>
  </conditionalFormatting>
  <conditionalFormatting sqref="K75:K9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{217F154D-C022-438A-849A-153806144272}</x14:id>
        </ext>
      </extLst>
    </cfRule>
  </conditionalFormatting>
  <conditionalFormatting sqref="L75:R90">
    <cfRule type="colorScale" priority="4">
      <colorScale>
        <cfvo type="min"/>
        <cfvo type="max"/>
        <color rgb="FFFCFCFF"/>
        <color rgb="FF63BE7B"/>
      </colorScale>
    </cfRule>
  </conditionalFormatting>
  <conditionalFormatting sqref="X75:AD90">
    <cfRule type="colorScale" priority="3">
      <colorScale>
        <cfvo type="min"/>
        <cfvo type="max"/>
        <color rgb="FFFFEF9C"/>
        <color rgb="FF63BE7B"/>
      </colorScale>
    </cfRule>
  </conditionalFormatting>
  <conditionalFormatting sqref="AE75:AE90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{8D504A43-6166-4F52-9C66-280C906444F2}</x14:id>
        </ext>
      </extLst>
    </cfRule>
  </conditionalFormatting>
  <conditionalFormatting sqref="AF75:AL9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1EAECE-35B0-4F7A-AA85-34D4495CCE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K21:K36</xm:sqref>
        </x14:conditionalFormatting>
        <x14:conditionalFormatting xmlns:xm="http://schemas.microsoft.com/office/excel/2006/main">
          <x14:cfRule type="dataBar" id="{B337EF6E-0DE2-49A9-AC31-9599F9FB1C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AE21:AE36</xm:sqref>
        </x14:conditionalFormatting>
        <x14:conditionalFormatting xmlns:xm="http://schemas.microsoft.com/office/excel/2006/main">
          <x14:cfRule type="dataBar" id="{98B09BCF-19E5-4400-9256-3B5C56F577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K39:K54</xm:sqref>
        </x14:conditionalFormatting>
        <x14:conditionalFormatting xmlns:xm="http://schemas.microsoft.com/office/excel/2006/main">
          <x14:cfRule type="dataBar" id="{2CB4204D-2DCE-4759-97CF-86AA04AA82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AE39:AE54</xm:sqref>
        </x14:conditionalFormatting>
        <x14:conditionalFormatting xmlns:xm="http://schemas.microsoft.com/office/excel/2006/main">
          <x14:cfRule type="dataBar" id="{98718DA7-6773-4718-8539-3B9D7592E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K57:K72</xm:sqref>
        </x14:conditionalFormatting>
        <x14:conditionalFormatting xmlns:xm="http://schemas.microsoft.com/office/excel/2006/main">
          <x14:cfRule type="dataBar" id="{CF0E7334-A1D7-42DD-9B81-6D831185C4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AE57:AE72</xm:sqref>
        </x14:conditionalFormatting>
        <x14:conditionalFormatting xmlns:xm="http://schemas.microsoft.com/office/excel/2006/main">
          <x14:cfRule type="dataBar" id="{217F154D-C022-438A-849A-153806144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K75:K90</xm:sqref>
        </x14:conditionalFormatting>
        <x14:conditionalFormatting xmlns:xm="http://schemas.microsoft.com/office/excel/2006/main">
          <x14:cfRule type="dataBar" id="{8D504A43-6166-4F52-9C66-280C906444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AE75:AE90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-0.249977111117893"/>
  </sheetPr>
  <dimension ref="A1:AS106"/>
  <sheetViews>
    <sheetView workbookViewId="0">
      <selection activeCell="AN5" sqref="AN5"/>
    </sheetView>
  </sheetViews>
  <sheetFormatPr baseColWidth="10" defaultRowHeight="15" x14ac:dyDescent="0.25"/>
  <cols>
    <col min="1" max="1" width="5.140625" bestFit="1" customWidth="1"/>
    <col min="2" max="2" width="6.140625" bestFit="1" customWidth="1"/>
    <col min="3" max="3" width="4.5703125" bestFit="1" customWidth="1"/>
    <col min="4" max="4" width="13.5703125" bestFit="1" customWidth="1"/>
    <col min="5" max="5" width="4.5703125" bestFit="1" customWidth="1"/>
    <col min="6" max="6" width="4" bestFit="1" customWidth="1"/>
    <col min="7" max="13" width="4.5703125" bestFit="1" customWidth="1"/>
    <col min="14" max="14" width="7.28515625" bestFit="1" customWidth="1"/>
    <col min="15" max="15" width="5.5703125" bestFit="1" customWidth="1"/>
    <col min="16" max="16" width="5.7109375" bestFit="1" customWidth="1"/>
    <col min="17" max="17" width="5.28515625" bestFit="1" customWidth="1"/>
    <col min="18" max="18" width="5.5703125" bestFit="1" customWidth="1"/>
    <col min="19" max="19" width="5.42578125" bestFit="1" customWidth="1"/>
    <col min="20" max="21" width="5.7109375" bestFit="1" customWidth="1"/>
    <col min="22" max="22" width="9.140625" bestFit="1" customWidth="1"/>
    <col min="24" max="24" width="5.140625" bestFit="1" customWidth="1"/>
    <col min="25" max="25" width="4.5703125" bestFit="1" customWidth="1"/>
    <col min="26" max="26" width="4" bestFit="1" customWidth="1"/>
    <col min="27" max="27" width="5.42578125" customWidth="1"/>
    <col min="28" max="33" width="4.5703125" bestFit="1" customWidth="1"/>
    <col min="34" max="34" width="7.28515625" bestFit="1" customWidth="1"/>
    <col min="35" max="35" width="5.5703125" bestFit="1" customWidth="1"/>
    <col min="36" max="36" width="5.7109375" bestFit="1" customWidth="1"/>
    <col min="37" max="37" width="5.28515625" bestFit="1" customWidth="1"/>
    <col min="38" max="38" width="5.5703125" bestFit="1" customWidth="1"/>
    <col min="39" max="39" width="5.42578125" bestFit="1" customWidth="1"/>
    <col min="40" max="41" width="5.7109375" bestFit="1" customWidth="1"/>
    <col min="42" max="42" width="9.140625" bestFit="1" customWidth="1"/>
    <col min="43" max="43" width="5.140625" bestFit="1" customWidth="1"/>
    <col min="44" max="44" width="5" bestFit="1" customWidth="1"/>
    <col min="45" max="45" width="4.85546875" bestFit="1" customWidth="1"/>
  </cols>
  <sheetData>
    <row r="1" spans="1:45" x14ac:dyDescent="0.25">
      <c r="B1" t="s">
        <v>77</v>
      </c>
      <c r="AQ1" s="18"/>
    </row>
    <row r="2" spans="1:45" x14ac:dyDescent="0.25">
      <c r="B2" t="s">
        <v>85</v>
      </c>
      <c r="AQ2" s="18"/>
      <c r="AR2" s="2" t="s">
        <v>78</v>
      </c>
      <c r="AS2" s="2" t="s">
        <v>79</v>
      </c>
    </row>
    <row r="3" spans="1:45" x14ac:dyDescent="0.25">
      <c r="B3" t="s">
        <v>86</v>
      </c>
      <c r="AQ3" s="18"/>
      <c r="AR3">
        <f>AR18+AR33+AR52</f>
        <v>102.5</v>
      </c>
      <c r="AS3">
        <f>AR3/16</f>
        <v>6.40625</v>
      </c>
    </row>
    <row r="4" spans="1:45" x14ac:dyDescent="0.25">
      <c r="B4" t="s">
        <v>87</v>
      </c>
      <c r="AQ4" s="18"/>
    </row>
    <row r="5" spans="1:45" x14ac:dyDescent="0.25">
      <c r="B5" t="s">
        <v>88</v>
      </c>
      <c r="AN5">
        <f>31*7</f>
        <v>217</v>
      </c>
      <c r="AQ5" s="18"/>
    </row>
    <row r="6" spans="1:45" x14ac:dyDescent="0.25">
      <c r="B6" t="s">
        <v>89</v>
      </c>
      <c r="AQ6" s="18"/>
    </row>
    <row r="7" spans="1:45" x14ac:dyDescent="0.25">
      <c r="B7" t="s">
        <v>90</v>
      </c>
      <c r="AQ7" s="18"/>
    </row>
    <row r="8" spans="1:45" x14ac:dyDescent="0.25">
      <c r="AQ8" s="18"/>
    </row>
    <row r="9" spans="1:45" x14ac:dyDescent="0.25">
      <c r="N9" s="17">
        <f>SUM(N11:N25)</f>
        <v>1964.2160000000001</v>
      </c>
      <c r="AH9" s="17">
        <f>SUM(AH11:AH25)</f>
        <v>25277.456000000002</v>
      </c>
      <c r="AQ9" s="18"/>
    </row>
    <row r="10" spans="1:45" x14ac:dyDescent="0.25">
      <c r="A10" s="4" t="s">
        <v>1</v>
      </c>
      <c r="B10" s="4" t="s">
        <v>2</v>
      </c>
      <c r="C10" s="4" t="s">
        <v>3</v>
      </c>
      <c r="D10" s="4" t="s">
        <v>91</v>
      </c>
      <c r="E10" s="4" t="s">
        <v>93</v>
      </c>
      <c r="F10" s="4" t="s">
        <v>94</v>
      </c>
      <c r="G10" s="4" t="s">
        <v>4</v>
      </c>
      <c r="H10" s="4" t="s">
        <v>5</v>
      </c>
      <c r="I10" s="4" t="s">
        <v>6</v>
      </c>
      <c r="J10" s="4" t="s">
        <v>7</v>
      </c>
      <c r="K10" s="4" t="s">
        <v>8</v>
      </c>
      <c r="L10" s="4" t="s">
        <v>9</v>
      </c>
      <c r="M10" s="4" t="s">
        <v>10</v>
      </c>
      <c r="N10" s="4" t="s">
        <v>11</v>
      </c>
      <c r="O10" s="4" t="s">
        <v>46</v>
      </c>
      <c r="P10" s="4" t="s">
        <v>47</v>
      </c>
      <c r="Q10" s="4" t="s">
        <v>48</v>
      </c>
      <c r="R10" s="4" t="s">
        <v>49</v>
      </c>
      <c r="S10" s="4" t="s">
        <v>50</v>
      </c>
      <c r="T10" s="4" t="s">
        <v>51</v>
      </c>
      <c r="U10" s="4" t="s">
        <v>52</v>
      </c>
      <c r="V10" s="4" t="s">
        <v>53</v>
      </c>
      <c r="X10" s="4" t="s">
        <v>1</v>
      </c>
      <c r="Y10" s="4" t="s">
        <v>93</v>
      </c>
      <c r="Z10" s="4" t="s">
        <v>94</v>
      </c>
      <c r="AA10" s="4" t="s">
        <v>4</v>
      </c>
      <c r="AB10" s="4" t="s">
        <v>5</v>
      </c>
      <c r="AC10" s="4" t="s">
        <v>6</v>
      </c>
      <c r="AD10" s="4" t="s">
        <v>7</v>
      </c>
      <c r="AE10" s="4" t="s">
        <v>8</v>
      </c>
      <c r="AF10" s="4" t="s">
        <v>9</v>
      </c>
      <c r="AG10" s="4" t="s">
        <v>10</v>
      </c>
      <c r="AH10" s="4" t="s">
        <v>11</v>
      </c>
      <c r="AI10" s="4" t="s">
        <v>46</v>
      </c>
      <c r="AJ10" s="4" t="s">
        <v>47</v>
      </c>
      <c r="AK10" s="4" t="s">
        <v>48</v>
      </c>
      <c r="AL10" s="4" t="s">
        <v>49</v>
      </c>
      <c r="AM10" s="4" t="s">
        <v>50</v>
      </c>
      <c r="AN10" s="4" t="s">
        <v>51</v>
      </c>
      <c r="AO10" s="4" t="s">
        <v>52</v>
      </c>
      <c r="AP10" s="4" t="s">
        <v>53</v>
      </c>
      <c r="AQ10" s="18"/>
    </row>
    <row r="11" spans="1:45" x14ac:dyDescent="0.25">
      <c r="A11" t="s">
        <v>12</v>
      </c>
      <c r="B11" s="5" t="s">
        <v>13</v>
      </c>
      <c r="C11" s="6"/>
      <c r="D11" s="6"/>
      <c r="E11" s="6"/>
      <c r="F11" s="6"/>
      <c r="G11" s="21">
        <v>2</v>
      </c>
      <c r="H11" s="22">
        <v>2</v>
      </c>
      <c r="I11" s="21">
        <v>0</v>
      </c>
      <c r="J11" s="22">
        <v>0</v>
      </c>
      <c r="K11" s="21">
        <v>0</v>
      </c>
      <c r="L11" s="22">
        <v>0</v>
      </c>
      <c r="M11" s="21">
        <v>2</v>
      </c>
      <c r="N11" s="8"/>
      <c r="O11" s="1">
        <v>0</v>
      </c>
      <c r="P11" s="1">
        <v>0</v>
      </c>
      <c r="Q11" s="1">
        <v>0</v>
      </c>
      <c r="R11" s="12">
        <v>0</v>
      </c>
      <c r="S11" s="12">
        <v>0</v>
      </c>
      <c r="T11" s="12">
        <v>0</v>
      </c>
      <c r="U11" s="12">
        <v>0</v>
      </c>
      <c r="V11" s="3">
        <f>SUM(O11:U11)</f>
        <v>0</v>
      </c>
      <c r="X11" t="s">
        <v>12</v>
      </c>
      <c r="Y11" s="6"/>
      <c r="Z11" s="6"/>
      <c r="AA11" s="11">
        <f>G11</f>
        <v>2</v>
      </c>
      <c r="AB11" s="11">
        <f t="shared" ref="AB11:AG11" si="0">H11</f>
        <v>2</v>
      </c>
      <c r="AC11" s="11">
        <f t="shared" si="0"/>
        <v>0</v>
      </c>
      <c r="AD11" s="11">
        <f t="shared" si="0"/>
        <v>0</v>
      </c>
      <c r="AE11" s="11">
        <f t="shared" si="0"/>
        <v>0</v>
      </c>
      <c r="AF11" s="11">
        <f t="shared" si="0"/>
        <v>0</v>
      </c>
      <c r="AG11" s="11">
        <f t="shared" si="0"/>
        <v>2</v>
      </c>
      <c r="AH11" s="8">
        <f>N11</f>
        <v>0</v>
      </c>
      <c r="AI11" s="1">
        <f>O11</f>
        <v>0</v>
      </c>
      <c r="AJ11" s="1">
        <f t="shared" ref="AJ11:AO11" si="1">P11</f>
        <v>0</v>
      </c>
      <c r="AK11" s="1">
        <f t="shared" si="1"/>
        <v>0</v>
      </c>
      <c r="AL11" s="1">
        <f t="shared" si="1"/>
        <v>0</v>
      </c>
      <c r="AM11" s="1">
        <f t="shared" si="1"/>
        <v>0</v>
      </c>
      <c r="AN11" s="1">
        <f t="shared" si="1"/>
        <v>0</v>
      </c>
      <c r="AO11" s="1">
        <f t="shared" si="1"/>
        <v>0</v>
      </c>
      <c r="AP11" s="3">
        <f>SUM(AI11:AO11)</f>
        <v>0</v>
      </c>
      <c r="AQ11" s="18"/>
    </row>
    <row r="12" spans="1:45" x14ac:dyDescent="0.25">
      <c r="A12" t="s">
        <v>14</v>
      </c>
      <c r="B12" s="5" t="s">
        <v>0</v>
      </c>
      <c r="C12" s="9" t="s">
        <v>83</v>
      </c>
      <c r="D12" s="9" t="s">
        <v>102</v>
      </c>
      <c r="E12" s="9">
        <v>17</v>
      </c>
      <c r="F12" s="9">
        <v>50</v>
      </c>
      <c r="G12" s="21">
        <v>0</v>
      </c>
      <c r="H12" s="22">
        <v>6</v>
      </c>
      <c r="I12" s="21">
        <v>5</v>
      </c>
      <c r="J12" s="22">
        <v>6</v>
      </c>
      <c r="K12" s="21">
        <v>5</v>
      </c>
      <c r="L12" s="22">
        <v>4</v>
      </c>
      <c r="M12" s="21">
        <v>0</v>
      </c>
      <c r="N12" s="8">
        <v>370</v>
      </c>
      <c r="O12" s="1">
        <v>0</v>
      </c>
      <c r="P12" s="1">
        <v>14</v>
      </c>
      <c r="Q12" s="1">
        <v>9</v>
      </c>
      <c r="R12" s="12">
        <v>3.5</v>
      </c>
      <c r="S12" s="12">
        <v>7</v>
      </c>
      <c r="T12" s="12">
        <v>5</v>
      </c>
      <c r="U12" s="12">
        <v>0</v>
      </c>
      <c r="V12" s="3">
        <f t="shared" ref="V12:V21" si="2">SUM(O12:U12)</f>
        <v>38.5</v>
      </c>
      <c r="X12" t="s">
        <v>14</v>
      </c>
      <c r="Y12" s="9">
        <v>20</v>
      </c>
      <c r="Z12" s="9">
        <f>F12+(7*$AR$18)-112-112-112</f>
        <v>46.5</v>
      </c>
      <c r="AA12" s="11">
        <f t="shared" ref="AA12:AA26" si="3">G12</f>
        <v>0</v>
      </c>
      <c r="AB12" s="11">
        <f t="shared" ref="AB12:AB26" si="4">H12</f>
        <v>6</v>
      </c>
      <c r="AC12" s="11">
        <f t="shared" ref="AC12:AC26" si="5">I12</f>
        <v>5</v>
      </c>
      <c r="AD12" s="11">
        <f>12+2/7</f>
        <v>12.285714285714286</v>
      </c>
      <c r="AE12" s="11">
        <f t="shared" ref="AE12:AE26" si="6">K12</f>
        <v>5</v>
      </c>
      <c r="AF12" s="11">
        <v>8</v>
      </c>
      <c r="AG12" s="11">
        <f t="shared" ref="AG12:AG26" si="7">M12</f>
        <v>0</v>
      </c>
      <c r="AH12" s="8">
        <f>(5000+165+135+135+405)*1</f>
        <v>5840</v>
      </c>
      <c r="AI12" s="1">
        <f t="shared" ref="AI12:AI26" si="8">O12</f>
        <v>0</v>
      </c>
      <c r="AJ12" s="1">
        <f t="shared" ref="AJ12:AJ26" si="9">P12</f>
        <v>14</v>
      </c>
      <c r="AK12" s="1">
        <f t="shared" ref="AK12:AK26" si="10">Q12</f>
        <v>9</v>
      </c>
      <c r="AL12" s="1">
        <f>R12+AR17</f>
        <v>35</v>
      </c>
      <c r="AM12" s="1">
        <f t="shared" ref="AM12:AM26" si="11">S12</f>
        <v>7</v>
      </c>
      <c r="AN12" s="1">
        <f>T12+AR16</f>
        <v>21</v>
      </c>
      <c r="AO12" s="1">
        <f t="shared" ref="AO12:AO26" si="12">U12</f>
        <v>0</v>
      </c>
      <c r="AP12" s="3">
        <f t="shared" ref="AP12" si="13">SUM(AI12:AO12)</f>
        <v>86</v>
      </c>
      <c r="AQ12" s="18"/>
    </row>
    <row r="13" spans="1:45" x14ac:dyDescent="0.25">
      <c r="A13" t="s">
        <v>15</v>
      </c>
      <c r="B13" s="5" t="s">
        <v>0</v>
      </c>
      <c r="C13" s="9"/>
      <c r="D13" s="9"/>
      <c r="E13" s="9"/>
      <c r="F13" s="9"/>
      <c r="G13" s="21">
        <v>0</v>
      </c>
      <c r="H13" s="22">
        <v>2</v>
      </c>
      <c r="I13" s="21">
        <v>2</v>
      </c>
      <c r="J13" s="22">
        <v>2</v>
      </c>
      <c r="K13" s="21">
        <v>2</v>
      </c>
      <c r="L13" s="22">
        <v>2</v>
      </c>
      <c r="M13" s="21">
        <v>2</v>
      </c>
      <c r="N13" s="8"/>
      <c r="O13" s="1">
        <v>0</v>
      </c>
      <c r="P13" s="1">
        <v>0</v>
      </c>
      <c r="Q13" s="1">
        <v>0</v>
      </c>
      <c r="R13" s="12">
        <v>0</v>
      </c>
      <c r="S13" s="12">
        <v>0</v>
      </c>
      <c r="T13" s="12">
        <v>0</v>
      </c>
      <c r="U13" s="12">
        <v>0</v>
      </c>
      <c r="V13" s="3">
        <f>SUM(O13:U13)</f>
        <v>0</v>
      </c>
      <c r="X13" t="s">
        <v>15</v>
      </c>
      <c r="Y13" s="9"/>
      <c r="Z13" s="9"/>
      <c r="AA13" s="11">
        <f t="shared" si="3"/>
        <v>0</v>
      </c>
      <c r="AB13" s="11">
        <f t="shared" si="4"/>
        <v>2</v>
      </c>
      <c r="AC13" s="11">
        <f t="shared" si="5"/>
        <v>2</v>
      </c>
      <c r="AD13" s="11">
        <f t="shared" ref="AD13:AD26" si="14">J13</f>
        <v>2</v>
      </c>
      <c r="AE13" s="11">
        <f t="shared" si="6"/>
        <v>2</v>
      </c>
      <c r="AF13" s="11">
        <f t="shared" ref="AF13:AF26" si="15">L13</f>
        <v>2</v>
      </c>
      <c r="AG13" s="11">
        <f t="shared" si="7"/>
        <v>2</v>
      </c>
      <c r="AH13" s="8">
        <f t="shared" ref="AH13:AH26" si="16">N13</f>
        <v>0</v>
      </c>
      <c r="AI13" s="1">
        <f t="shared" si="8"/>
        <v>0</v>
      </c>
      <c r="AJ13" s="1">
        <f t="shared" si="9"/>
        <v>0</v>
      </c>
      <c r="AK13" s="1">
        <f t="shared" si="10"/>
        <v>0</v>
      </c>
      <c r="AL13" s="1">
        <f t="shared" ref="AL13:AL26" si="17">R13</f>
        <v>0</v>
      </c>
      <c r="AM13" s="1">
        <f t="shared" si="11"/>
        <v>0</v>
      </c>
      <c r="AN13" s="1">
        <f t="shared" ref="AN13:AN26" si="18">T13</f>
        <v>0</v>
      </c>
      <c r="AO13" s="1">
        <f t="shared" si="12"/>
        <v>0</v>
      </c>
      <c r="AP13" s="3">
        <f>SUM(AI13:AO13)</f>
        <v>0</v>
      </c>
      <c r="AQ13" s="18"/>
    </row>
    <row r="14" spans="1:45" x14ac:dyDescent="0.25">
      <c r="A14" t="s">
        <v>16</v>
      </c>
      <c r="B14" s="5" t="s">
        <v>0</v>
      </c>
      <c r="C14" s="9"/>
      <c r="D14" s="9"/>
      <c r="E14" s="9"/>
      <c r="F14" s="9"/>
      <c r="G14" s="21">
        <v>0</v>
      </c>
      <c r="H14" s="22">
        <v>2</v>
      </c>
      <c r="I14" s="21">
        <v>2</v>
      </c>
      <c r="J14" s="22">
        <v>2</v>
      </c>
      <c r="K14" s="21">
        <v>2</v>
      </c>
      <c r="L14" s="22">
        <v>2</v>
      </c>
      <c r="M14" s="21">
        <v>2</v>
      </c>
      <c r="N14" s="8"/>
      <c r="O14" s="1">
        <v>0</v>
      </c>
      <c r="P14" s="1">
        <v>0</v>
      </c>
      <c r="Q14" s="1">
        <v>0</v>
      </c>
      <c r="R14" s="12">
        <v>0</v>
      </c>
      <c r="S14" s="12">
        <v>0</v>
      </c>
      <c r="T14" s="12">
        <v>0</v>
      </c>
      <c r="U14" s="12">
        <v>0</v>
      </c>
      <c r="V14" s="3">
        <f>SUM(O14:U14)</f>
        <v>0</v>
      </c>
      <c r="X14" t="s">
        <v>16</v>
      </c>
      <c r="Y14" s="9"/>
      <c r="Z14" s="9"/>
      <c r="AA14" s="11">
        <f t="shared" si="3"/>
        <v>0</v>
      </c>
      <c r="AB14" s="11">
        <f t="shared" si="4"/>
        <v>2</v>
      </c>
      <c r="AC14" s="11">
        <f t="shared" si="5"/>
        <v>2</v>
      </c>
      <c r="AD14" s="11">
        <f t="shared" si="14"/>
        <v>2</v>
      </c>
      <c r="AE14" s="11">
        <f t="shared" si="6"/>
        <v>2</v>
      </c>
      <c r="AF14" s="11">
        <f t="shared" si="15"/>
        <v>2</v>
      </c>
      <c r="AG14" s="11">
        <f t="shared" si="7"/>
        <v>2</v>
      </c>
      <c r="AH14" s="8">
        <f t="shared" si="16"/>
        <v>0</v>
      </c>
      <c r="AI14" s="1">
        <f t="shared" si="8"/>
        <v>0</v>
      </c>
      <c r="AJ14" s="1">
        <f t="shared" si="9"/>
        <v>0</v>
      </c>
      <c r="AK14" s="1">
        <f t="shared" si="10"/>
        <v>0</v>
      </c>
      <c r="AL14" s="1">
        <f t="shared" si="17"/>
        <v>0</v>
      </c>
      <c r="AM14" s="1">
        <f t="shared" si="11"/>
        <v>0</v>
      </c>
      <c r="AN14" s="1">
        <f t="shared" si="18"/>
        <v>0</v>
      </c>
      <c r="AO14" s="1">
        <f t="shared" si="12"/>
        <v>0</v>
      </c>
      <c r="AP14" s="3">
        <f>SUM(AI14:AO14)</f>
        <v>0</v>
      </c>
      <c r="AQ14" s="18"/>
    </row>
    <row r="15" spans="1:45" x14ac:dyDescent="0.25">
      <c r="A15" t="s">
        <v>17</v>
      </c>
      <c r="B15" s="5" t="s">
        <v>0</v>
      </c>
      <c r="C15" s="9"/>
      <c r="D15" s="9"/>
      <c r="E15" s="9"/>
      <c r="F15" s="9"/>
      <c r="G15" s="21">
        <v>0</v>
      </c>
      <c r="H15" s="22">
        <v>2</v>
      </c>
      <c r="I15" s="21">
        <v>2</v>
      </c>
      <c r="J15" s="22">
        <v>2</v>
      </c>
      <c r="K15" s="21">
        <v>2</v>
      </c>
      <c r="L15" s="22">
        <v>2</v>
      </c>
      <c r="M15" s="21">
        <v>2</v>
      </c>
      <c r="N15" s="8"/>
      <c r="O15" s="1">
        <v>0</v>
      </c>
      <c r="P15" s="1">
        <v>0</v>
      </c>
      <c r="Q15" s="1">
        <v>0</v>
      </c>
      <c r="R15" s="12">
        <v>0</v>
      </c>
      <c r="S15" s="12">
        <v>0</v>
      </c>
      <c r="T15" s="12">
        <v>0</v>
      </c>
      <c r="U15" s="12">
        <v>0</v>
      </c>
      <c r="V15" s="3">
        <f t="shared" si="2"/>
        <v>0</v>
      </c>
      <c r="X15" t="s">
        <v>17</v>
      </c>
      <c r="Y15" s="9"/>
      <c r="Z15" s="9"/>
      <c r="AA15" s="11">
        <f t="shared" si="3"/>
        <v>0</v>
      </c>
      <c r="AB15" s="11">
        <f t="shared" si="4"/>
        <v>2</v>
      </c>
      <c r="AC15" s="11">
        <f t="shared" si="5"/>
        <v>2</v>
      </c>
      <c r="AD15" s="11">
        <f t="shared" si="14"/>
        <v>2</v>
      </c>
      <c r="AE15" s="11">
        <f t="shared" si="6"/>
        <v>2</v>
      </c>
      <c r="AF15" s="11">
        <f t="shared" si="15"/>
        <v>2</v>
      </c>
      <c r="AG15" s="11">
        <f t="shared" si="7"/>
        <v>2</v>
      </c>
      <c r="AH15" s="8">
        <f t="shared" si="16"/>
        <v>0</v>
      </c>
      <c r="AI15" s="1">
        <f t="shared" si="8"/>
        <v>0</v>
      </c>
      <c r="AJ15" s="1">
        <f t="shared" si="9"/>
        <v>0</v>
      </c>
      <c r="AK15" s="1">
        <f t="shared" si="10"/>
        <v>0</v>
      </c>
      <c r="AL15" s="1">
        <f t="shared" si="17"/>
        <v>0</v>
      </c>
      <c r="AM15" s="1">
        <f t="shared" si="11"/>
        <v>0</v>
      </c>
      <c r="AN15" s="1">
        <f t="shared" si="18"/>
        <v>0</v>
      </c>
      <c r="AO15" s="1">
        <f t="shared" si="12"/>
        <v>0</v>
      </c>
      <c r="AP15" s="3">
        <f t="shared" ref="AP15:AP21" si="19">SUM(AI15:AO15)</f>
        <v>0</v>
      </c>
      <c r="AQ15" s="18"/>
      <c r="AR15" s="2" t="s">
        <v>78</v>
      </c>
      <c r="AS15" s="2" t="s">
        <v>79</v>
      </c>
    </row>
    <row r="16" spans="1:45" x14ac:dyDescent="0.25">
      <c r="A16" t="s">
        <v>18</v>
      </c>
      <c r="B16" s="5" t="s">
        <v>0</v>
      </c>
      <c r="C16" s="9"/>
      <c r="D16" s="9"/>
      <c r="E16" s="9"/>
      <c r="F16" s="9"/>
      <c r="G16" s="21">
        <v>0</v>
      </c>
      <c r="H16" s="22">
        <v>2</v>
      </c>
      <c r="I16" s="21">
        <v>2</v>
      </c>
      <c r="J16" s="22">
        <v>2</v>
      </c>
      <c r="K16" s="21">
        <v>2</v>
      </c>
      <c r="L16" s="22">
        <v>2</v>
      </c>
      <c r="M16" s="21">
        <v>2</v>
      </c>
      <c r="N16" s="8"/>
      <c r="O16" s="1">
        <v>0</v>
      </c>
      <c r="P16" s="1">
        <v>0</v>
      </c>
      <c r="Q16" s="1">
        <v>0</v>
      </c>
      <c r="R16" s="12">
        <v>0</v>
      </c>
      <c r="S16" s="12">
        <v>0</v>
      </c>
      <c r="T16" s="12">
        <v>0</v>
      </c>
      <c r="U16" s="12">
        <v>0</v>
      </c>
      <c r="V16" s="3">
        <f t="shared" si="2"/>
        <v>0</v>
      </c>
      <c r="X16" t="s">
        <v>18</v>
      </c>
      <c r="Y16" s="9"/>
      <c r="Z16" s="9"/>
      <c r="AA16" s="11">
        <f t="shared" si="3"/>
        <v>0</v>
      </c>
      <c r="AB16" s="11">
        <f t="shared" si="4"/>
        <v>2</v>
      </c>
      <c r="AC16" s="11">
        <f t="shared" si="5"/>
        <v>2</v>
      </c>
      <c r="AD16" s="11">
        <f t="shared" si="14"/>
        <v>2</v>
      </c>
      <c r="AE16" s="11">
        <f t="shared" si="6"/>
        <v>2</v>
      </c>
      <c r="AF16" s="11">
        <f t="shared" si="15"/>
        <v>2</v>
      </c>
      <c r="AG16" s="11">
        <f t="shared" si="7"/>
        <v>2</v>
      </c>
      <c r="AH16" s="8">
        <f t="shared" si="16"/>
        <v>0</v>
      </c>
      <c r="AI16" s="1">
        <f t="shared" si="8"/>
        <v>0</v>
      </c>
      <c r="AJ16" s="1">
        <f t="shared" si="9"/>
        <v>0</v>
      </c>
      <c r="AK16" s="1">
        <f t="shared" si="10"/>
        <v>0</v>
      </c>
      <c r="AL16" s="1">
        <f t="shared" si="17"/>
        <v>0</v>
      </c>
      <c r="AM16" s="1">
        <f t="shared" si="11"/>
        <v>0</v>
      </c>
      <c r="AN16" s="1">
        <f t="shared" si="18"/>
        <v>0</v>
      </c>
      <c r="AO16" s="1">
        <f t="shared" si="12"/>
        <v>0</v>
      </c>
      <c r="AP16" s="3">
        <f t="shared" si="19"/>
        <v>0</v>
      </c>
      <c r="AQ16" s="24" t="s">
        <v>97</v>
      </c>
      <c r="AR16">
        <v>16</v>
      </c>
      <c r="AS16" s="19">
        <f>AR16/16</f>
        <v>1</v>
      </c>
    </row>
    <row r="17" spans="1:45" x14ac:dyDescent="0.25">
      <c r="A17" t="s">
        <v>19</v>
      </c>
      <c r="B17" s="5" t="s">
        <v>0</v>
      </c>
      <c r="C17" s="9"/>
      <c r="D17" s="9"/>
      <c r="E17" s="9"/>
      <c r="F17" s="9"/>
      <c r="G17" s="21">
        <v>0</v>
      </c>
      <c r="H17" s="22">
        <v>2</v>
      </c>
      <c r="I17" s="21">
        <v>2</v>
      </c>
      <c r="J17" s="22">
        <v>2</v>
      </c>
      <c r="K17" s="21">
        <v>2</v>
      </c>
      <c r="L17" s="22">
        <v>2</v>
      </c>
      <c r="M17" s="21">
        <v>2</v>
      </c>
      <c r="N17" s="8"/>
      <c r="O17" s="1">
        <v>0</v>
      </c>
      <c r="P17" s="1">
        <v>0</v>
      </c>
      <c r="Q17" s="1">
        <v>0</v>
      </c>
      <c r="R17" s="12">
        <v>0</v>
      </c>
      <c r="S17" s="12">
        <v>0</v>
      </c>
      <c r="T17" s="12">
        <v>0</v>
      </c>
      <c r="U17" s="12">
        <v>0</v>
      </c>
      <c r="V17" s="3">
        <f t="shared" si="2"/>
        <v>0</v>
      </c>
      <c r="X17" t="s">
        <v>19</v>
      </c>
      <c r="Y17" s="9"/>
      <c r="Z17" s="9"/>
      <c r="AA17" s="11">
        <f t="shared" si="3"/>
        <v>0</v>
      </c>
      <c r="AB17" s="11">
        <f t="shared" si="4"/>
        <v>2</v>
      </c>
      <c r="AC17" s="11">
        <f t="shared" si="5"/>
        <v>2</v>
      </c>
      <c r="AD17" s="11">
        <f t="shared" si="14"/>
        <v>2</v>
      </c>
      <c r="AE17" s="11">
        <f t="shared" si="6"/>
        <v>2</v>
      </c>
      <c r="AF17" s="11">
        <f t="shared" si="15"/>
        <v>2</v>
      </c>
      <c r="AG17" s="11">
        <f t="shared" si="7"/>
        <v>2</v>
      </c>
      <c r="AH17" s="8">
        <f t="shared" si="16"/>
        <v>0</v>
      </c>
      <c r="AI17" s="1">
        <f t="shared" si="8"/>
        <v>0</v>
      </c>
      <c r="AJ17" s="1">
        <f t="shared" si="9"/>
        <v>0</v>
      </c>
      <c r="AK17" s="1">
        <f t="shared" si="10"/>
        <v>0</v>
      </c>
      <c r="AL17" s="1">
        <f t="shared" si="17"/>
        <v>0</v>
      </c>
      <c r="AM17" s="1">
        <f t="shared" si="11"/>
        <v>0</v>
      </c>
      <c r="AN17" s="1">
        <f t="shared" si="18"/>
        <v>0</v>
      </c>
      <c r="AO17" s="1">
        <f t="shared" si="12"/>
        <v>0</v>
      </c>
      <c r="AP17" s="3">
        <f t="shared" si="19"/>
        <v>0</v>
      </c>
      <c r="AQ17" s="24" t="s">
        <v>54</v>
      </c>
      <c r="AR17">
        <v>31.5</v>
      </c>
      <c r="AS17" s="19">
        <f>AR17/16</f>
        <v>1.96875</v>
      </c>
    </row>
    <row r="18" spans="1:45" x14ac:dyDescent="0.25">
      <c r="A18" t="s">
        <v>20</v>
      </c>
      <c r="B18" s="5" t="s">
        <v>0</v>
      </c>
      <c r="C18" s="9"/>
      <c r="D18" s="9"/>
      <c r="E18" s="9"/>
      <c r="F18" s="9"/>
      <c r="G18" s="21">
        <v>0</v>
      </c>
      <c r="H18" s="22">
        <v>2</v>
      </c>
      <c r="I18" s="21">
        <v>2</v>
      </c>
      <c r="J18" s="22">
        <v>2</v>
      </c>
      <c r="K18" s="21">
        <v>2</v>
      </c>
      <c r="L18" s="22">
        <v>2</v>
      </c>
      <c r="M18" s="21">
        <v>2</v>
      </c>
      <c r="N18" s="8"/>
      <c r="O18" s="1">
        <v>0</v>
      </c>
      <c r="P18" s="1">
        <v>0</v>
      </c>
      <c r="Q18" s="1">
        <v>0</v>
      </c>
      <c r="R18" s="12">
        <v>0</v>
      </c>
      <c r="S18" s="12">
        <v>0</v>
      </c>
      <c r="T18" s="12">
        <v>0</v>
      </c>
      <c r="U18" s="12">
        <v>0</v>
      </c>
      <c r="V18" s="3">
        <f t="shared" si="2"/>
        <v>0</v>
      </c>
      <c r="X18" t="s">
        <v>20</v>
      </c>
      <c r="Y18" s="9"/>
      <c r="Z18" s="9"/>
      <c r="AA18" s="11">
        <f t="shared" si="3"/>
        <v>0</v>
      </c>
      <c r="AB18" s="11">
        <f t="shared" si="4"/>
        <v>2</v>
      </c>
      <c r="AC18" s="11">
        <f t="shared" si="5"/>
        <v>2</v>
      </c>
      <c r="AD18" s="11">
        <f t="shared" si="14"/>
        <v>2</v>
      </c>
      <c r="AE18" s="11">
        <f t="shared" si="6"/>
        <v>2</v>
      </c>
      <c r="AF18" s="11">
        <f t="shared" si="15"/>
        <v>2</v>
      </c>
      <c r="AG18" s="11">
        <f t="shared" si="7"/>
        <v>2</v>
      </c>
      <c r="AH18" s="8">
        <f t="shared" si="16"/>
        <v>0</v>
      </c>
      <c r="AI18" s="1">
        <f t="shared" si="8"/>
        <v>0</v>
      </c>
      <c r="AJ18" s="1">
        <f t="shared" si="9"/>
        <v>0</v>
      </c>
      <c r="AK18" s="1">
        <f t="shared" si="10"/>
        <v>0</v>
      </c>
      <c r="AL18" s="1">
        <f t="shared" si="17"/>
        <v>0</v>
      </c>
      <c r="AM18" s="1">
        <f t="shared" si="11"/>
        <v>0</v>
      </c>
      <c r="AN18" s="1">
        <f t="shared" si="18"/>
        <v>0</v>
      </c>
      <c r="AO18" s="1">
        <f t="shared" si="12"/>
        <v>0</v>
      </c>
      <c r="AP18" s="3">
        <f t="shared" si="19"/>
        <v>0</v>
      </c>
      <c r="AQ18" s="18"/>
      <c r="AR18" s="2">
        <f>AR17+AR16</f>
        <v>47.5</v>
      </c>
      <c r="AS18" s="2">
        <f>AS17+AS16</f>
        <v>2.96875</v>
      </c>
    </row>
    <row r="19" spans="1:45" x14ac:dyDescent="0.25">
      <c r="A19" t="s">
        <v>21</v>
      </c>
      <c r="B19" s="5" t="s">
        <v>55</v>
      </c>
      <c r="C19" s="9"/>
      <c r="D19" s="9"/>
      <c r="E19" s="9"/>
      <c r="F19" s="9"/>
      <c r="G19" s="21">
        <v>0</v>
      </c>
      <c r="H19" s="22">
        <v>2</v>
      </c>
      <c r="I19" s="21">
        <v>2</v>
      </c>
      <c r="J19" s="22">
        <v>2</v>
      </c>
      <c r="K19" s="21">
        <v>2</v>
      </c>
      <c r="L19" s="22">
        <v>2</v>
      </c>
      <c r="M19" s="21">
        <v>2</v>
      </c>
      <c r="N19" s="8"/>
      <c r="O19" s="1">
        <v>0</v>
      </c>
      <c r="P19" s="1">
        <v>0</v>
      </c>
      <c r="Q19" s="1">
        <v>0</v>
      </c>
      <c r="R19" s="12">
        <v>0</v>
      </c>
      <c r="S19" s="12">
        <v>0</v>
      </c>
      <c r="T19" s="12">
        <v>0</v>
      </c>
      <c r="U19" s="12">
        <v>0</v>
      </c>
      <c r="V19" s="3">
        <f t="shared" si="2"/>
        <v>0</v>
      </c>
      <c r="X19" t="s">
        <v>21</v>
      </c>
      <c r="Y19" s="9"/>
      <c r="Z19" s="9"/>
      <c r="AA19" s="11">
        <f t="shared" si="3"/>
        <v>0</v>
      </c>
      <c r="AB19" s="11">
        <f t="shared" si="4"/>
        <v>2</v>
      </c>
      <c r="AC19" s="11">
        <f t="shared" si="5"/>
        <v>2</v>
      </c>
      <c r="AD19" s="11">
        <f t="shared" si="14"/>
        <v>2</v>
      </c>
      <c r="AE19" s="11">
        <f t="shared" si="6"/>
        <v>2</v>
      </c>
      <c r="AF19" s="11">
        <f t="shared" si="15"/>
        <v>2</v>
      </c>
      <c r="AG19" s="11">
        <f t="shared" si="7"/>
        <v>2</v>
      </c>
      <c r="AH19" s="8">
        <f t="shared" si="16"/>
        <v>0</v>
      </c>
      <c r="AI19" s="1">
        <f t="shared" si="8"/>
        <v>0</v>
      </c>
      <c r="AJ19" s="1">
        <f t="shared" si="9"/>
        <v>0</v>
      </c>
      <c r="AK19" s="1">
        <f t="shared" si="10"/>
        <v>0</v>
      </c>
      <c r="AL19" s="1">
        <f t="shared" si="17"/>
        <v>0</v>
      </c>
      <c r="AM19" s="1">
        <f t="shared" si="11"/>
        <v>0</v>
      </c>
      <c r="AN19" s="1">
        <f t="shared" si="18"/>
        <v>0</v>
      </c>
      <c r="AO19" s="1">
        <f t="shared" si="12"/>
        <v>0</v>
      </c>
      <c r="AP19" s="3">
        <f t="shared" si="19"/>
        <v>0</v>
      </c>
      <c r="AQ19" s="18"/>
    </row>
    <row r="20" spans="1:45" x14ac:dyDescent="0.25">
      <c r="A20" t="s">
        <v>21</v>
      </c>
      <c r="B20" s="5" t="s">
        <v>55</v>
      </c>
      <c r="C20" s="9"/>
      <c r="D20" s="9"/>
      <c r="E20" s="9"/>
      <c r="F20" s="9"/>
      <c r="G20" s="21">
        <v>0</v>
      </c>
      <c r="H20" s="22">
        <v>2</v>
      </c>
      <c r="I20" s="21">
        <v>2</v>
      </c>
      <c r="J20" s="22">
        <v>2</v>
      </c>
      <c r="K20" s="21">
        <v>2</v>
      </c>
      <c r="L20" s="22">
        <v>2</v>
      </c>
      <c r="M20" s="21">
        <v>2</v>
      </c>
      <c r="N20" s="8"/>
      <c r="O20" s="1">
        <v>0</v>
      </c>
      <c r="P20" s="1">
        <v>0</v>
      </c>
      <c r="Q20" s="1">
        <v>0</v>
      </c>
      <c r="R20" s="12">
        <v>0</v>
      </c>
      <c r="S20" s="12">
        <v>0</v>
      </c>
      <c r="T20" s="12">
        <v>0</v>
      </c>
      <c r="U20" s="12">
        <v>0</v>
      </c>
      <c r="V20" s="3">
        <f t="shared" si="2"/>
        <v>0</v>
      </c>
      <c r="X20" t="s">
        <v>21</v>
      </c>
      <c r="Y20" s="9"/>
      <c r="Z20" s="9"/>
      <c r="AA20" s="11">
        <f t="shared" si="3"/>
        <v>0</v>
      </c>
      <c r="AB20" s="11">
        <f t="shared" si="4"/>
        <v>2</v>
      </c>
      <c r="AC20" s="11">
        <f t="shared" si="5"/>
        <v>2</v>
      </c>
      <c r="AD20" s="11">
        <f t="shared" si="14"/>
        <v>2</v>
      </c>
      <c r="AE20" s="11">
        <f t="shared" si="6"/>
        <v>2</v>
      </c>
      <c r="AF20" s="11">
        <f t="shared" si="15"/>
        <v>2</v>
      </c>
      <c r="AG20" s="11">
        <f t="shared" si="7"/>
        <v>2</v>
      </c>
      <c r="AH20" s="8">
        <f t="shared" si="16"/>
        <v>0</v>
      </c>
      <c r="AI20" s="1">
        <f t="shared" si="8"/>
        <v>0</v>
      </c>
      <c r="AJ20" s="1">
        <f t="shared" si="9"/>
        <v>0</v>
      </c>
      <c r="AK20" s="1">
        <f t="shared" si="10"/>
        <v>0</v>
      </c>
      <c r="AL20" s="1">
        <f t="shared" si="17"/>
        <v>0</v>
      </c>
      <c r="AM20" s="1">
        <f t="shared" si="11"/>
        <v>0</v>
      </c>
      <c r="AN20" s="1">
        <f t="shared" si="18"/>
        <v>0</v>
      </c>
      <c r="AO20" s="1">
        <f t="shared" si="12"/>
        <v>0</v>
      </c>
      <c r="AP20" s="3">
        <f t="shared" si="19"/>
        <v>0</v>
      </c>
      <c r="AQ20" s="18"/>
    </row>
    <row r="21" spans="1:45" x14ac:dyDescent="0.25">
      <c r="A21" t="s">
        <v>23</v>
      </c>
      <c r="B21" s="5" t="s">
        <v>22</v>
      </c>
      <c r="C21" s="9" t="s">
        <v>76</v>
      </c>
      <c r="D21" s="9" t="s">
        <v>92</v>
      </c>
      <c r="E21" s="9">
        <v>17</v>
      </c>
      <c r="F21" s="9">
        <v>37</v>
      </c>
      <c r="G21" s="21">
        <v>0</v>
      </c>
      <c r="H21" s="22">
        <v>2</v>
      </c>
      <c r="I21" s="21">
        <v>5.7</v>
      </c>
      <c r="J21" s="22">
        <v>5.5</v>
      </c>
      <c r="K21" s="21">
        <v>5.25</v>
      </c>
      <c r="L21" s="22">
        <v>3</v>
      </c>
      <c r="M21" s="21">
        <v>5</v>
      </c>
      <c r="N21" s="8">
        <f>(310+135+140)*1.016</f>
        <v>594.36</v>
      </c>
      <c r="O21" s="1">
        <v>0</v>
      </c>
      <c r="P21" s="1">
        <v>0</v>
      </c>
      <c r="Q21" s="1">
        <v>13</v>
      </c>
      <c r="R21" s="12">
        <v>10.5</v>
      </c>
      <c r="S21" s="12">
        <v>8</v>
      </c>
      <c r="T21" s="12">
        <v>2</v>
      </c>
      <c r="U21" s="12">
        <v>3</v>
      </c>
      <c r="V21" s="3">
        <f t="shared" si="2"/>
        <v>36.5</v>
      </c>
      <c r="X21" t="s">
        <v>23</v>
      </c>
      <c r="Y21" s="9">
        <v>20</v>
      </c>
      <c r="Z21" s="9">
        <f>F21+(7*$AR$18)-112-112-112</f>
        <v>33.5</v>
      </c>
      <c r="AA21" s="11">
        <f t="shared" si="3"/>
        <v>0</v>
      </c>
      <c r="AB21" s="11">
        <f t="shared" si="4"/>
        <v>2</v>
      </c>
      <c r="AC21" s="11">
        <f t="shared" si="5"/>
        <v>5.7</v>
      </c>
      <c r="AD21" s="11">
        <f>13+2/7</f>
        <v>13.285714285714286</v>
      </c>
      <c r="AE21" s="11">
        <f t="shared" si="6"/>
        <v>5.25</v>
      </c>
      <c r="AF21" s="11">
        <f>7+2/5</f>
        <v>7.4</v>
      </c>
      <c r="AG21" s="11">
        <f t="shared" si="7"/>
        <v>5</v>
      </c>
      <c r="AH21" s="8">
        <f>(155+8000+140+300)*1.016</f>
        <v>8732.52</v>
      </c>
      <c r="AI21" s="1">
        <f t="shared" si="8"/>
        <v>0</v>
      </c>
      <c r="AJ21" s="1">
        <f t="shared" si="9"/>
        <v>0</v>
      </c>
      <c r="AK21" s="1">
        <f t="shared" si="10"/>
        <v>13</v>
      </c>
      <c r="AL21" s="1">
        <f>R21+AR17</f>
        <v>42</v>
      </c>
      <c r="AM21" s="1">
        <f t="shared" si="11"/>
        <v>8</v>
      </c>
      <c r="AN21" s="1">
        <f>T21+AR16</f>
        <v>18</v>
      </c>
      <c r="AO21" s="1">
        <f t="shared" si="12"/>
        <v>3</v>
      </c>
      <c r="AP21" s="3">
        <f t="shared" si="19"/>
        <v>84</v>
      </c>
      <c r="AQ21" s="18"/>
    </row>
    <row r="22" spans="1:45" x14ac:dyDescent="0.25">
      <c r="A22" t="s">
        <v>24</v>
      </c>
      <c r="B22" s="5" t="s">
        <v>22</v>
      </c>
      <c r="C22" s="9" t="s">
        <v>80</v>
      </c>
      <c r="D22" s="9" t="s">
        <v>95</v>
      </c>
      <c r="E22" s="9">
        <v>17</v>
      </c>
      <c r="F22" s="9">
        <v>41</v>
      </c>
      <c r="G22" s="21">
        <v>0</v>
      </c>
      <c r="H22" s="22">
        <v>6</v>
      </c>
      <c r="I22" s="21">
        <v>3</v>
      </c>
      <c r="J22" s="22">
        <v>3</v>
      </c>
      <c r="K22" s="21">
        <v>5.2</v>
      </c>
      <c r="L22" s="22">
        <v>2</v>
      </c>
      <c r="M22" s="21">
        <v>3</v>
      </c>
      <c r="N22" s="8">
        <f>(330+138)*1.012</f>
        <v>473.61599999999999</v>
      </c>
      <c r="O22" s="1">
        <v>0</v>
      </c>
      <c r="P22" s="1">
        <v>14</v>
      </c>
      <c r="Q22" s="1">
        <v>3</v>
      </c>
      <c r="R22" s="12">
        <v>1.5</v>
      </c>
      <c r="S22" s="12">
        <v>8</v>
      </c>
      <c r="T22" s="12">
        <v>0</v>
      </c>
      <c r="U22" s="12">
        <v>1</v>
      </c>
      <c r="V22" s="3">
        <f>SUM(O22:U22)</f>
        <v>27.5</v>
      </c>
      <c r="X22" t="s">
        <v>24</v>
      </c>
      <c r="Y22" s="9">
        <v>20</v>
      </c>
      <c r="Z22" s="9">
        <f>F22+(7*$AR$18)-112-112-112</f>
        <v>37.5</v>
      </c>
      <c r="AA22" s="11">
        <f t="shared" si="3"/>
        <v>0</v>
      </c>
      <c r="AB22" s="11">
        <f t="shared" si="4"/>
        <v>6</v>
      </c>
      <c r="AC22" s="11">
        <f t="shared" si="5"/>
        <v>3</v>
      </c>
      <c r="AD22" s="11">
        <v>12</v>
      </c>
      <c r="AE22" s="11">
        <f t="shared" si="6"/>
        <v>5.2</v>
      </c>
      <c r="AF22" s="11">
        <v>7</v>
      </c>
      <c r="AG22" s="11">
        <f t="shared" si="7"/>
        <v>3</v>
      </c>
      <c r="AH22" s="8">
        <f>(165+138+4470+245)*1.012</f>
        <v>5078.2160000000003</v>
      </c>
      <c r="AI22" s="1">
        <f t="shared" si="8"/>
        <v>0</v>
      </c>
      <c r="AJ22" s="1">
        <f t="shared" si="9"/>
        <v>14</v>
      </c>
      <c r="AK22" s="1">
        <f t="shared" si="10"/>
        <v>3</v>
      </c>
      <c r="AL22" s="1">
        <f>R22+AR17</f>
        <v>33</v>
      </c>
      <c r="AM22" s="1">
        <f t="shared" si="11"/>
        <v>8</v>
      </c>
      <c r="AN22" s="1">
        <f>T22+AR16</f>
        <v>16</v>
      </c>
      <c r="AO22" s="1">
        <f t="shared" si="12"/>
        <v>1</v>
      </c>
      <c r="AP22" s="3">
        <f>SUM(AI22:AO22)</f>
        <v>75</v>
      </c>
      <c r="AQ22" s="18"/>
    </row>
    <row r="23" spans="1:45" x14ac:dyDescent="0.25">
      <c r="A23" t="s">
        <v>26</v>
      </c>
      <c r="B23" s="5" t="s">
        <v>22</v>
      </c>
      <c r="C23" s="9" t="s">
        <v>80</v>
      </c>
      <c r="D23" s="9" t="s">
        <v>96</v>
      </c>
      <c r="E23" s="9">
        <v>17</v>
      </c>
      <c r="F23" s="9">
        <v>37</v>
      </c>
      <c r="G23" s="21">
        <v>0</v>
      </c>
      <c r="H23" s="22">
        <v>3</v>
      </c>
      <c r="I23" s="21">
        <v>5</v>
      </c>
      <c r="J23" s="22">
        <v>4</v>
      </c>
      <c r="K23" s="21">
        <v>4</v>
      </c>
      <c r="L23" s="22">
        <v>3</v>
      </c>
      <c r="M23" s="21">
        <v>3</v>
      </c>
      <c r="N23" s="8">
        <f>(270+125+125)*1.012</f>
        <v>526.24</v>
      </c>
      <c r="O23" s="1">
        <v>0</v>
      </c>
      <c r="P23" s="1">
        <v>3</v>
      </c>
      <c r="Q23" s="1">
        <v>9</v>
      </c>
      <c r="R23" s="12">
        <v>3.5</v>
      </c>
      <c r="S23" s="12">
        <v>4</v>
      </c>
      <c r="T23" s="12">
        <v>2</v>
      </c>
      <c r="U23" s="12">
        <v>1</v>
      </c>
      <c r="V23" s="3">
        <f>SUM(O23:U23)</f>
        <v>22.5</v>
      </c>
      <c r="X23" t="s">
        <v>26</v>
      </c>
      <c r="Y23" s="9">
        <v>20</v>
      </c>
      <c r="Z23" s="9">
        <f>F23+(7*$AR$18)-112-112-112</f>
        <v>33.5</v>
      </c>
      <c r="AA23" s="11">
        <f t="shared" si="3"/>
        <v>0</v>
      </c>
      <c r="AB23" s="11">
        <f t="shared" si="4"/>
        <v>3</v>
      </c>
      <c r="AC23" s="11">
        <f t="shared" si="5"/>
        <v>5</v>
      </c>
      <c r="AD23" s="11">
        <f>12+2/7</f>
        <v>12.285714285714286</v>
      </c>
      <c r="AE23" s="11">
        <f t="shared" si="6"/>
        <v>4</v>
      </c>
      <c r="AF23" s="11">
        <f>7+2/5</f>
        <v>7.4</v>
      </c>
      <c r="AG23" s="11">
        <f t="shared" si="7"/>
        <v>3</v>
      </c>
      <c r="AH23" s="8">
        <f>(135+5000+125+300)*1.012</f>
        <v>5626.72</v>
      </c>
      <c r="AI23" s="1">
        <f t="shared" si="8"/>
        <v>0</v>
      </c>
      <c r="AJ23" s="1">
        <f t="shared" si="9"/>
        <v>3</v>
      </c>
      <c r="AK23" s="1">
        <f t="shared" si="10"/>
        <v>9</v>
      </c>
      <c r="AL23" s="1">
        <f>R23+AR17</f>
        <v>35</v>
      </c>
      <c r="AM23" s="1">
        <f t="shared" si="11"/>
        <v>4</v>
      </c>
      <c r="AN23" s="1">
        <f>T23+AR16</f>
        <v>18</v>
      </c>
      <c r="AO23" s="1">
        <f t="shared" si="12"/>
        <v>1</v>
      </c>
      <c r="AP23" s="3">
        <f>SUM(AI23:AO23)</f>
        <v>70</v>
      </c>
      <c r="AQ23" s="18"/>
    </row>
    <row r="24" spans="1:45" x14ac:dyDescent="0.25">
      <c r="A24" t="s">
        <v>27</v>
      </c>
      <c r="B24" s="5" t="s">
        <v>25</v>
      </c>
      <c r="C24" s="9"/>
      <c r="D24" s="9"/>
      <c r="E24" s="9"/>
      <c r="F24" s="9"/>
      <c r="G24" s="21">
        <v>0</v>
      </c>
      <c r="H24" s="22">
        <v>2</v>
      </c>
      <c r="I24" s="21">
        <v>2</v>
      </c>
      <c r="J24" s="22">
        <v>2</v>
      </c>
      <c r="K24" s="21">
        <v>2</v>
      </c>
      <c r="L24" s="22">
        <v>2</v>
      </c>
      <c r="M24" s="21">
        <v>2</v>
      </c>
      <c r="N24" s="8"/>
      <c r="O24" s="1">
        <v>0</v>
      </c>
      <c r="P24" s="1">
        <v>0</v>
      </c>
      <c r="Q24" s="1">
        <v>0</v>
      </c>
      <c r="R24" s="12">
        <v>0</v>
      </c>
      <c r="S24" s="12">
        <v>0</v>
      </c>
      <c r="T24" s="12">
        <v>0</v>
      </c>
      <c r="U24" s="12">
        <v>0</v>
      </c>
      <c r="V24" s="3">
        <f t="shared" ref="V24:V26" si="20">SUM(O24:U24)</f>
        <v>0</v>
      </c>
      <c r="X24" t="s">
        <v>27</v>
      </c>
      <c r="Y24" s="9"/>
      <c r="Z24" s="9"/>
      <c r="AA24" s="11">
        <f t="shared" si="3"/>
        <v>0</v>
      </c>
      <c r="AB24" s="11">
        <f t="shared" si="4"/>
        <v>2</v>
      </c>
      <c r="AC24" s="11">
        <f t="shared" si="5"/>
        <v>2</v>
      </c>
      <c r="AD24" s="11">
        <f t="shared" si="14"/>
        <v>2</v>
      </c>
      <c r="AE24" s="11">
        <f t="shared" si="6"/>
        <v>2</v>
      </c>
      <c r="AF24" s="11">
        <f t="shared" si="15"/>
        <v>2</v>
      </c>
      <c r="AG24" s="11">
        <f t="shared" si="7"/>
        <v>2</v>
      </c>
      <c r="AH24" s="8">
        <f t="shared" si="16"/>
        <v>0</v>
      </c>
      <c r="AI24" s="1">
        <f t="shared" si="8"/>
        <v>0</v>
      </c>
      <c r="AJ24" s="1">
        <f t="shared" si="9"/>
        <v>0</v>
      </c>
      <c r="AK24" s="1">
        <f t="shared" si="10"/>
        <v>0</v>
      </c>
      <c r="AL24" s="1">
        <f t="shared" si="17"/>
        <v>0</v>
      </c>
      <c r="AM24" s="1">
        <f t="shared" si="11"/>
        <v>0</v>
      </c>
      <c r="AN24" s="1">
        <f t="shared" si="18"/>
        <v>0</v>
      </c>
      <c r="AO24" s="1">
        <f t="shared" si="12"/>
        <v>0</v>
      </c>
      <c r="AP24" s="3">
        <f t="shared" ref="AP24:AP26" si="21">SUM(AI24:AO24)</f>
        <v>0</v>
      </c>
      <c r="AQ24" s="18"/>
    </row>
    <row r="25" spans="1:45" x14ac:dyDescent="0.25">
      <c r="A25" t="s">
        <v>28</v>
      </c>
      <c r="B25" s="5" t="s">
        <v>25</v>
      </c>
      <c r="C25" s="9"/>
      <c r="D25" s="9"/>
      <c r="E25" s="9"/>
      <c r="F25" s="9"/>
      <c r="G25" s="21">
        <v>0</v>
      </c>
      <c r="H25" s="22">
        <v>2</v>
      </c>
      <c r="I25" s="21">
        <v>2</v>
      </c>
      <c r="J25" s="22">
        <v>2</v>
      </c>
      <c r="K25" s="21">
        <v>2</v>
      </c>
      <c r="L25" s="22">
        <v>2</v>
      </c>
      <c r="M25" s="21">
        <v>2</v>
      </c>
      <c r="N25" s="8"/>
      <c r="O25" s="1">
        <v>0</v>
      </c>
      <c r="P25" s="1">
        <v>0</v>
      </c>
      <c r="Q25" s="1">
        <v>0</v>
      </c>
      <c r="R25" s="12">
        <v>0</v>
      </c>
      <c r="S25" s="12">
        <v>0</v>
      </c>
      <c r="T25" s="12">
        <v>0</v>
      </c>
      <c r="U25" s="12">
        <v>0</v>
      </c>
      <c r="V25" s="3">
        <f t="shared" si="20"/>
        <v>0</v>
      </c>
      <c r="X25" t="s">
        <v>28</v>
      </c>
      <c r="Y25" s="9"/>
      <c r="Z25" s="9"/>
      <c r="AA25" s="11">
        <f t="shared" si="3"/>
        <v>0</v>
      </c>
      <c r="AB25" s="11">
        <f t="shared" si="4"/>
        <v>2</v>
      </c>
      <c r="AC25" s="11">
        <f t="shared" si="5"/>
        <v>2</v>
      </c>
      <c r="AD25" s="11">
        <f t="shared" si="14"/>
        <v>2</v>
      </c>
      <c r="AE25" s="11">
        <f t="shared" si="6"/>
        <v>2</v>
      </c>
      <c r="AF25" s="11">
        <f t="shared" si="15"/>
        <v>2</v>
      </c>
      <c r="AG25" s="11">
        <f t="shared" si="7"/>
        <v>2</v>
      </c>
      <c r="AH25" s="8">
        <f t="shared" si="16"/>
        <v>0</v>
      </c>
      <c r="AI25" s="1">
        <f t="shared" si="8"/>
        <v>0</v>
      </c>
      <c r="AJ25" s="1">
        <f t="shared" si="9"/>
        <v>0</v>
      </c>
      <c r="AK25" s="1">
        <f t="shared" si="10"/>
        <v>0</v>
      </c>
      <c r="AL25" s="1">
        <f t="shared" si="17"/>
        <v>0</v>
      </c>
      <c r="AM25" s="1">
        <f t="shared" si="11"/>
        <v>0</v>
      </c>
      <c r="AN25" s="1">
        <f t="shared" si="18"/>
        <v>0</v>
      </c>
      <c r="AO25" s="1">
        <f t="shared" si="12"/>
        <v>0</v>
      </c>
      <c r="AP25" s="3">
        <f t="shared" si="21"/>
        <v>0</v>
      </c>
      <c r="AQ25" s="18"/>
    </row>
    <row r="26" spans="1:45" x14ac:dyDescent="0.25">
      <c r="A26" t="s">
        <v>56</v>
      </c>
      <c r="B26" s="5" t="s">
        <v>25</v>
      </c>
      <c r="C26" s="9"/>
      <c r="D26" s="9"/>
      <c r="E26" s="9"/>
      <c r="F26" s="9"/>
      <c r="G26" s="21">
        <v>0</v>
      </c>
      <c r="H26" s="22">
        <v>2</v>
      </c>
      <c r="I26" s="21">
        <v>2</v>
      </c>
      <c r="J26" s="22">
        <v>2</v>
      </c>
      <c r="K26" s="21">
        <v>2</v>
      </c>
      <c r="L26" s="22">
        <v>2</v>
      </c>
      <c r="M26" s="21">
        <v>2</v>
      </c>
      <c r="N26" s="8"/>
      <c r="O26" s="1">
        <v>0</v>
      </c>
      <c r="P26" s="1">
        <v>0</v>
      </c>
      <c r="Q26" s="1">
        <v>0</v>
      </c>
      <c r="R26" s="12">
        <v>0</v>
      </c>
      <c r="S26" s="12">
        <v>0</v>
      </c>
      <c r="T26" s="12">
        <v>0</v>
      </c>
      <c r="U26" s="12">
        <v>0</v>
      </c>
      <c r="V26" s="3">
        <f t="shared" si="20"/>
        <v>0</v>
      </c>
      <c r="X26" t="s">
        <v>56</v>
      </c>
      <c r="Y26" s="9"/>
      <c r="Z26" s="9"/>
      <c r="AA26" s="11">
        <f t="shared" si="3"/>
        <v>0</v>
      </c>
      <c r="AB26" s="11">
        <f t="shared" si="4"/>
        <v>2</v>
      </c>
      <c r="AC26" s="11">
        <f t="shared" si="5"/>
        <v>2</v>
      </c>
      <c r="AD26" s="11">
        <f t="shared" si="14"/>
        <v>2</v>
      </c>
      <c r="AE26" s="11">
        <f t="shared" si="6"/>
        <v>2</v>
      </c>
      <c r="AF26" s="11">
        <f t="shared" si="15"/>
        <v>2</v>
      </c>
      <c r="AG26" s="11">
        <f t="shared" si="7"/>
        <v>2</v>
      </c>
      <c r="AH26" s="8">
        <f t="shared" si="16"/>
        <v>0</v>
      </c>
      <c r="AI26" s="1">
        <f t="shared" si="8"/>
        <v>0</v>
      </c>
      <c r="AJ26" s="1">
        <f t="shared" si="9"/>
        <v>0</v>
      </c>
      <c r="AK26" s="1">
        <f t="shared" si="10"/>
        <v>0</v>
      </c>
      <c r="AL26" s="1">
        <f t="shared" si="17"/>
        <v>0</v>
      </c>
      <c r="AM26" s="1">
        <f t="shared" si="11"/>
        <v>0</v>
      </c>
      <c r="AN26" s="1">
        <f t="shared" si="18"/>
        <v>0</v>
      </c>
      <c r="AO26" s="1">
        <f t="shared" si="12"/>
        <v>0</v>
      </c>
      <c r="AP26" s="3">
        <f t="shared" si="21"/>
        <v>0</v>
      </c>
      <c r="AQ26" s="18"/>
    </row>
    <row r="27" spans="1:45" x14ac:dyDescent="0.25">
      <c r="N27" s="17">
        <f>SUM(N29:N43)</f>
        <v>74210.815999999992</v>
      </c>
      <c r="AH27" s="17">
        <f>SUM(AH29:AH43)</f>
        <v>125777.25600000001</v>
      </c>
      <c r="AQ27" s="18"/>
    </row>
    <row r="28" spans="1:45" x14ac:dyDescent="0.25">
      <c r="A28" s="4" t="s">
        <v>1</v>
      </c>
      <c r="B28" s="4" t="s">
        <v>2</v>
      </c>
      <c r="C28" s="4" t="s">
        <v>3</v>
      </c>
      <c r="D28" s="4" t="str">
        <f>D10</f>
        <v>Nombre</v>
      </c>
      <c r="E28" s="4" t="str">
        <f t="shared" ref="E28:F28" si="22">E10</f>
        <v>Año</v>
      </c>
      <c r="F28" s="4" t="str">
        <f t="shared" si="22"/>
        <v>Dia</v>
      </c>
      <c r="G28" s="4" t="s">
        <v>4</v>
      </c>
      <c r="H28" s="4" t="s">
        <v>5</v>
      </c>
      <c r="I28" s="4" t="s">
        <v>6</v>
      </c>
      <c r="J28" s="4" t="s">
        <v>7</v>
      </c>
      <c r="K28" s="4" t="s">
        <v>8</v>
      </c>
      <c r="L28" s="4" t="s">
        <v>9</v>
      </c>
      <c r="M28" s="4" t="s">
        <v>10</v>
      </c>
      <c r="N28" s="4" t="s">
        <v>11</v>
      </c>
      <c r="O28" s="4" t="s">
        <v>46</v>
      </c>
      <c r="P28" s="4" t="s">
        <v>47</v>
      </c>
      <c r="Q28" s="4" t="s">
        <v>48</v>
      </c>
      <c r="R28" s="4" t="s">
        <v>49</v>
      </c>
      <c r="S28" s="4" t="s">
        <v>50</v>
      </c>
      <c r="T28" s="4" t="s">
        <v>51</v>
      </c>
      <c r="U28" s="4" t="s">
        <v>52</v>
      </c>
      <c r="V28" s="4" t="s">
        <v>53</v>
      </c>
      <c r="X28" s="4" t="s">
        <v>1</v>
      </c>
      <c r="Y28" s="4" t="str">
        <f>Y10</f>
        <v>Año</v>
      </c>
      <c r="Z28" s="4" t="str">
        <f>Z10</f>
        <v>Dia</v>
      </c>
      <c r="AA28" s="4" t="s">
        <v>4</v>
      </c>
      <c r="AB28" s="4" t="s">
        <v>5</v>
      </c>
      <c r="AC28" s="4" t="s">
        <v>6</v>
      </c>
      <c r="AD28" s="4" t="s">
        <v>7</v>
      </c>
      <c r="AE28" s="4" t="s">
        <v>8</v>
      </c>
      <c r="AF28" s="4" t="s">
        <v>9</v>
      </c>
      <c r="AG28" s="4" t="s">
        <v>10</v>
      </c>
      <c r="AH28" s="4" t="s">
        <v>11</v>
      </c>
      <c r="AI28" s="4" t="s">
        <v>46</v>
      </c>
      <c r="AJ28" s="4" t="s">
        <v>47</v>
      </c>
      <c r="AK28" s="4" t="s">
        <v>48</v>
      </c>
      <c r="AL28" s="4" t="s">
        <v>49</v>
      </c>
      <c r="AM28" s="4" t="s">
        <v>50</v>
      </c>
      <c r="AN28" s="4" t="s">
        <v>51</v>
      </c>
      <c r="AO28" s="4" t="s">
        <v>52</v>
      </c>
      <c r="AP28" s="4" t="s">
        <v>53</v>
      </c>
      <c r="AQ28" s="18"/>
    </row>
    <row r="29" spans="1:45" x14ac:dyDescent="0.25">
      <c r="A29" t="s">
        <v>12</v>
      </c>
      <c r="B29" s="5" t="str">
        <f>B11</f>
        <v>POR</v>
      </c>
      <c r="C29" s="6"/>
      <c r="D29" s="6" t="s">
        <v>98</v>
      </c>
      <c r="E29" s="6">
        <v>20</v>
      </c>
      <c r="F29" s="6">
        <v>50</v>
      </c>
      <c r="G29" s="11">
        <v>17</v>
      </c>
      <c r="H29" s="11">
        <f t="shared" ref="H29:M29" si="23">AB11</f>
        <v>2</v>
      </c>
      <c r="I29" s="11">
        <f t="shared" si="23"/>
        <v>0</v>
      </c>
      <c r="J29" s="11">
        <f t="shared" si="23"/>
        <v>0</v>
      </c>
      <c r="K29" s="11">
        <f t="shared" si="23"/>
        <v>0</v>
      </c>
      <c r="L29" s="11">
        <f t="shared" si="23"/>
        <v>0</v>
      </c>
      <c r="M29" s="11">
        <f t="shared" si="23"/>
        <v>2</v>
      </c>
      <c r="N29" s="8">
        <f>(31720)*1.008</f>
        <v>31973.760000000002</v>
      </c>
      <c r="O29" s="1">
        <v>62</v>
      </c>
      <c r="P29" s="1">
        <f t="shared" ref="P29:U29" si="24">AJ11</f>
        <v>0</v>
      </c>
      <c r="Q29" s="1">
        <f t="shared" si="24"/>
        <v>0</v>
      </c>
      <c r="R29" s="1">
        <f t="shared" si="24"/>
        <v>0</v>
      </c>
      <c r="S29" s="1">
        <f t="shared" si="24"/>
        <v>0</v>
      </c>
      <c r="T29" s="1">
        <f t="shared" si="24"/>
        <v>0</v>
      </c>
      <c r="U29" s="1">
        <f t="shared" si="24"/>
        <v>0</v>
      </c>
      <c r="V29" s="3">
        <f>SUM(O29:U29)</f>
        <v>62</v>
      </c>
      <c r="X29" t="s">
        <v>12</v>
      </c>
      <c r="Y29" s="6">
        <v>22</v>
      </c>
      <c r="Z29" s="6">
        <f>F29+(AR33*7)-112-112</f>
        <v>36</v>
      </c>
      <c r="AA29" s="11">
        <f>G29</f>
        <v>17</v>
      </c>
      <c r="AB29" s="11">
        <v>9</v>
      </c>
      <c r="AC29" s="11">
        <f t="shared" ref="AC29:AG29" si="25">I29</f>
        <v>0</v>
      </c>
      <c r="AD29" s="11">
        <f t="shared" si="25"/>
        <v>0</v>
      </c>
      <c r="AE29" s="11">
        <f t="shared" si="25"/>
        <v>0</v>
      </c>
      <c r="AF29" s="11">
        <f t="shared" si="25"/>
        <v>0</v>
      </c>
      <c r="AG29" s="11">
        <f t="shared" si="25"/>
        <v>2</v>
      </c>
      <c r="AH29" s="8">
        <f>(31720+655)*1.008</f>
        <v>32634</v>
      </c>
      <c r="AI29" s="1">
        <f>O29</f>
        <v>62</v>
      </c>
      <c r="AJ29" s="1">
        <f>P29+AR33</f>
        <v>30</v>
      </c>
      <c r="AK29" s="1">
        <f t="shared" ref="AK29:AO29" si="26">Q29</f>
        <v>0</v>
      </c>
      <c r="AL29" s="1">
        <f t="shared" si="26"/>
        <v>0</v>
      </c>
      <c r="AM29" s="1">
        <f t="shared" si="26"/>
        <v>0</v>
      </c>
      <c r="AN29" s="1">
        <f t="shared" si="26"/>
        <v>0</v>
      </c>
      <c r="AO29" s="1">
        <f t="shared" si="26"/>
        <v>0</v>
      </c>
      <c r="AP29" s="3">
        <f>SUM(AI29:AO29)</f>
        <v>92</v>
      </c>
      <c r="AQ29" s="18"/>
    </row>
    <row r="30" spans="1:45" x14ac:dyDescent="0.25">
      <c r="A30" t="s">
        <v>14</v>
      </c>
      <c r="B30" s="5" t="str">
        <f t="shared" ref="B30:D30" si="27">B12</f>
        <v>DEF</v>
      </c>
      <c r="C30" s="6" t="str">
        <f t="shared" si="27"/>
        <v>TEC</v>
      </c>
      <c r="D30" s="6" t="str">
        <f t="shared" si="27"/>
        <v>J. G. de Minaya</v>
      </c>
      <c r="E30" s="6">
        <f t="shared" ref="E30:G30" si="28">Y12</f>
        <v>20</v>
      </c>
      <c r="F30" s="6">
        <f t="shared" si="28"/>
        <v>46.5</v>
      </c>
      <c r="G30" s="11">
        <f t="shared" si="28"/>
        <v>0</v>
      </c>
      <c r="H30" s="11">
        <f t="shared" ref="H30:H44" si="29">AB12</f>
        <v>6</v>
      </c>
      <c r="I30" s="11">
        <f t="shared" ref="I30:I44" si="30">AC12</f>
        <v>5</v>
      </c>
      <c r="J30" s="11">
        <f t="shared" ref="J30:J44" si="31">AD12</f>
        <v>12.285714285714286</v>
      </c>
      <c r="K30" s="11">
        <f t="shared" ref="K30:K44" si="32">AE12</f>
        <v>5</v>
      </c>
      <c r="L30" s="11">
        <f t="shared" ref="L30:L44" si="33">AF12</f>
        <v>8</v>
      </c>
      <c r="M30" s="11">
        <f t="shared" ref="M30:O44" si="34">AG12</f>
        <v>0</v>
      </c>
      <c r="N30" s="8">
        <f t="shared" si="34"/>
        <v>5840</v>
      </c>
      <c r="O30" s="1">
        <f t="shared" si="34"/>
        <v>0</v>
      </c>
      <c r="P30" s="1">
        <f t="shared" ref="P30:P44" si="35">AJ12</f>
        <v>14</v>
      </c>
      <c r="Q30" s="1">
        <f t="shared" ref="Q30:Q44" si="36">AK12</f>
        <v>9</v>
      </c>
      <c r="R30" s="1">
        <f t="shared" ref="R30:R44" si="37">AL12</f>
        <v>35</v>
      </c>
      <c r="S30" s="1">
        <f t="shared" ref="S30:S44" si="38">AM12</f>
        <v>7</v>
      </c>
      <c r="T30" s="1">
        <f t="shared" ref="T30:T44" si="39">AN12</f>
        <v>21</v>
      </c>
      <c r="U30" s="1">
        <v>-2</v>
      </c>
      <c r="V30" s="3">
        <f t="shared" ref="V30" si="40">SUM(O30:U30)</f>
        <v>84</v>
      </c>
      <c r="X30" t="s">
        <v>14</v>
      </c>
      <c r="Y30" s="6">
        <v>22</v>
      </c>
      <c r="Z30" s="6">
        <f>F30+(AR33*7)-112-112</f>
        <v>32.5</v>
      </c>
      <c r="AA30" s="11">
        <f t="shared" ref="AA30:AA44" si="41">G30</f>
        <v>0</v>
      </c>
      <c r="AB30" s="11">
        <f>10+7/9</f>
        <v>10.777777777777779</v>
      </c>
      <c r="AC30" s="11">
        <f t="shared" ref="AC30:AC44" si="42">I30</f>
        <v>5</v>
      </c>
      <c r="AD30" s="11">
        <f t="shared" ref="AD30:AD44" si="43">J30</f>
        <v>12.285714285714286</v>
      </c>
      <c r="AE30" s="11">
        <f t="shared" ref="AE30:AE44" si="44">K30</f>
        <v>5</v>
      </c>
      <c r="AF30" s="11">
        <f t="shared" ref="AF30:AF44" si="45">L30</f>
        <v>8</v>
      </c>
      <c r="AG30" s="11">
        <f t="shared" ref="AG30:AG44" si="46">M30</f>
        <v>0</v>
      </c>
      <c r="AH30" s="8">
        <f>(5000+1800+135+135+405)*1</f>
        <v>7475</v>
      </c>
      <c r="AI30" s="1">
        <f t="shared" ref="AI30:AI44" si="47">O30</f>
        <v>0</v>
      </c>
      <c r="AJ30" s="1">
        <f>P30+AR33</f>
        <v>44</v>
      </c>
      <c r="AK30" s="1">
        <f t="shared" ref="AK30:AK44" si="48">Q30</f>
        <v>9</v>
      </c>
      <c r="AL30" s="1">
        <f t="shared" ref="AL30:AL44" si="49">R30</f>
        <v>35</v>
      </c>
      <c r="AM30" s="1">
        <f t="shared" ref="AM30:AM44" si="50">S30</f>
        <v>7</v>
      </c>
      <c r="AN30" s="1">
        <f t="shared" ref="AN30:AN44" si="51">T30</f>
        <v>21</v>
      </c>
      <c r="AO30" s="1">
        <f t="shared" ref="AO30:AO44" si="52">U30</f>
        <v>-2</v>
      </c>
      <c r="AP30" s="3">
        <f t="shared" ref="AP30" si="53">SUM(AI30:AO30)</f>
        <v>114</v>
      </c>
      <c r="AQ30" s="18"/>
    </row>
    <row r="31" spans="1:45" x14ac:dyDescent="0.25">
      <c r="A31" t="s">
        <v>15</v>
      </c>
      <c r="B31" s="5" t="str">
        <f t="shared" ref="B31" si="54">B13</f>
        <v>DEF</v>
      </c>
      <c r="C31" s="6" t="s">
        <v>81</v>
      </c>
      <c r="D31" s="6" t="s">
        <v>99</v>
      </c>
      <c r="E31" s="6">
        <v>20</v>
      </c>
      <c r="F31" s="6">
        <v>50</v>
      </c>
      <c r="G31" s="11">
        <f t="shared" ref="G31" si="55">AA13</f>
        <v>0</v>
      </c>
      <c r="H31" s="11">
        <v>10</v>
      </c>
      <c r="I31" s="11">
        <v>4</v>
      </c>
      <c r="J31" s="11">
        <v>4</v>
      </c>
      <c r="K31" s="11">
        <v>10</v>
      </c>
      <c r="L31" s="11">
        <f t="shared" si="33"/>
        <v>2</v>
      </c>
      <c r="M31" s="11">
        <f t="shared" si="34"/>
        <v>2</v>
      </c>
      <c r="N31" s="8">
        <f>(2330+125+125+785)*1.008</f>
        <v>3391.92</v>
      </c>
      <c r="O31" s="1">
        <f t="shared" ref="O31" si="56">AI13</f>
        <v>0</v>
      </c>
      <c r="P31" s="1">
        <v>37</v>
      </c>
      <c r="Q31" s="1">
        <v>6</v>
      </c>
      <c r="R31" s="1">
        <v>3.5</v>
      </c>
      <c r="S31" s="1">
        <v>29</v>
      </c>
      <c r="T31" s="1">
        <f t="shared" si="39"/>
        <v>0</v>
      </c>
      <c r="U31" s="1">
        <f t="shared" ref="U31:U44" si="57">AO13</f>
        <v>0</v>
      </c>
      <c r="V31" s="3">
        <f>SUM(O31:U31)</f>
        <v>75.5</v>
      </c>
      <c r="X31" t="s">
        <v>15</v>
      </c>
      <c r="Y31" s="6">
        <v>22</v>
      </c>
      <c r="Z31" s="6">
        <f>F31+(AR33*7)-112-112</f>
        <v>36</v>
      </c>
      <c r="AA31" s="11">
        <f t="shared" si="41"/>
        <v>0</v>
      </c>
      <c r="AB31" s="11">
        <v>13</v>
      </c>
      <c r="AC31" s="11">
        <f t="shared" si="42"/>
        <v>4</v>
      </c>
      <c r="AD31" s="11">
        <f t="shared" si="43"/>
        <v>4</v>
      </c>
      <c r="AE31" s="11">
        <f t="shared" si="44"/>
        <v>10</v>
      </c>
      <c r="AF31" s="11">
        <f t="shared" si="45"/>
        <v>2</v>
      </c>
      <c r="AG31" s="11">
        <f t="shared" si="46"/>
        <v>2</v>
      </c>
      <c r="AH31" s="8">
        <f>(11470+125+125+785)*1.008</f>
        <v>12605.04</v>
      </c>
      <c r="AI31" s="1">
        <f t="shared" si="47"/>
        <v>0</v>
      </c>
      <c r="AJ31" s="1">
        <f>P31+AR33</f>
        <v>67</v>
      </c>
      <c r="AK31" s="1">
        <f t="shared" si="48"/>
        <v>6</v>
      </c>
      <c r="AL31" s="1">
        <f t="shared" si="49"/>
        <v>3.5</v>
      </c>
      <c r="AM31" s="1">
        <f t="shared" si="50"/>
        <v>29</v>
      </c>
      <c r="AN31" s="1">
        <f t="shared" si="51"/>
        <v>0</v>
      </c>
      <c r="AO31" s="1">
        <f t="shared" si="52"/>
        <v>0</v>
      </c>
      <c r="AP31" s="3">
        <f>SUM(AI31:AO31)</f>
        <v>105.5</v>
      </c>
      <c r="AQ31" s="18"/>
    </row>
    <row r="32" spans="1:45" x14ac:dyDescent="0.25">
      <c r="A32" t="s">
        <v>16</v>
      </c>
      <c r="B32" s="5" t="str">
        <f t="shared" ref="B32" si="58">B14</f>
        <v>DEF</v>
      </c>
      <c r="C32" s="6" t="s">
        <v>81</v>
      </c>
      <c r="D32" s="6" t="s">
        <v>99</v>
      </c>
      <c r="E32" s="6">
        <v>20</v>
      </c>
      <c r="F32" s="6">
        <v>50</v>
      </c>
      <c r="G32" s="11">
        <f t="shared" ref="G32" si="59">AA14</f>
        <v>0</v>
      </c>
      <c r="H32" s="11">
        <v>10</v>
      </c>
      <c r="I32" s="11">
        <v>4</v>
      </c>
      <c r="J32" s="11">
        <v>4</v>
      </c>
      <c r="K32" s="11">
        <v>10</v>
      </c>
      <c r="L32" s="11">
        <f t="shared" si="33"/>
        <v>2</v>
      </c>
      <c r="M32" s="11">
        <f t="shared" si="34"/>
        <v>2</v>
      </c>
      <c r="N32" s="8">
        <f>(2330+125+125+785)*1.008</f>
        <v>3391.92</v>
      </c>
      <c r="O32" s="1">
        <f t="shared" ref="O32" si="60">AI14</f>
        <v>0</v>
      </c>
      <c r="P32" s="1">
        <v>37</v>
      </c>
      <c r="Q32" s="1">
        <v>6</v>
      </c>
      <c r="R32" s="1">
        <v>3.5</v>
      </c>
      <c r="S32" s="1">
        <v>29</v>
      </c>
      <c r="T32" s="1">
        <f t="shared" si="39"/>
        <v>0</v>
      </c>
      <c r="U32" s="1">
        <f t="shared" si="57"/>
        <v>0</v>
      </c>
      <c r="V32" s="3">
        <f>SUM(O32:U32)</f>
        <v>75.5</v>
      </c>
      <c r="X32" t="s">
        <v>16</v>
      </c>
      <c r="Y32" s="6">
        <v>22</v>
      </c>
      <c r="Z32" s="6">
        <f>F32+(AR33*7)-112-112</f>
        <v>36</v>
      </c>
      <c r="AA32" s="11">
        <f t="shared" si="41"/>
        <v>0</v>
      </c>
      <c r="AB32" s="11">
        <v>13</v>
      </c>
      <c r="AC32" s="11">
        <f t="shared" si="42"/>
        <v>4</v>
      </c>
      <c r="AD32" s="11">
        <f t="shared" si="43"/>
        <v>4</v>
      </c>
      <c r="AE32" s="11">
        <f t="shared" si="44"/>
        <v>10</v>
      </c>
      <c r="AF32" s="11">
        <f t="shared" si="45"/>
        <v>2</v>
      </c>
      <c r="AG32" s="11">
        <f t="shared" si="46"/>
        <v>2</v>
      </c>
      <c r="AH32" s="8">
        <f>(11470+125+125+785)*1.008</f>
        <v>12605.04</v>
      </c>
      <c r="AI32" s="1">
        <f t="shared" si="47"/>
        <v>0</v>
      </c>
      <c r="AJ32" s="1">
        <f>P32+AR33</f>
        <v>67</v>
      </c>
      <c r="AK32" s="1">
        <f t="shared" si="48"/>
        <v>6</v>
      </c>
      <c r="AL32" s="1">
        <f t="shared" si="49"/>
        <v>3.5</v>
      </c>
      <c r="AM32" s="1">
        <f t="shared" si="50"/>
        <v>29</v>
      </c>
      <c r="AN32" s="1">
        <f t="shared" si="51"/>
        <v>0</v>
      </c>
      <c r="AO32" s="1">
        <f t="shared" si="52"/>
        <v>0</v>
      </c>
      <c r="AP32" s="3">
        <f>SUM(AI32:AO32)</f>
        <v>105.5</v>
      </c>
      <c r="AQ32" s="18"/>
      <c r="AR32" t="s">
        <v>78</v>
      </c>
      <c r="AS32" t="s">
        <v>79</v>
      </c>
    </row>
    <row r="33" spans="1:45" x14ac:dyDescent="0.25">
      <c r="A33" t="s">
        <v>17</v>
      </c>
      <c r="B33" s="5" t="str">
        <f t="shared" ref="B33" si="61">B15</f>
        <v>DEF</v>
      </c>
      <c r="C33" s="6" t="s">
        <v>81</v>
      </c>
      <c r="D33" s="6" t="s">
        <v>99</v>
      </c>
      <c r="E33" s="6">
        <v>20</v>
      </c>
      <c r="F33" s="6">
        <v>50</v>
      </c>
      <c r="G33" s="11">
        <f t="shared" ref="G33" si="62">AA15</f>
        <v>0</v>
      </c>
      <c r="H33" s="11">
        <v>10</v>
      </c>
      <c r="I33" s="11">
        <v>4</v>
      </c>
      <c r="J33" s="11">
        <v>4</v>
      </c>
      <c r="K33" s="11">
        <v>10</v>
      </c>
      <c r="L33" s="11">
        <f t="shared" si="33"/>
        <v>2</v>
      </c>
      <c r="M33" s="11">
        <f t="shared" si="34"/>
        <v>2</v>
      </c>
      <c r="N33" s="8">
        <f>(2330+125+125+785)*1.008</f>
        <v>3391.92</v>
      </c>
      <c r="O33" s="1">
        <f t="shared" ref="O33" si="63">AI15</f>
        <v>0</v>
      </c>
      <c r="P33" s="1">
        <v>37</v>
      </c>
      <c r="Q33" s="1">
        <v>6</v>
      </c>
      <c r="R33" s="1">
        <v>3.5</v>
      </c>
      <c r="S33" s="1">
        <v>29</v>
      </c>
      <c r="T33" s="1">
        <f t="shared" si="39"/>
        <v>0</v>
      </c>
      <c r="U33" s="1">
        <f t="shared" si="57"/>
        <v>0</v>
      </c>
      <c r="V33" s="3">
        <f t="shared" ref="V33:V39" si="64">SUM(O33:U33)</f>
        <v>75.5</v>
      </c>
      <c r="X33" t="s">
        <v>17</v>
      </c>
      <c r="Y33" s="6">
        <v>22</v>
      </c>
      <c r="Z33" s="6">
        <f>F33+(AR33*7)-112-112</f>
        <v>36</v>
      </c>
      <c r="AA33" s="11">
        <f t="shared" si="41"/>
        <v>0</v>
      </c>
      <c r="AB33" s="11">
        <v>13</v>
      </c>
      <c r="AC33" s="11">
        <f t="shared" si="42"/>
        <v>4</v>
      </c>
      <c r="AD33" s="11">
        <f t="shared" si="43"/>
        <v>4</v>
      </c>
      <c r="AE33" s="11">
        <f t="shared" si="44"/>
        <v>10</v>
      </c>
      <c r="AF33" s="11">
        <f t="shared" si="45"/>
        <v>2</v>
      </c>
      <c r="AG33" s="11">
        <f t="shared" si="46"/>
        <v>2</v>
      </c>
      <c r="AH33" s="8">
        <f>(11470+125+125+785)*1.008</f>
        <v>12605.04</v>
      </c>
      <c r="AI33" s="1">
        <f t="shared" si="47"/>
        <v>0</v>
      </c>
      <c r="AJ33" s="1">
        <f>P33+AR33</f>
        <v>67</v>
      </c>
      <c r="AK33" s="1">
        <f t="shared" si="48"/>
        <v>6</v>
      </c>
      <c r="AL33" s="1">
        <f t="shared" si="49"/>
        <v>3.5</v>
      </c>
      <c r="AM33" s="1">
        <f t="shared" si="50"/>
        <v>29</v>
      </c>
      <c r="AN33" s="1">
        <f t="shared" si="51"/>
        <v>0</v>
      </c>
      <c r="AO33" s="1">
        <f t="shared" si="52"/>
        <v>0</v>
      </c>
      <c r="AP33" s="3">
        <f t="shared" ref="AP33:AP39" si="65">SUM(AI33:AO33)</f>
        <v>105.5</v>
      </c>
      <c r="AQ33" s="18" t="s">
        <v>0</v>
      </c>
      <c r="AR33">
        <f>67-37</f>
        <v>30</v>
      </c>
      <c r="AS33" s="19">
        <f>AR33/16</f>
        <v>1.875</v>
      </c>
    </row>
    <row r="34" spans="1:45" x14ac:dyDescent="0.25">
      <c r="A34" t="s">
        <v>18</v>
      </c>
      <c r="B34" s="5" t="str">
        <f t="shared" ref="B34" si="66">B16</f>
        <v>DEF</v>
      </c>
      <c r="C34" s="6" t="s">
        <v>81</v>
      </c>
      <c r="D34" s="6" t="s">
        <v>99</v>
      </c>
      <c r="E34" s="6">
        <v>20</v>
      </c>
      <c r="F34" s="6">
        <v>50</v>
      </c>
      <c r="G34" s="11">
        <f t="shared" ref="G34" si="67">AA16</f>
        <v>0</v>
      </c>
      <c r="H34" s="11">
        <v>10</v>
      </c>
      <c r="I34" s="11">
        <v>4</v>
      </c>
      <c r="J34" s="11">
        <v>4</v>
      </c>
      <c r="K34" s="11">
        <v>10</v>
      </c>
      <c r="L34" s="11">
        <f t="shared" si="33"/>
        <v>2</v>
      </c>
      <c r="M34" s="11">
        <f t="shared" si="34"/>
        <v>2</v>
      </c>
      <c r="N34" s="8">
        <f>(2330+125+125+785)*1.008</f>
        <v>3391.92</v>
      </c>
      <c r="O34" s="1">
        <f t="shared" ref="O34" si="68">AI16</f>
        <v>0</v>
      </c>
      <c r="P34" s="1">
        <v>37</v>
      </c>
      <c r="Q34" s="1">
        <v>6</v>
      </c>
      <c r="R34" s="1">
        <v>3.5</v>
      </c>
      <c r="S34" s="1">
        <v>29</v>
      </c>
      <c r="T34" s="1">
        <f t="shared" si="39"/>
        <v>0</v>
      </c>
      <c r="U34" s="1">
        <f t="shared" si="57"/>
        <v>0</v>
      </c>
      <c r="V34" s="3">
        <f t="shared" si="64"/>
        <v>75.5</v>
      </c>
      <c r="X34" t="s">
        <v>18</v>
      </c>
      <c r="Y34" s="6">
        <v>22</v>
      </c>
      <c r="Z34" s="6">
        <f>F34+(AR33*7)-112-112</f>
        <v>36</v>
      </c>
      <c r="AA34" s="11">
        <f t="shared" si="41"/>
        <v>0</v>
      </c>
      <c r="AB34" s="11">
        <v>13</v>
      </c>
      <c r="AC34" s="11">
        <f t="shared" si="42"/>
        <v>4</v>
      </c>
      <c r="AD34" s="11">
        <f t="shared" si="43"/>
        <v>4</v>
      </c>
      <c r="AE34" s="11">
        <f t="shared" si="44"/>
        <v>10</v>
      </c>
      <c r="AF34" s="11">
        <f t="shared" si="45"/>
        <v>2</v>
      </c>
      <c r="AG34" s="11">
        <f t="shared" si="46"/>
        <v>2</v>
      </c>
      <c r="AH34" s="8">
        <f>(11470+125+125+785)*1.008</f>
        <v>12605.04</v>
      </c>
      <c r="AI34" s="1">
        <f t="shared" si="47"/>
        <v>0</v>
      </c>
      <c r="AJ34" s="1">
        <f>P34+AR33</f>
        <v>67</v>
      </c>
      <c r="AK34" s="1">
        <f t="shared" si="48"/>
        <v>6</v>
      </c>
      <c r="AL34" s="1">
        <f t="shared" si="49"/>
        <v>3.5</v>
      </c>
      <c r="AM34" s="1">
        <f t="shared" si="50"/>
        <v>29</v>
      </c>
      <c r="AN34" s="1">
        <f t="shared" si="51"/>
        <v>0</v>
      </c>
      <c r="AO34" s="1">
        <f t="shared" si="52"/>
        <v>0</v>
      </c>
      <c r="AP34" s="3">
        <f t="shared" si="65"/>
        <v>105.5</v>
      </c>
      <c r="AQ34" s="18"/>
    </row>
    <row r="35" spans="1:45" x14ac:dyDescent="0.25">
      <c r="A35" t="s">
        <v>19</v>
      </c>
      <c r="B35" s="5" t="str">
        <f t="shared" ref="B35" si="69">B17</f>
        <v>DEF</v>
      </c>
      <c r="C35" s="6" t="s">
        <v>81</v>
      </c>
      <c r="D35" s="6" t="s">
        <v>99</v>
      </c>
      <c r="E35" s="6">
        <v>20</v>
      </c>
      <c r="F35" s="6">
        <v>50</v>
      </c>
      <c r="G35" s="11">
        <f t="shared" ref="G35" si="70">AA17</f>
        <v>0</v>
      </c>
      <c r="H35" s="11">
        <v>10</v>
      </c>
      <c r="I35" s="11">
        <v>4</v>
      </c>
      <c r="J35" s="11">
        <v>4</v>
      </c>
      <c r="K35" s="11">
        <v>10</v>
      </c>
      <c r="L35" s="11">
        <f t="shared" si="33"/>
        <v>2</v>
      </c>
      <c r="M35" s="11">
        <f t="shared" si="34"/>
        <v>2</v>
      </c>
      <c r="N35" s="8">
        <f>(2330+125+125+785)*1.008</f>
        <v>3391.92</v>
      </c>
      <c r="O35" s="1">
        <f t="shared" ref="O35" si="71">AI17</f>
        <v>0</v>
      </c>
      <c r="P35" s="1">
        <v>37</v>
      </c>
      <c r="Q35" s="1">
        <v>6</v>
      </c>
      <c r="R35" s="1">
        <v>3.5</v>
      </c>
      <c r="S35" s="1">
        <v>29</v>
      </c>
      <c r="T35" s="1">
        <f t="shared" si="39"/>
        <v>0</v>
      </c>
      <c r="U35" s="1">
        <f t="shared" si="57"/>
        <v>0</v>
      </c>
      <c r="V35" s="3">
        <f t="shared" si="64"/>
        <v>75.5</v>
      </c>
      <c r="X35" t="s">
        <v>19</v>
      </c>
      <c r="Y35" s="6">
        <v>22</v>
      </c>
      <c r="Z35" s="6">
        <f>F35+(AR33*7)-112-112</f>
        <v>36</v>
      </c>
      <c r="AA35" s="11">
        <f t="shared" si="41"/>
        <v>0</v>
      </c>
      <c r="AB35" s="11">
        <v>13</v>
      </c>
      <c r="AC35" s="11">
        <f t="shared" si="42"/>
        <v>4</v>
      </c>
      <c r="AD35" s="11">
        <f t="shared" si="43"/>
        <v>4</v>
      </c>
      <c r="AE35" s="11">
        <f t="shared" si="44"/>
        <v>10</v>
      </c>
      <c r="AF35" s="11">
        <f t="shared" si="45"/>
        <v>2</v>
      </c>
      <c r="AG35" s="11">
        <f t="shared" si="46"/>
        <v>2</v>
      </c>
      <c r="AH35" s="8">
        <f>(11470+125+125+785)*1.008</f>
        <v>12605.04</v>
      </c>
      <c r="AI35" s="1">
        <f t="shared" si="47"/>
        <v>0</v>
      </c>
      <c r="AJ35" s="1">
        <f>P35+AR33</f>
        <v>67</v>
      </c>
      <c r="AK35" s="1">
        <f t="shared" si="48"/>
        <v>6</v>
      </c>
      <c r="AL35" s="1">
        <f t="shared" si="49"/>
        <v>3.5</v>
      </c>
      <c r="AM35" s="1">
        <f t="shared" si="50"/>
        <v>29</v>
      </c>
      <c r="AN35" s="1">
        <f t="shared" si="51"/>
        <v>0</v>
      </c>
      <c r="AO35" s="1">
        <f t="shared" si="52"/>
        <v>0</v>
      </c>
      <c r="AP35" s="3">
        <f t="shared" si="65"/>
        <v>105.5</v>
      </c>
      <c r="AQ35" s="18"/>
    </row>
    <row r="36" spans="1:45" x14ac:dyDescent="0.25">
      <c r="A36" t="s">
        <v>20</v>
      </c>
      <c r="B36" s="5" t="str">
        <f t="shared" ref="B36:D36" si="72">B18</f>
        <v>DEF</v>
      </c>
      <c r="C36" s="6"/>
      <c r="D36" s="6">
        <f t="shared" si="72"/>
        <v>0</v>
      </c>
      <c r="E36" s="6">
        <f t="shared" ref="E36:G36" si="73">Y18</f>
        <v>0</v>
      </c>
      <c r="F36" s="6">
        <f t="shared" si="73"/>
        <v>0</v>
      </c>
      <c r="G36" s="11">
        <f t="shared" si="73"/>
        <v>0</v>
      </c>
      <c r="H36" s="11">
        <f t="shared" si="29"/>
        <v>2</v>
      </c>
      <c r="I36" s="11">
        <f t="shared" si="30"/>
        <v>2</v>
      </c>
      <c r="J36" s="11">
        <f t="shared" si="31"/>
        <v>2</v>
      </c>
      <c r="K36" s="11">
        <f t="shared" si="32"/>
        <v>2</v>
      </c>
      <c r="L36" s="11">
        <f t="shared" si="33"/>
        <v>2</v>
      </c>
      <c r="M36" s="11">
        <f t="shared" si="34"/>
        <v>2</v>
      </c>
      <c r="N36" s="8">
        <f t="shared" ref="N36:O36" si="74">AH18</f>
        <v>0</v>
      </c>
      <c r="O36" s="1">
        <f t="shared" si="74"/>
        <v>0</v>
      </c>
      <c r="P36" s="1">
        <f t="shared" si="35"/>
        <v>0</v>
      </c>
      <c r="Q36" s="1">
        <f t="shared" si="36"/>
        <v>0</v>
      </c>
      <c r="R36" s="1">
        <f t="shared" si="37"/>
        <v>0</v>
      </c>
      <c r="S36" s="1">
        <f t="shared" si="38"/>
        <v>0</v>
      </c>
      <c r="T36" s="1">
        <f t="shared" si="39"/>
        <v>0</v>
      </c>
      <c r="U36" s="1">
        <f t="shared" si="57"/>
        <v>0</v>
      </c>
      <c r="V36" s="3">
        <f t="shared" si="64"/>
        <v>0</v>
      </c>
      <c r="X36" t="s">
        <v>20</v>
      </c>
      <c r="Y36" s="6"/>
      <c r="Z36" s="6"/>
      <c r="AA36" s="11">
        <f t="shared" si="41"/>
        <v>0</v>
      </c>
      <c r="AB36" s="11">
        <f t="shared" ref="AB36:AB44" si="75">H36</f>
        <v>2</v>
      </c>
      <c r="AC36" s="11">
        <f t="shared" si="42"/>
        <v>2</v>
      </c>
      <c r="AD36" s="11">
        <f t="shared" si="43"/>
        <v>2</v>
      </c>
      <c r="AE36" s="11">
        <f t="shared" si="44"/>
        <v>2</v>
      </c>
      <c r="AF36" s="11">
        <f t="shared" si="45"/>
        <v>2</v>
      </c>
      <c r="AG36" s="11">
        <f t="shared" si="46"/>
        <v>2</v>
      </c>
      <c r="AH36" s="8"/>
      <c r="AI36" s="1">
        <f t="shared" si="47"/>
        <v>0</v>
      </c>
      <c r="AJ36" s="1">
        <f t="shared" ref="AJ36:AJ44" si="76">P36</f>
        <v>0</v>
      </c>
      <c r="AK36" s="1">
        <f t="shared" si="48"/>
        <v>0</v>
      </c>
      <c r="AL36" s="1">
        <f t="shared" si="49"/>
        <v>0</v>
      </c>
      <c r="AM36" s="1">
        <f t="shared" si="50"/>
        <v>0</v>
      </c>
      <c r="AN36" s="1">
        <f t="shared" si="51"/>
        <v>0</v>
      </c>
      <c r="AO36" s="1">
        <f t="shared" si="52"/>
        <v>0</v>
      </c>
      <c r="AP36" s="3">
        <f t="shared" si="65"/>
        <v>0</v>
      </c>
      <c r="AQ36" s="18"/>
    </row>
    <row r="37" spans="1:45" x14ac:dyDescent="0.25">
      <c r="A37" t="s">
        <v>21</v>
      </c>
      <c r="B37" s="5" t="str">
        <f t="shared" ref="B37:D37" si="77">B19</f>
        <v>INN</v>
      </c>
      <c r="C37" s="6"/>
      <c r="D37" s="6">
        <f t="shared" si="77"/>
        <v>0</v>
      </c>
      <c r="E37" s="6">
        <f t="shared" ref="E37:G37" si="78">Y19</f>
        <v>0</v>
      </c>
      <c r="F37" s="6">
        <f t="shared" si="78"/>
        <v>0</v>
      </c>
      <c r="G37" s="11">
        <f t="shared" si="78"/>
        <v>0</v>
      </c>
      <c r="H37" s="11">
        <f t="shared" si="29"/>
        <v>2</v>
      </c>
      <c r="I37" s="11">
        <f t="shared" si="30"/>
        <v>2</v>
      </c>
      <c r="J37" s="11">
        <f t="shared" si="31"/>
        <v>2</v>
      </c>
      <c r="K37" s="11">
        <f t="shared" si="32"/>
        <v>2</v>
      </c>
      <c r="L37" s="11">
        <f t="shared" si="33"/>
        <v>2</v>
      </c>
      <c r="M37" s="11">
        <f t="shared" si="34"/>
        <v>2</v>
      </c>
      <c r="N37" s="8">
        <f t="shared" ref="N37:O37" si="79">AH19</f>
        <v>0</v>
      </c>
      <c r="O37" s="1">
        <f t="shared" si="79"/>
        <v>0</v>
      </c>
      <c r="P37" s="1">
        <f t="shared" si="35"/>
        <v>0</v>
      </c>
      <c r="Q37" s="1">
        <f t="shared" si="36"/>
        <v>0</v>
      </c>
      <c r="R37" s="1">
        <f t="shared" si="37"/>
        <v>0</v>
      </c>
      <c r="S37" s="1">
        <f t="shared" si="38"/>
        <v>0</v>
      </c>
      <c r="T37" s="1">
        <f t="shared" si="39"/>
        <v>0</v>
      </c>
      <c r="U37" s="1">
        <f t="shared" si="57"/>
        <v>0</v>
      </c>
      <c r="V37" s="3">
        <f t="shared" si="64"/>
        <v>0</v>
      </c>
      <c r="X37" t="s">
        <v>21</v>
      </c>
      <c r="Y37" s="6"/>
      <c r="Z37" s="6"/>
      <c r="AA37" s="11">
        <f t="shared" si="41"/>
        <v>0</v>
      </c>
      <c r="AB37" s="11">
        <f t="shared" si="75"/>
        <v>2</v>
      </c>
      <c r="AC37" s="11">
        <f t="shared" si="42"/>
        <v>2</v>
      </c>
      <c r="AD37" s="11">
        <f t="shared" si="43"/>
        <v>2</v>
      </c>
      <c r="AE37" s="11">
        <f t="shared" si="44"/>
        <v>2</v>
      </c>
      <c r="AF37" s="11">
        <f t="shared" si="45"/>
        <v>2</v>
      </c>
      <c r="AG37" s="11">
        <f t="shared" si="46"/>
        <v>2</v>
      </c>
      <c r="AH37" s="8"/>
      <c r="AI37" s="1">
        <f t="shared" si="47"/>
        <v>0</v>
      </c>
      <c r="AJ37" s="1">
        <f t="shared" si="76"/>
        <v>0</v>
      </c>
      <c r="AK37" s="1">
        <f t="shared" si="48"/>
        <v>0</v>
      </c>
      <c r="AL37" s="1">
        <f t="shared" si="49"/>
        <v>0</v>
      </c>
      <c r="AM37" s="1">
        <f t="shared" si="50"/>
        <v>0</v>
      </c>
      <c r="AN37" s="1">
        <f t="shared" si="51"/>
        <v>0</v>
      </c>
      <c r="AO37" s="1">
        <f t="shared" si="52"/>
        <v>0</v>
      </c>
      <c r="AP37" s="3">
        <f t="shared" si="65"/>
        <v>0</v>
      </c>
      <c r="AQ37" s="18"/>
    </row>
    <row r="38" spans="1:45" x14ac:dyDescent="0.25">
      <c r="A38" t="s">
        <v>21</v>
      </c>
      <c r="B38" s="5" t="str">
        <f t="shared" ref="B38:D38" si="80">B20</f>
        <v>INN</v>
      </c>
      <c r="C38" s="6"/>
      <c r="D38" s="6">
        <f t="shared" si="80"/>
        <v>0</v>
      </c>
      <c r="E38" s="6">
        <f t="shared" ref="E38:G38" si="81">Y20</f>
        <v>0</v>
      </c>
      <c r="F38" s="6">
        <f t="shared" si="81"/>
        <v>0</v>
      </c>
      <c r="G38" s="11">
        <f t="shared" si="81"/>
        <v>0</v>
      </c>
      <c r="H38" s="11">
        <f t="shared" si="29"/>
        <v>2</v>
      </c>
      <c r="I38" s="11">
        <f t="shared" si="30"/>
        <v>2</v>
      </c>
      <c r="J38" s="11">
        <f t="shared" si="31"/>
        <v>2</v>
      </c>
      <c r="K38" s="11">
        <f t="shared" si="32"/>
        <v>2</v>
      </c>
      <c r="L38" s="11">
        <f t="shared" si="33"/>
        <v>2</v>
      </c>
      <c r="M38" s="11">
        <f t="shared" si="34"/>
        <v>2</v>
      </c>
      <c r="N38" s="8">
        <f t="shared" ref="N38:O38" si="82">AH20</f>
        <v>0</v>
      </c>
      <c r="O38" s="1">
        <f t="shared" si="82"/>
        <v>0</v>
      </c>
      <c r="P38" s="1">
        <f t="shared" si="35"/>
        <v>0</v>
      </c>
      <c r="Q38" s="1">
        <f t="shared" si="36"/>
        <v>0</v>
      </c>
      <c r="R38" s="1">
        <f t="shared" si="37"/>
        <v>0</v>
      </c>
      <c r="S38" s="1">
        <f t="shared" si="38"/>
        <v>0</v>
      </c>
      <c r="T38" s="1">
        <f t="shared" si="39"/>
        <v>0</v>
      </c>
      <c r="U38" s="1">
        <f t="shared" si="57"/>
        <v>0</v>
      </c>
      <c r="V38" s="3">
        <f t="shared" si="64"/>
        <v>0</v>
      </c>
      <c r="X38" t="s">
        <v>21</v>
      </c>
      <c r="Y38" s="6"/>
      <c r="Z38" s="6"/>
      <c r="AA38" s="11">
        <f t="shared" si="41"/>
        <v>0</v>
      </c>
      <c r="AB38" s="11">
        <f t="shared" si="75"/>
        <v>2</v>
      </c>
      <c r="AC38" s="11">
        <f t="shared" si="42"/>
        <v>2</v>
      </c>
      <c r="AD38" s="11">
        <f t="shared" si="43"/>
        <v>2</v>
      </c>
      <c r="AE38" s="11">
        <f t="shared" si="44"/>
        <v>2</v>
      </c>
      <c r="AF38" s="11">
        <f t="shared" si="45"/>
        <v>2</v>
      </c>
      <c r="AG38" s="11">
        <f t="shared" si="46"/>
        <v>2</v>
      </c>
      <c r="AH38" s="8"/>
      <c r="AI38" s="1">
        <f t="shared" si="47"/>
        <v>0</v>
      </c>
      <c r="AJ38" s="1">
        <f t="shared" si="76"/>
        <v>0</v>
      </c>
      <c r="AK38" s="1">
        <f t="shared" si="48"/>
        <v>0</v>
      </c>
      <c r="AL38" s="1">
        <f t="shared" si="49"/>
        <v>0</v>
      </c>
      <c r="AM38" s="1">
        <f t="shared" si="50"/>
        <v>0</v>
      </c>
      <c r="AN38" s="1">
        <f t="shared" si="51"/>
        <v>0</v>
      </c>
      <c r="AO38" s="1">
        <f t="shared" si="52"/>
        <v>0</v>
      </c>
      <c r="AP38" s="3">
        <f t="shared" si="65"/>
        <v>0</v>
      </c>
      <c r="AQ38" s="18"/>
    </row>
    <row r="39" spans="1:45" x14ac:dyDescent="0.25">
      <c r="A39" t="s">
        <v>23</v>
      </c>
      <c r="B39" s="5" t="str">
        <f t="shared" ref="B39:D39" si="83">B21</f>
        <v>EXT</v>
      </c>
      <c r="C39" s="6" t="str">
        <f t="shared" si="83"/>
        <v>RAP</v>
      </c>
      <c r="D39" s="6" t="str">
        <f t="shared" si="83"/>
        <v>E. Cubas</v>
      </c>
      <c r="E39" s="6">
        <f t="shared" ref="E39:G39" si="84">Y21</f>
        <v>20</v>
      </c>
      <c r="F39" s="6">
        <f t="shared" si="84"/>
        <v>33.5</v>
      </c>
      <c r="G39" s="11">
        <f t="shared" si="84"/>
        <v>0</v>
      </c>
      <c r="H39" s="11">
        <f t="shared" si="29"/>
        <v>2</v>
      </c>
      <c r="I39" s="11">
        <f t="shared" si="30"/>
        <v>5.7</v>
      </c>
      <c r="J39" s="11">
        <f t="shared" si="31"/>
        <v>13.285714285714286</v>
      </c>
      <c r="K39" s="11">
        <f t="shared" si="32"/>
        <v>5.25</v>
      </c>
      <c r="L39" s="11">
        <f t="shared" si="33"/>
        <v>7.4</v>
      </c>
      <c r="M39" s="11">
        <f t="shared" si="34"/>
        <v>5</v>
      </c>
      <c r="N39" s="8">
        <f t="shared" ref="N39:O39" si="85">AH21</f>
        <v>8732.52</v>
      </c>
      <c r="O39" s="1">
        <f t="shared" si="85"/>
        <v>0</v>
      </c>
      <c r="P39" s="1">
        <f t="shared" si="35"/>
        <v>0</v>
      </c>
      <c r="Q39" s="1">
        <f t="shared" si="36"/>
        <v>13</v>
      </c>
      <c r="R39" s="1">
        <f t="shared" si="37"/>
        <v>42</v>
      </c>
      <c r="S39" s="1">
        <f t="shared" si="38"/>
        <v>8</v>
      </c>
      <c r="T39" s="1">
        <f t="shared" si="39"/>
        <v>18</v>
      </c>
      <c r="U39" s="1">
        <f t="shared" si="57"/>
        <v>3</v>
      </c>
      <c r="V39" s="3">
        <f t="shared" si="64"/>
        <v>84</v>
      </c>
      <c r="X39" t="s">
        <v>23</v>
      </c>
      <c r="Y39" s="6">
        <v>22</v>
      </c>
      <c r="Z39" s="6">
        <f>F39+(AR33*7)-112-112</f>
        <v>19.5</v>
      </c>
      <c r="AA39" s="11">
        <f t="shared" si="41"/>
        <v>0</v>
      </c>
      <c r="AB39" s="11">
        <f>9</f>
        <v>9</v>
      </c>
      <c r="AC39" s="11">
        <f t="shared" si="42"/>
        <v>5.7</v>
      </c>
      <c r="AD39" s="11">
        <f t="shared" si="43"/>
        <v>13.285714285714286</v>
      </c>
      <c r="AE39" s="11">
        <f t="shared" si="44"/>
        <v>5.25</v>
      </c>
      <c r="AF39" s="11">
        <f t="shared" si="45"/>
        <v>7.4</v>
      </c>
      <c r="AG39" s="11">
        <f t="shared" si="46"/>
        <v>5</v>
      </c>
      <c r="AH39" s="8">
        <f>(155+8000+140+300+655)*1.016</f>
        <v>9398</v>
      </c>
      <c r="AI39" s="1">
        <f t="shared" si="47"/>
        <v>0</v>
      </c>
      <c r="AJ39" s="1">
        <f>P39+AR33</f>
        <v>30</v>
      </c>
      <c r="AK39" s="1">
        <f t="shared" si="48"/>
        <v>13</v>
      </c>
      <c r="AL39" s="1">
        <f t="shared" si="49"/>
        <v>42</v>
      </c>
      <c r="AM39" s="1">
        <f t="shared" si="50"/>
        <v>8</v>
      </c>
      <c r="AN39" s="1">
        <f t="shared" si="51"/>
        <v>18</v>
      </c>
      <c r="AO39" s="1">
        <f t="shared" si="52"/>
        <v>3</v>
      </c>
      <c r="AP39" s="3">
        <f t="shared" si="65"/>
        <v>114</v>
      </c>
      <c r="AQ39" s="18"/>
    </row>
    <row r="40" spans="1:45" x14ac:dyDescent="0.25">
      <c r="A40" t="s">
        <v>24</v>
      </c>
      <c r="B40" s="5" t="str">
        <f t="shared" ref="B40:D40" si="86">B22</f>
        <v>EXT</v>
      </c>
      <c r="C40" s="6" t="str">
        <f t="shared" si="86"/>
        <v>IMP</v>
      </c>
      <c r="D40" s="6" t="str">
        <f t="shared" si="86"/>
        <v>V. Gomis</v>
      </c>
      <c r="E40" s="6">
        <f t="shared" ref="E40:G40" si="87">Y22</f>
        <v>20</v>
      </c>
      <c r="F40" s="6">
        <f t="shared" si="87"/>
        <v>37.5</v>
      </c>
      <c r="G40" s="11">
        <f t="shared" si="87"/>
        <v>0</v>
      </c>
      <c r="H40" s="11">
        <f t="shared" si="29"/>
        <v>6</v>
      </c>
      <c r="I40" s="11">
        <f t="shared" si="30"/>
        <v>3</v>
      </c>
      <c r="J40" s="11">
        <f t="shared" si="31"/>
        <v>12</v>
      </c>
      <c r="K40" s="11">
        <f t="shared" si="32"/>
        <v>5.2</v>
      </c>
      <c r="L40" s="11">
        <f t="shared" si="33"/>
        <v>7</v>
      </c>
      <c r="M40" s="11">
        <f t="shared" si="34"/>
        <v>3</v>
      </c>
      <c r="N40" s="8">
        <f t="shared" ref="N40:O40" si="88">AH22</f>
        <v>5078.2160000000003</v>
      </c>
      <c r="O40" s="1">
        <f t="shared" si="88"/>
        <v>0</v>
      </c>
      <c r="P40" s="1">
        <f t="shared" si="35"/>
        <v>14</v>
      </c>
      <c r="Q40" s="1">
        <f t="shared" si="36"/>
        <v>3</v>
      </c>
      <c r="R40" s="1">
        <f t="shared" si="37"/>
        <v>33</v>
      </c>
      <c r="S40" s="1">
        <f t="shared" si="38"/>
        <v>8</v>
      </c>
      <c r="T40" s="1">
        <f t="shared" si="39"/>
        <v>16</v>
      </c>
      <c r="U40" s="1">
        <f t="shared" si="57"/>
        <v>1</v>
      </c>
      <c r="V40" s="3">
        <f>SUM(O40:U40)</f>
        <v>75</v>
      </c>
      <c r="X40" t="s">
        <v>24</v>
      </c>
      <c r="Y40" s="6">
        <v>22</v>
      </c>
      <c r="Z40" s="6">
        <f>F40+(AR33*7)-112-112</f>
        <v>23.5</v>
      </c>
      <c r="AA40" s="11">
        <f t="shared" si="41"/>
        <v>0</v>
      </c>
      <c r="AB40" s="11">
        <f>10+7/9</f>
        <v>10.777777777777779</v>
      </c>
      <c r="AC40" s="11">
        <f t="shared" si="42"/>
        <v>3</v>
      </c>
      <c r="AD40" s="11">
        <f t="shared" si="43"/>
        <v>12</v>
      </c>
      <c r="AE40" s="11">
        <f t="shared" si="44"/>
        <v>5.2</v>
      </c>
      <c r="AF40" s="11">
        <f t="shared" si="45"/>
        <v>7</v>
      </c>
      <c r="AG40" s="11">
        <f t="shared" si="46"/>
        <v>3</v>
      </c>
      <c r="AH40" s="8">
        <f>(1800+138+4470+245)*1.012</f>
        <v>6732.8360000000002</v>
      </c>
      <c r="AI40" s="1">
        <f t="shared" si="47"/>
        <v>0</v>
      </c>
      <c r="AJ40" s="1">
        <f>P40+AR33</f>
        <v>44</v>
      </c>
      <c r="AK40" s="1">
        <f t="shared" si="48"/>
        <v>3</v>
      </c>
      <c r="AL40" s="1">
        <f t="shared" si="49"/>
        <v>33</v>
      </c>
      <c r="AM40" s="1">
        <f t="shared" si="50"/>
        <v>8</v>
      </c>
      <c r="AN40" s="1">
        <f t="shared" si="51"/>
        <v>16</v>
      </c>
      <c r="AO40" s="1">
        <f t="shared" si="52"/>
        <v>1</v>
      </c>
      <c r="AP40" s="3">
        <f>SUM(AI40:AO40)</f>
        <v>105</v>
      </c>
      <c r="AQ40" s="18"/>
    </row>
    <row r="41" spans="1:45" x14ac:dyDescent="0.25">
      <c r="A41" t="s">
        <v>26</v>
      </c>
      <c r="B41" s="5" t="str">
        <f t="shared" ref="B41:D41" si="89">B23</f>
        <v>EXT</v>
      </c>
      <c r="C41" s="6" t="str">
        <f t="shared" si="89"/>
        <v>IMP</v>
      </c>
      <c r="D41" s="6" t="str">
        <f t="shared" si="89"/>
        <v>J.G. Peñuela</v>
      </c>
      <c r="E41" s="6">
        <f t="shared" ref="E41:G41" si="90">Y23</f>
        <v>20</v>
      </c>
      <c r="F41" s="6">
        <f t="shared" si="90"/>
        <v>33.5</v>
      </c>
      <c r="G41" s="11">
        <f t="shared" si="90"/>
        <v>0</v>
      </c>
      <c r="H41" s="11">
        <f t="shared" si="29"/>
        <v>3</v>
      </c>
      <c r="I41" s="11">
        <f t="shared" si="30"/>
        <v>5</v>
      </c>
      <c r="J41" s="11">
        <f t="shared" si="31"/>
        <v>12.285714285714286</v>
      </c>
      <c r="K41" s="11">
        <f t="shared" si="32"/>
        <v>4</v>
      </c>
      <c r="L41" s="11">
        <f t="shared" si="33"/>
        <v>7.4</v>
      </c>
      <c r="M41" s="11">
        <f t="shared" si="34"/>
        <v>3</v>
      </c>
      <c r="N41" s="8">
        <f t="shared" ref="N41:O41" si="91">AH23</f>
        <v>5626.72</v>
      </c>
      <c r="O41" s="1">
        <f t="shared" si="91"/>
        <v>0</v>
      </c>
      <c r="P41" s="1">
        <f t="shared" si="35"/>
        <v>3</v>
      </c>
      <c r="Q41" s="1">
        <f t="shared" si="36"/>
        <v>9</v>
      </c>
      <c r="R41" s="1">
        <f t="shared" si="37"/>
        <v>35</v>
      </c>
      <c r="S41" s="1">
        <f t="shared" si="38"/>
        <v>4</v>
      </c>
      <c r="T41" s="1">
        <f t="shared" si="39"/>
        <v>18</v>
      </c>
      <c r="U41" s="1">
        <f t="shared" si="57"/>
        <v>1</v>
      </c>
      <c r="V41" s="3">
        <f>SUM(O41:U41)</f>
        <v>70</v>
      </c>
      <c r="X41" t="s">
        <v>26</v>
      </c>
      <c r="Y41" s="6">
        <v>22</v>
      </c>
      <c r="Z41" s="6">
        <f>F41+(AR33*7)-112-112</f>
        <v>19.5</v>
      </c>
      <c r="AA41" s="11">
        <f t="shared" si="41"/>
        <v>0</v>
      </c>
      <c r="AB41" s="11">
        <f>9+3/7</f>
        <v>9.4285714285714288</v>
      </c>
      <c r="AC41" s="11">
        <f t="shared" si="42"/>
        <v>5</v>
      </c>
      <c r="AD41" s="11">
        <f t="shared" si="43"/>
        <v>12.285714285714286</v>
      </c>
      <c r="AE41" s="11">
        <f t="shared" si="44"/>
        <v>4</v>
      </c>
      <c r="AF41" s="11">
        <f t="shared" si="45"/>
        <v>7.4</v>
      </c>
      <c r="AG41" s="11">
        <f t="shared" si="46"/>
        <v>3</v>
      </c>
      <c r="AH41" s="8">
        <f>(135+5000+125+300+875)*1.012</f>
        <v>6512.22</v>
      </c>
      <c r="AI41" s="1">
        <f t="shared" si="47"/>
        <v>0</v>
      </c>
      <c r="AJ41" s="1">
        <f>P41+AR33</f>
        <v>33</v>
      </c>
      <c r="AK41" s="1">
        <f t="shared" si="48"/>
        <v>9</v>
      </c>
      <c r="AL41" s="1">
        <f t="shared" si="49"/>
        <v>35</v>
      </c>
      <c r="AM41" s="1">
        <f t="shared" si="50"/>
        <v>4</v>
      </c>
      <c r="AN41" s="1">
        <f t="shared" si="51"/>
        <v>18</v>
      </c>
      <c r="AO41" s="1">
        <f t="shared" si="52"/>
        <v>1</v>
      </c>
      <c r="AP41" s="3">
        <f>SUM(AI41:AO41)</f>
        <v>100</v>
      </c>
      <c r="AQ41" s="18"/>
    </row>
    <row r="42" spans="1:45" x14ac:dyDescent="0.25">
      <c r="A42" t="s">
        <v>27</v>
      </c>
      <c r="B42" s="5" t="str">
        <f t="shared" ref="B42:D42" si="92">B24</f>
        <v>DAV</v>
      </c>
      <c r="C42" s="6">
        <f t="shared" si="92"/>
        <v>0</v>
      </c>
      <c r="D42" s="6">
        <f t="shared" si="92"/>
        <v>0</v>
      </c>
      <c r="E42" s="6">
        <f t="shared" ref="E42:G42" si="93">Y24</f>
        <v>0</v>
      </c>
      <c r="F42" s="6">
        <f t="shared" si="93"/>
        <v>0</v>
      </c>
      <c r="G42" s="11">
        <f t="shared" si="93"/>
        <v>0</v>
      </c>
      <c r="H42" s="11">
        <f t="shared" si="29"/>
        <v>2</v>
      </c>
      <c r="I42" s="11">
        <f t="shared" si="30"/>
        <v>2</v>
      </c>
      <c r="J42" s="11">
        <f t="shared" si="31"/>
        <v>2</v>
      </c>
      <c r="K42" s="11">
        <f t="shared" si="32"/>
        <v>2</v>
      </c>
      <c r="L42" s="11">
        <f t="shared" si="33"/>
        <v>2</v>
      </c>
      <c r="M42" s="11">
        <f t="shared" si="34"/>
        <v>2</v>
      </c>
      <c r="N42" s="8">
        <f t="shared" ref="N42:O42" si="94">AH24</f>
        <v>0</v>
      </c>
      <c r="O42" s="1">
        <f t="shared" si="94"/>
        <v>0</v>
      </c>
      <c r="P42" s="1">
        <f t="shared" si="35"/>
        <v>0</v>
      </c>
      <c r="Q42" s="1">
        <f t="shared" si="36"/>
        <v>0</v>
      </c>
      <c r="R42" s="1">
        <f t="shared" si="37"/>
        <v>0</v>
      </c>
      <c r="S42" s="1">
        <f t="shared" si="38"/>
        <v>0</v>
      </c>
      <c r="T42" s="1">
        <f t="shared" si="39"/>
        <v>0</v>
      </c>
      <c r="U42" s="1">
        <f t="shared" si="57"/>
        <v>0</v>
      </c>
      <c r="V42" s="3">
        <f t="shared" ref="V42:V44" si="95">SUM(O42:U42)</f>
        <v>0</v>
      </c>
      <c r="X42" t="s">
        <v>27</v>
      </c>
      <c r="Y42" s="6"/>
      <c r="Z42" s="6"/>
      <c r="AA42" s="11">
        <f t="shared" si="41"/>
        <v>0</v>
      </c>
      <c r="AB42" s="11">
        <f t="shared" si="75"/>
        <v>2</v>
      </c>
      <c r="AC42" s="11">
        <f t="shared" si="42"/>
        <v>2</v>
      </c>
      <c r="AD42" s="11">
        <f t="shared" si="43"/>
        <v>2</v>
      </c>
      <c r="AE42" s="11">
        <f t="shared" si="44"/>
        <v>2</v>
      </c>
      <c r="AF42" s="11">
        <f t="shared" si="45"/>
        <v>2</v>
      </c>
      <c r="AG42" s="11">
        <f t="shared" si="46"/>
        <v>2</v>
      </c>
      <c r="AH42" s="8"/>
      <c r="AI42" s="1">
        <f t="shared" si="47"/>
        <v>0</v>
      </c>
      <c r="AJ42" s="1">
        <f t="shared" si="76"/>
        <v>0</v>
      </c>
      <c r="AK42" s="1">
        <f t="shared" si="48"/>
        <v>0</v>
      </c>
      <c r="AL42" s="1">
        <f t="shared" si="49"/>
        <v>0</v>
      </c>
      <c r="AM42" s="1">
        <f t="shared" si="50"/>
        <v>0</v>
      </c>
      <c r="AN42" s="1">
        <f t="shared" si="51"/>
        <v>0</v>
      </c>
      <c r="AO42" s="1">
        <f t="shared" si="52"/>
        <v>0</v>
      </c>
      <c r="AP42" s="3">
        <f t="shared" ref="AP42:AP44" si="96">SUM(AI42:AO42)</f>
        <v>0</v>
      </c>
      <c r="AQ42" s="18"/>
    </row>
    <row r="43" spans="1:45" x14ac:dyDescent="0.25">
      <c r="A43" t="s">
        <v>28</v>
      </c>
      <c r="B43" s="5" t="str">
        <f t="shared" ref="B43:D43" si="97">B25</f>
        <v>DAV</v>
      </c>
      <c r="C43" s="6">
        <f t="shared" si="97"/>
        <v>0</v>
      </c>
      <c r="D43" s="6">
        <f t="shared" si="97"/>
        <v>0</v>
      </c>
      <c r="E43" s="6">
        <f t="shared" ref="E43:G43" si="98">Y25</f>
        <v>0</v>
      </c>
      <c r="F43" s="6">
        <f t="shared" si="98"/>
        <v>0</v>
      </c>
      <c r="G43" s="11">
        <f t="shared" si="98"/>
        <v>0</v>
      </c>
      <c r="H43" s="11">
        <f t="shared" si="29"/>
        <v>2</v>
      </c>
      <c r="I43" s="11">
        <f t="shared" si="30"/>
        <v>2</v>
      </c>
      <c r="J43" s="11">
        <f t="shared" si="31"/>
        <v>2</v>
      </c>
      <c r="K43" s="11">
        <f t="shared" si="32"/>
        <v>2</v>
      </c>
      <c r="L43" s="11">
        <f t="shared" si="33"/>
        <v>2</v>
      </c>
      <c r="M43" s="11">
        <f t="shared" si="34"/>
        <v>2</v>
      </c>
      <c r="N43" s="8">
        <f t="shared" ref="N43:O43" si="99">AH25</f>
        <v>0</v>
      </c>
      <c r="O43" s="1">
        <f t="shared" si="99"/>
        <v>0</v>
      </c>
      <c r="P43" s="1">
        <f t="shared" si="35"/>
        <v>0</v>
      </c>
      <c r="Q43" s="1">
        <f t="shared" si="36"/>
        <v>0</v>
      </c>
      <c r="R43" s="1">
        <f t="shared" si="37"/>
        <v>0</v>
      </c>
      <c r="S43" s="1">
        <f t="shared" si="38"/>
        <v>0</v>
      </c>
      <c r="T43" s="1">
        <f t="shared" si="39"/>
        <v>0</v>
      </c>
      <c r="U43" s="1">
        <f t="shared" si="57"/>
        <v>0</v>
      </c>
      <c r="V43" s="3">
        <f t="shared" si="95"/>
        <v>0</v>
      </c>
      <c r="X43" t="s">
        <v>28</v>
      </c>
      <c r="Y43" s="6"/>
      <c r="Z43" s="6"/>
      <c r="AA43" s="11">
        <f t="shared" si="41"/>
        <v>0</v>
      </c>
      <c r="AB43" s="11">
        <f t="shared" si="75"/>
        <v>2</v>
      </c>
      <c r="AC43" s="11">
        <f t="shared" si="42"/>
        <v>2</v>
      </c>
      <c r="AD43" s="11">
        <f t="shared" si="43"/>
        <v>2</v>
      </c>
      <c r="AE43" s="11">
        <f t="shared" si="44"/>
        <v>2</v>
      </c>
      <c r="AF43" s="11">
        <f t="shared" si="45"/>
        <v>2</v>
      </c>
      <c r="AG43" s="11">
        <f t="shared" si="46"/>
        <v>2</v>
      </c>
      <c r="AH43" s="8"/>
      <c r="AI43" s="1">
        <f t="shared" si="47"/>
        <v>0</v>
      </c>
      <c r="AJ43" s="1">
        <f t="shared" si="76"/>
        <v>0</v>
      </c>
      <c r="AK43" s="1">
        <f t="shared" si="48"/>
        <v>0</v>
      </c>
      <c r="AL43" s="1">
        <f t="shared" si="49"/>
        <v>0</v>
      </c>
      <c r="AM43" s="1">
        <f t="shared" si="50"/>
        <v>0</v>
      </c>
      <c r="AN43" s="1">
        <f t="shared" si="51"/>
        <v>0</v>
      </c>
      <c r="AO43" s="1">
        <f t="shared" si="52"/>
        <v>0</v>
      </c>
      <c r="AP43" s="3">
        <f t="shared" si="96"/>
        <v>0</v>
      </c>
      <c r="AQ43" s="18"/>
    </row>
    <row r="44" spans="1:45" x14ac:dyDescent="0.25">
      <c r="A44" t="s">
        <v>56</v>
      </c>
      <c r="B44" s="5" t="str">
        <f t="shared" ref="B44:D44" si="100">B26</f>
        <v>DAV</v>
      </c>
      <c r="C44" s="6">
        <f t="shared" si="100"/>
        <v>0</v>
      </c>
      <c r="D44" s="6">
        <f t="shared" si="100"/>
        <v>0</v>
      </c>
      <c r="E44" s="6">
        <f t="shared" ref="E44:G44" si="101">Y26</f>
        <v>0</v>
      </c>
      <c r="F44" s="6">
        <f t="shared" si="101"/>
        <v>0</v>
      </c>
      <c r="G44" s="11">
        <f t="shared" si="101"/>
        <v>0</v>
      </c>
      <c r="H44" s="11">
        <f t="shared" si="29"/>
        <v>2</v>
      </c>
      <c r="I44" s="11">
        <f t="shared" si="30"/>
        <v>2</v>
      </c>
      <c r="J44" s="11">
        <f t="shared" si="31"/>
        <v>2</v>
      </c>
      <c r="K44" s="11">
        <f t="shared" si="32"/>
        <v>2</v>
      </c>
      <c r="L44" s="11">
        <f t="shared" si="33"/>
        <v>2</v>
      </c>
      <c r="M44" s="11">
        <f t="shared" si="34"/>
        <v>2</v>
      </c>
      <c r="N44" s="8">
        <f t="shared" ref="N44:O44" si="102">AH26</f>
        <v>0</v>
      </c>
      <c r="O44" s="1">
        <f t="shared" si="102"/>
        <v>0</v>
      </c>
      <c r="P44" s="1">
        <f t="shared" si="35"/>
        <v>0</v>
      </c>
      <c r="Q44" s="1">
        <f t="shared" si="36"/>
        <v>0</v>
      </c>
      <c r="R44" s="1">
        <f t="shared" si="37"/>
        <v>0</v>
      </c>
      <c r="S44" s="1">
        <f t="shared" si="38"/>
        <v>0</v>
      </c>
      <c r="T44" s="1">
        <f t="shared" si="39"/>
        <v>0</v>
      </c>
      <c r="U44" s="1">
        <f t="shared" si="57"/>
        <v>0</v>
      </c>
      <c r="V44" s="3">
        <f t="shared" si="95"/>
        <v>0</v>
      </c>
      <c r="X44" t="s">
        <v>56</v>
      </c>
      <c r="Y44" s="6"/>
      <c r="Z44" s="6"/>
      <c r="AA44" s="11">
        <f t="shared" si="41"/>
        <v>0</v>
      </c>
      <c r="AB44" s="11">
        <f t="shared" si="75"/>
        <v>2</v>
      </c>
      <c r="AC44" s="11">
        <f t="shared" si="42"/>
        <v>2</v>
      </c>
      <c r="AD44" s="11">
        <f t="shared" si="43"/>
        <v>2</v>
      </c>
      <c r="AE44" s="11">
        <f t="shared" si="44"/>
        <v>2</v>
      </c>
      <c r="AF44" s="11">
        <f t="shared" si="45"/>
        <v>2</v>
      </c>
      <c r="AG44" s="11">
        <f t="shared" si="46"/>
        <v>2</v>
      </c>
      <c r="AH44" s="8"/>
      <c r="AI44" s="1">
        <f t="shared" si="47"/>
        <v>0</v>
      </c>
      <c r="AJ44" s="1">
        <f t="shared" si="76"/>
        <v>0</v>
      </c>
      <c r="AK44" s="1">
        <f t="shared" si="48"/>
        <v>0</v>
      </c>
      <c r="AL44" s="1">
        <f t="shared" si="49"/>
        <v>0</v>
      </c>
      <c r="AM44" s="1">
        <f t="shared" si="50"/>
        <v>0</v>
      </c>
      <c r="AN44" s="1">
        <f t="shared" si="51"/>
        <v>0</v>
      </c>
      <c r="AO44" s="1">
        <f t="shared" si="52"/>
        <v>0</v>
      </c>
      <c r="AP44" s="3">
        <f t="shared" si="96"/>
        <v>0</v>
      </c>
      <c r="AQ44" s="18"/>
    </row>
    <row r="45" spans="1:45" x14ac:dyDescent="0.25">
      <c r="N45" s="17">
        <f>SUM(N47:N61)</f>
        <v>173422.41600000003</v>
      </c>
      <c r="AH45" s="17">
        <f>SUM(AH47:AH61)</f>
        <v>180055.55499999996</v>
      </c>
      <c r="AQ45" s="18"/>
    </row>
    <row r="46" spans="1:45" x14ac:dyDescent="0.25">
      <c r="A46" s="4" t="s">
        <v>1</v>
      </c>
      <c r="B46" s="4" t="s">
        <v>2</v>
      </c>
      <c r="C46" s="4" t="s">
        <v>3</v>
      </c>
      <c r="D46" s="4" t="str">
        <f>D28</f>
        <v>Nombre</v>
      </c>
      <c r="E46" s="4" t="str">
        <f t="shared" ref="E46:F46" si="103">E28</f>
        <v>Año</v>
      </c>
      <c r="F46" s="4" t="str">
        <f t="shared" si="103"/>
        <v>Dia</v>
      </c>
      <c r="G46" s="4" t="s">
        <v>4</v>
      </c>
      <c r="H46" s="4" t="s">
        <v>5</v>
      </c>
      <c r="I46" s="4" t="s">
        <v>6</v>
      </c>
      <c r="J46" s="4" t="s">
        <v>7</v>
      </c>
      <c r="K46" s="4" t="s">
        <v>8</v>
      </c>
      <c r="L46" s="4" t="s">
        <v>9</v>
      </c>
      <c r="M46" s="4" t="s">
        <v>10</v>
      </c>
      <c r="N46" s="4" t="s">
        <v>11</v>
      </c>
      <c r="O46" s="4" t="s">
        <v>46</v>
      </c>
      <c r="P46" s="4" t="s">
        <v>47</v>
      </c>
      <c r="Q46" s="4" t="s">
        <v>48</v>
      </c>
      <c r="R46" s="4" t="s">
        <v>49</v>
      </c>
      <c r="S46" s="4" t="s">
        <v>50</v>
      </c>
      <c r="T46" s="4" t="s">
        <v>51</v>
      </c>
      <c r="U46" s="4" t="s">
        <v>52</v>
      </c>
      <c r="V46" s="4" t="s">
        <v>53</v>
      </c>
      <c r="X46" s="4" t="s">
        <v>1</v>
      </c>
      <c r="Y46" s="4" t="str">
        <f>Y28</f>
        <v>Año</v>
      </c>
      <c r="Z46" s="4" t="str">
        <f>Z28</f>
        <v>Dia</v>
      </c>
      <c r="AA46" s="4" t="s">
        <v>4</v>
      </c>
      <c r="AB46" s="4" t="s">
        <v>5</v>
      </c>
      <c r="AC46" s="4" t="s">
        <v>6</v>
      </c>
      <c r="AD46" s="4" t="s">
        <v>7</v>
      </c>
      <c r="AE46" s="4" t="s">
        <v>8</v>
      </c>
      <c r="AF46" s="4" t="s">
        <v>9</v>
      </c>
      <c r="AG46" s="4" t="s">
        <v>10</v>
      </c>
      <c r="AH46" s="4" t="s">
        <v>11</v>
      </c>
      <c r="AI46" s="4" t="s">
        <v>46</v>
      </c>
      <c r="AJ46" s="4" t="s">
        <v>47</v>
      </c>
      <c r="AK46" s="4" t="s">
        <v>48</v>
      </c>
      <c r="AL46" s="4" t="s">
        <v>49</v>
      </c>
      <c r="AM46" s="4" t="s">
        <v>50</v>
      </c>
      <c r="AN46" s="4" t="s">
        <v>51</v>
      </c>
      <c r="AO46" s="4" t="s">
        <v>52</v>
      </c>
      <c r="AP46" s="4" t="s">
        <v>53</v>
      </c>
      <c r="AQ46" s="18"/>
    </row>
    <row r="47" spans="1:45" x14ac:dyDescent="0.25">
      <c r="A47" t="s">
        <v>12</v>
      </c>
      <c r="B47" s="5" t="str">
        <f>B29</f>
        <v>POR</v>
      </c>
      <c r="C47" s="6"/>
      <c r="D47" s="6" t="str">
        <f>D29</f>
        <v>Portero</v>
      </c>
      <c r="E47" s="6">
        <f>Y29</f>
        <v>22</v>
      </c>
      <c r="F47" s="6">
        <f>Z29</f>
        <v>36</v>
      </c>
      <c r="G47" s="11">
        <f>AA29</f>
        <v>17</v>
      </c>
      <c r="H47" s="11">
        <f t="shared" ref="H47:M47" si="104">AB29</f>
        <v>9</v>
      </c>
      <c r="I47" s="11">
        <f t="shared" si="104"/>
        <v>0</v>
      </c>
      <c r="J47" s="11">
        <f t="shared" si="104"/>
        <v>0</v>
      </c>
      <c r="K47" s="11">
        <f t="shared" si="104"/>
        <v>0</v>
      </c>
      <c r="L47" s="11">
        <f t="shared" si="104"/>
        <v>0</v>
      </c>
      <c r="M47" s="11">
        <f t="shared" si="104"/>
        <v>2</v>
      </c>
      <c r="N47" s="8">
        <f>AH29</f>
        <v>32634</v>
      </c>
      <c r="O47" s="1">
        <f>AI29</f>
        <v>62</v>
      </c>
      <c r="P47" s="1">
        <f t="shared" ref="P47:U47" si="105">AJ29</f>
        <v>30</v>
      </c>
      <c r="Q47" s="1">
        <f t="shared" si="105"/>
        <v>0</v>
      </c>
      <c r="R47" s="1">
        <f t="shared" si="105"/>
        <v>0</v>
      </c>
      <c r="S47" s="1">
        <f t="shared" si="105"/>
        <v>0</v>
      </c>
      <c r="T47" s="1">
        <f t="shared" si="105"/>
        <v>0</v>
      </c>
      <c r="U47" s="1">
        <f t="shared" si="105"/>
        <v>0</v>
      </c>
      <c r="V47" s="3">
        <f>SUM(O47:U47)</f>
        <v>92</v>
      </c>
      <c r="X47" t="s">
        <v>12</v>
      </c>
      <c r="Y47" s="6">
        <v>23</v>
      </c>
      <c r="Z47" s="6">
        <f>F47+(AR52*7)-112</f>
        <v>99</v>
      </c>
      <c r="AA47" s="11">
        <f>G47</f>
        <v>17</v>
      </c>
      <c r="AB47" s="11">
        <f t="shared" ref="AB47:AF47" si="106">H47</f>
        <v>9</v>
      </c>
      <c r="AC47" s="11">
        <f t="shared" si="106"/>
        <v>0</v>
      </c>
      <c r="AD47" s="11">
        <f t="shared" si="106"/>
        <v>0</v>
      </c>
      <c r="AE47" s="11">
        <f t="shared" si="106"/>
        <v>0</v>
      </c>
      <c r="AF47" s="11">
        <f t="shared" si="106"/>
        <v>0</v>
      </c>
      <c r="AG47" s="11">
        <f>17</f>
        <v>17</v>
      </c>
      <c r="AH47" s="8">
        <f>(31720+655)*1.047</f>
        <v>33896.625</v>
      </c>
      <c r="AI47" s="1">
        <f>O47</f>
        <v>62</v>
      </c>
      <c r="AJ47" s="1">
        <f t="shared" ref="AJ47:AN47" si="107">P47</f>
        <v>30</v>
      </c>
      <c r="AK47" s="1">
        <f t="shared" si="107"/>
        <v>0</v>
      </c>
      <c r="AL47" s="1">
        <f t="shared" si="107"/>
        <v>0</v>
      </c>
      <c r="AM47" s="1">
        <f t="shared" si="107"/>
        <v>0</v>
      </c>
      <c r="AN47" s="1">
        <f t="shared" si="107"/>
        <v>0</v>
      </c>
      <c r="AO47" s="1">
        <f>U47+AR52</f>
        <v>25</v>
      </c>
      <c r="AP47" s="3">
        <f>SUM(AI47:AO47)</f>
        <v>117</v>
      </c>
      <c r="AQ47" s="18"/>
    </row>
    <row r="48" spans="1:45" x14ac:dyDescent="0.25">
      <c r="A48" t="s">
        <v>14</v>
      </c>
      <c r="B48" s="5" t="str">
        <f t="shared" ref="B48:D48" si="108">B30</f>
        <v>DEF</v>
      </c>
      <c r="C48" s="6" t="str">
        <f t="shared" si="108"/>
        <v>TEC</v>
      </c>
      <c r="D48" s="6" t="str">
        <f t="shared" si="108"/>
        <v>J. G. de Minaya</v>
      </c>
      <c r="E48" s="6">
        <f t="shared" ref="E48:G48" si="109">Y30</f>
        <v>22</v>
      </c>
      <c r="F48" s="6">
        <f t="shared" si="109"/>
        <v>32.5</v>
      </c>
      <c r="G48" s="11">
        <f t="shared" si="109"/>
        <v>0</v>
      </c>
      <c r="H48" s="11">
        <f t="shared" ref="H48:H62" si="110">AB30</f>
        <v>10.777777777777779</v>
      </c>
      <c r="I48" s="11">
        <f t="shared" ref="I48:I62" si="111">AC30</f>
        <v>5</v>
      </c>
      <c r="J48" s="11">
        <f t="shared" ref="J48:J59" si="112">AD30</f>
        <v>12.285714285714286</v>
      </c>
      <c r="K48" s="11">
        <f t="shared" ref="K48:K59" si="113">AE30</f>
        <v>5</v>
      </c>
      <c r="L48" s="11">
        <f t="shared" ref="L48:L59" si="114">AF30</f>
        <v>8</v>
      </c>
      <c r="M48" s="11">
        <f t="shared" ref="M48:O59" si="115">AG30</f>
        <v>0</v>
      </c>
      <c r="N48" s="8">
        <f t="shared" si="115"/>
        <v>7475</v>
      </c>
      <c r="O48" s="1">
        <f t="shared" si="115"/>
        <v>0</v>
      </c>
      <c r="P48" s="1">
        <f t="shared" ref="P48:P62" si="116">AJ30</f>
        <v>44</v>
      </c>
      <c r="Q48" s="1">
        <f t="shared" ref="Q48:Q62" si="117">AK30</f>
        <v>9</v>
      </c>
      <c r="R48" s="1">
        <f t="shared" ref="R48:R59" si="118">AL30</f>
        <v>35</v>
      </c>
      <c r="S48" s="1">
        <f t="shared" ref="S48:S59" si="119">AM30</f>
        <v>7</v>
      </c>
      <c r="T48" s="1">
        <f t="shared" ref="T48:T59" si="120">AN30</f>
        <v>21</v>
      </c>
      <c r="U48" s="1">
        <f t="shared" ref="U48:U59" si="121">AO30</f>
        <v>-2</v>
      </c>
      <c r="V48" s="3">
        <f t="shared" ref="V48" si="122">SUM(O48:U48)</f>
        <v>114</v>
      </c>
      <c r="X48" t="s">
        <v>14</v>
      </c>
      <c r="Y48" s="6">
        <v>24</v>
      </c>
      <c r="Z48" s="6">
        <f>F48+(AR52*7)-112-112</f>
        <v>-16.5</v>
      </c>
      <c r="AA48" s="11">
        <f t="shared" ref="AA48:AA62" si="123">G48</f>
        <v>0</v>
      </c>
      <c r="AB48" s="11">
        <f t="shared" ref="AB48:AB62" si="124">H48</f>
        <v>10.777777777777779</v>
      </c>
      <c r="AC48" s="11">
        <f t="shared" ref="AC48:AC62" si="125">I48</f>
        <v>5</v>
      </c>
      <c r="AD48" s="11">
        <f t="shared" ref="AD48:AD62" si="126">J48</f>
        <v>12.285714285714286</v>
      </c>
      <c r="AE48" s="11">
        <f t="shared" ref="AE48:AE62" si="127">K48</f>
        <v>5</v>
      </c>
      <c r="AF48" s="11">
        <f t="shared" ref="AF48:AF62" si="128">L48</f>
        <v>8</v>
      </c>
      <c r="AG48" s="11">
        <f>16+2/4</f>
        <v>16.5</v>
      </c>
      <c r="AH48" s="8">
        <f>(5000+1800+135+135+405)*1.045</f>
        <v>7811.3749999999991</v>
      </c>
      <c r="AI48" s="1">
        <f t="shared" ref="AI48:AI62" si="129">O48</f>
        <v>0</v>
      </c>
      <c r="AJ48" s="1">
        <f t="shared" ref="AJ48:AJ62" si="130">P48</f>
        <v>44</v>
      </c>
      <c r="AK48" s="1">
        <f t="shared" ref="AK48:AK62" si="131">Q48</f>
        <v>9</v>
      </c>
      <c r="AL48" s="1">
        <f t="shared" ref="AL48:AL62" si="132">R48</f>
        <v>35</v>
      </c>
      <c r="AM48" s="1">
        <f t="shared" ref="AM48:AM62" si="133">S48</f>
        <v>7</v>
      </c>
      <c r="AN48" s="1">
        <f t="shared" ref="AN48:AN62" si="134">T48</f>
        <v>21</v>
      </c>
      <c r="AO48" s="1">
        <f>U48+AR52</f>
        <v>23</v>
      </c>
      <c r="AP48" s="3">
        <f t="shared" ref="AP48" si="135">SUM(AI48:AO48)</f>
        <v>139</v>
      </c>
      <c r="AQ48" s="18"/>
    </row>
    <row r="49" spans="1:45" x14ac:dyDescent="0.25">
      <c r="A49" t="s">
        <v>15</v>
      </c>
      <c r="B49" s="5" t="str">
        <f t="shared" ref="B49:D49" si="136">B31</f>
        <v>DEF</v>
      </c>
      <c r="C49" s="6" t="str">
        <f t="shared" si="136"/>
        <v>CAB</v>
      </c>
      <c r="D49" s="6" t="str">
        <f t="shared" si="136"/>
        <v>Defensa</v>
      </c>
      <c r="E49" s="6">
        <f t="shared" ref="E49:G49" si="137">Y31</f>
        <v>22</v>
      </c>
      <c r="F49" s="6">
        <f t="shared" si="137"/>
        <v>36</v>
      </c>
      <c r="G49" s="11">
        <f t="shared" si="137"/>
        <v>0</v>
      </c>
      <c r="H49" s="11">
        <f t="shared" si="110"/>
        <v>13</v>
      </c>
      <c r="I49" s="11">
        <f t="shared" si="111"/>
        <v>4</v>
      </c>
      <c r="J49" s="11">
        <f t="shared" si="112"/>
        <v>4</v>
      </c>
      <c r="K49" s="11">
        <f t="shared" si="113"/>
        <v>10</v>
      </c>
      <c r="L49" s="11">
        <f t="shared" si="114"/>
        <v>2</v>
      </c>
      <c r="M49" s="11">
        <f t="shared" si="115"/>
        <v>2</v>
      </c>
      <c r="N49" s="8">
        <f t="shared" ref="N49:O49" si="138">AH31</f>
        <v>12605.04</v>
      </c>
      <c r="O49" s="1">
        <f t="shared" si="138"/>
        <v>0</v>
      </c>
      <c r="P49" s="1">
        <f t="shared" si="116"/>
        <v>67</v>
      </c>
      <c r="Q49" s="1">
        <f t="shared" si="117"/>
        <v>6</v>
      </c>
      <c r="R49" s="1">
        <f t="shared" si="118"/>
        <v>3.5</v>
      </c>
      <c r="S49" s="1">
        <f t="shared" si="119"/>
        <v>29</v>
      </c>
      <c r="T49" s="1">
        <f t="shared" si="120"/>
        <v>0</v>
      </c>
      <c r="U49" s="1">
        <f t="shared" si="121"/>
        <v>0</v>
      </c>
      <c r="V49" s="3">
        <f>SUM(O49:U49)</f>
        <v>105.5</v>
      </c>
      <c r="X49" t="s">
        <v>15</v>
      </c>
      <c r="Y49" s="6">
        <v>23</v>
      </c>
      <c r="Z49" s="6">
        <f>F49+(AR52*7)-112</f>
        <v>99</v>
      </c>
      <c r="AA49" s="11">
        <f t="shared" si="123"/>
        <v>0</v>
      </c>
      <c r="AB49" s="11">
        <f t="shared" si="124"/>
        <v>13</v>
      </c>
      <c r="AC49" s="11">
        <f t="shared" si="125"/>
        <v>4</v>
      </c>
      <c r="AD49" s="11">
        <f t="shared" si="126"/>
        <v>4</v>
      </c>
      <c r="AE49" s="11">
        <f t="shared" si="127"/>
        <v>10</v>
      </c>
      <c r="AF49" s="11">
        <f t="shared" si="128"/>
        <v>2</v>
      </c>
      <c r="AG49" s="11">
        <v>17</v>
      </c>
      <c r="AH49" s="8">
        <f>(11470+125+125+785)*1.047</f>
        <v>13092.734999999999</v>
      </c>
      <c r="AI49" s="1">
        <f t="shared" si="129"/>
        <v>0</v>
      </c>
      <c r="AJ49" s="1">
        <f t="shared" si="130"/>
        <v>67</v>
      </c>
      <c r="AK49" s="1">
        <f t="shared" si="131"/>
        <v>6</v>
      </c>
      <c r="AL49" s="1">
        <f t="shared" si="132"/>
        <v>3.5</v>
      </c>
      <c r="AM49" s="1">
        <f t="shared" si="133"/>
        <v>29</v>
      </c>
      <c r="AN49" s="1">
        <f t="shared" si="134"/>
        <v>0</v>
      </c>
      <c r="AO49" s="1">
        <f>U49+AR52</f>
        <v>25</v>
      </c>
      <c r="AP49" s="3">
        <f>SUM(AI49:AO49)</f>
        <v>130.5</v>
      </c>
      <c r="AQ49" s="18"/>
    </row>
    <row r="50" spans="1:45" x14ac:dyDescent="0.25">
      <c r="A50" t="s">
        <v>16</v>
      </c>
      <c r="B50" s="5" t="str">
        <f t="shared" ref="B50:D50" si="139">B32</f>
        <v>DEF</v>
      </c>
      <c r="C50" s="6" t="str">
        <f t="shared" si="139"/>
        <v>CAB</v>
      </c>
      <c r="D50" s="6" t="str">
        <f t="shared" si="139"/>
        <v>Defensa</v>
      </c>
      <c r="E50" s="6">
        <f t="shared" ref="E50:G50" si="140">Y32</f>
        <v>22</v>
      </c>
      <c r="F50" s="6">
        <f t="shared" si="140"/>
        <v>36</v>
      </c>
      <c r="G50" s="11">
        <f t="shared" si="140"/>
        <v>0</v>
      </c>
      <c r="H50" s="11">
        <f t="shared" si="110"/>
        <v>13</v>
      </c>
      <c r="I50" s="11">
        <f t="shared" si="111"/>
        <v>4</v>
      </c>
      <c r="J50" s="11">
        <f t="shared" si="112"/>
        <v>4</v>
      </c>
      <c r="K50" s="11">
        <f t="shared" si="113"/>
        <v>10</v>
      </c>
      <c r="L50" s="11">
        <f t="shared" si="114"/>
        <v>2</v>
      </c>
      <c r="M50" s="11">
        <f t="shared" si="115"/>
        <v>2</v>
      </c>
      <c r="N50" s="8">
        <f t="shared" ref="N50:O50" si="141">AH32</f>
        <v>12605.04</v>
      </c>
      <c r="O50" s="1">
        <f t="shared" si="141"/>
        <v>0</v>
      </c>
      <c r="P50" s="1">
        <f t="shared" si="116"/>
        <v>67</v>
      </c>
      <c r="Q50" s="1">
        <f t="shared" si="117"/>
        <v>6</v>
      </c>
      <c r="R50" s="1">
        <f t="shared" si="118"/>
        <v>3.5</v>
      </c>
      <c r="S50" s="1">
        <f t="shared" si="119"/>
        <v>29</v>
      </c>
      <c r="T50" s="1">
        <f t="shared" si="120"/>
        <v>0</v>
      </c>
      <c r="U50" s="1">
        <f t="shared" si="121"/>
        <v>0</v>
      </c>
      <c r="V50" s="3">
        <f>SUM(O50:U50)</f>
        <v>105.5</v>
      </c>
      <c r="X50" t="s">
        <v>16</v>
      </c>
      <c r="Y50" s="6">
        <v>23</v>
      </c>
      <c r="Z50" s="6">
        <f>F50+(AR52*7)-112</f>
        <v>99</v>
      </c>
      <c r="AA50" s="11">
        <f t="shared" si="123"/>
        <v>0</v>
      </c>
      <c r="AB50" s="11">
        <f t="shared" si="124"/>
        <v>13</v>
      </c>
      <c r="AC50" s="11">
        <f t="shared" si="125"/>
        <v>4</v>
      </c>
      <c r="AD50" s="11">
        <f t="shared" si="126"/>
        <v>4</v>
      </c>
      <c r="AE50" s="11">
        <f t="shared" si="127"/>
        <v>10</v>
      </c>
      <c r="AF50" s="11">
        <f t="shared" si="128"/>
        <v>2</v>
      </c>
      <c r="AG50" s="11">
        <v>17</v>
      </c>
      <c r="AH50" s="8">
        <f>(11470+125+125+785)*1.047</f>
        <v>13092.734999999999</v>
      </c>
      <c r="AI50" s="1">
        <f t="shared" si="129"/>
        <v>0</v>
      </c>
      <c r="AJ50" s="1">
        <f t="shared" si="130"/>
        <v>67</v>
      </c>
      <c r="AK50" s="1">
        <f t="shared" si="131"/>
        <v>6</v>
      </c>
      <c r="AL50" s="1">
        <f t="shared" si="132"/>
        <v>3.5</v>
      </c>
      <c r="AM50" s="1">
        <f t="shared" si="133"/>
        <v>29</v>
      </c>
      <c r="AN50" s="1">
        <f t="shared" si="134"/>
        <v>0</v>
      </c>
      <c r="AO50" s="1">
        <f>U50+AR52</f>
        <v>25</v>
      </c>
      <c r="AP50" s="3">
        <f>SUM(AI50:AO50)</f>
        <v>130.5</v>
      </c>
      <c r="AQ50" s="18"/>
    </row>
    <row r="51" spans="1:45" x14ac:dyDescent="0.25">
      <c r="A51" t="s">
        <v>17</v>
      </c>
      <c r="B51" s="5" t="str">
        <f t="shared" ref="B51:D51" si="142">B33</f>
        <v>DEF</v>
      </c>
      <c r="C51" s="6" t="str">
        <f t="shared" si="142"/>
        <v>CAB</v>
      </c>
      <c r="D51" s="6" t="str">
        <f t="shared" si="142"/>
        <v>Defensa</v>
      </c>
      <c r="E51" s="6">
        <f t="shared" ref="E51:G51" si="143">Y33</f>
        <v>22</v>
      </c>
      <c r="F51" s="6">
        <f t="shared" si="143"/>
        <v>36</v>
      </c>
      <c r="G51" s="11">
        <f t="shared" si="143"/>
        <v>0</v>
      </c>
      <c r="H51" s="11">
        <f t="shared" si="110"/>
        <v>13</v>
      </c>
      <c r="I51" s="11">
        <f t="shared" si="111"/>
        <v>4</v>
      </c>
      <c r="J51" s="11">
        <f t="shared" si="112"/>
        <v>4</v>
      </c>
      <c r="K51" s="11">
        <f t="shared" si="113"/>
        <v>10</v>
      </c>
      <c r="L51" s="11">
        <f t="shared" si="114"/>
        <v>2</v>
      </c>
      <c r="M51" s="11">
        <f t="shared" si="115"/>
        <v>2</v>
      </c>
      <c r="N51" s="8">
        <f t="shared" ref="N51:O51" si="144">AH33</f>
        <v>12605.04</v>
      </c>
      <c r="O51" s="1">
        <f t="shared" si="144"/>
        <v>0</v>
      </c>
      <c r="P51" s="1">
        <f t="shared" si="116"/>
        <v>67</v>
      </c>
      <c r="Q51" s="1">
        <f t="shared" si="117"/>
        <v>6</v>
      </c>
      <c r="R51" s="1">
        <f t="shared" si="118"/>
        <v>3.5</v>
      </c>
      <c r="S51" s="1">
        <f t="shared" si="119"/>
        <v>29</v>
      </c>
      <c r="T51" s="1">
        <f t="shared" si="120"/>
        <v>0</v>
      </c>
      <c r="U51" s="1">
        <f t="shared" si="121"/>
        <v>0</v>
      </c>
      <c r="V51" s="3">
        <f t="shared" ref="V51:V57" si="145">SUM(O51:U51)</f>
        <v>105.5</v>
      </c>
      <c r="X51" t="s">
        <v>17</v>
      </c>
      <c r="Y51" s="6">
        <v>23</v>
      </c>
      <c r="Z51" s="6">
        <f>F51+(AR52*7)-112</f>
        <v>99</v>
      </c>
      <c r="AA51" s="11">
        <f t="shared" si="123"/>
        <v>0</v>
      </c>
      <c r="AB51" s="11">
        <f t="shared" si="124"/>
        <v>13</v>
      </c>
      <c r="AC51" s="11">
        <f t="shared" si="125"/>
        <v>4</v>
      </c>
      <c r="AD51" s="11">
        <f t="shared" si="126"/>
        <v>4</v>
      </c>
      <c r="AE51" s="11">
        <f t="shared" si="127"/>
        <v>10</v>
      </c>
      <c r="AF51" s="11">
        <f t="shared" si="128"/>
        <v>2</v>
      </c>
      <c r="AG51" s="11">
        <v>17</v>
      </c>
      <c r="AH51" s="8">
        <f>(11470+125+125+785)*1.047</f>
        <v>13092.734999999999</v>
      </c>
      <c r="AI51" s="1">
        <f t="shared" si="129"/>
        <v>0</v>
      </c>
      <c r="AJ51" s="1">
        <f t="shared" si="130"/>
        <v>67</v>
      </c>
      <c r="AK51" s="1">
        <f t="shared" si="131"/>
        <v>6</v>
      </c>
      <c r="AL51" s="1">
        <f t="shared" si="132"/>
        <v>3.5</v>
      </c>
      <c r="AM51" s="1">
        <f t="shared" si="133"/>
        <v>29</v>
      </c>
      <c r="AN51" s="1">
        <f t="shared" si="134"/>
        <v>0</v>
      </c>
      <c r="AO51" s="1">
        <f>U51+AR52</f>
        <v>25</v>
      </c>
      <c r="AP51" s="3">
        <f t="shared" ref="AP51:AP57" si="146">SUM(AI51:AO51)</f>
        <v>130.5</v>
      </c>
      <c r="AQ51" s="18"/>
      <c r="AR51" t="s">
        <v>78</v>
      </c>
      <c r="AS51" t="s">
        <v>79</v>
      </c>
    </row>
    <row r="52" spans="1:45" x14ac:dyDescent="0.25">
      <c r="A52" t="s">
        <v>18</v>
      </c>
      <c r="B52" s="5" t="str">
        <f t="shared" ref="B52:D52" si="147">B34</f>
        <v>DEF</v>
      </c>
      <c r="C52" s="6" t="s">
        <v>81</v>
      </c>
      <c r="D52" s="6" t="str">
        <f t="shared" si="147"/>
        <v>Defensa</v>
      </c>
      <c r="E52" s="6">
        <f t="shared" ref="E52:G52" si="148">Y34</f>
        <v>22</v>
      </c>
      <c r="F52" s="6">
        <f t="shared" si="148"/>
        <v>36</v>
      </c>
      <c r="G52" s="11">
        <f t="shared" si="148"/>
        <v>0</v>
      </c>
      <c r="H52" s="11">
        <f t="shared" si="110"/>
        <v>13</v>
      </c>
      <c r="I52" s="11">
        <f t="shared" si="111"/>
        <v>4</v>
      </c>
      <c r="J52" s="11">
        <f t="shared" si="112"/>
        <v>4</v>
      </c>
      <c r="K52" s="11">
        <f t="shared" si="113"/>
        <v>10</v>
      </c>
      <c r="L52" s="11">
        <f t="shared" si="114"/>
        <v>2</v>
      </c>
      <c r="M52" s="11">
        <f t="shared" si="115"/>
        <v>2</v>
      </c>
      <c r="N52" s="8">
        <f t="shared" ref="N52:O52" si="149">AH34</f>
        <v>12605.04</v>
      </c>
      <c r="O52" s="1">
        <f t="shared" si="149"/>
        <v>0</v>
      </c>
      <c r="P52" s="1">
        <f t="shared" si="116"/>
        <v>67</v>
      </c>
      <c r="Q52" s="1">
        <f t="shared" si="117"/>
        <v>6</v>
      </c>
      <c r="R52" s="1">
        <f t="shared" si="118"/>
        <v>3.5</v>
      </c>
      <c r="S52" s="1">
        <f t="shared" si="119"/>
        <v>29</v>
      </c>
      <c r="T52" s="1">
        <f t="shared" si="120"/>
        <v>0</v>
      </c>
      <c r="U52" s="1">
        <f t="shared" si="121"/>
        <v>0</v>
      </c>
      <c r="V52" s="3">
        <f t="shared" si="145"/>
        <v>105.5</v>
      </c>
      <c r="X52" t="s">
        <v>18</v>
      </c>
      <c r="Y52" s="6">
        <v>23</v>
      </c>
      <c r="Z52" s="6">
        <f>F52+(AR52*7)-112</f>
        <v>99</v>
      </c>
      <c r="AA52" s="11">
        <f t="shared" si="123"/>
        <v>0</v>
      </c>
      <c r="AB52" s="11">
        <f t="shared" si="124"/>
        <v>13</v>
      </c>
      <c r="AC52" s="11">
        <f t="shared" si="125"/>
        <v>4</v>
      </c>
      <c r="AD52" s="11">
        <f t="shared" si="126"/>
        <v>4</v>
      </c>
      <c r="AE52" s="11">
        <f t="shared" si="127"/>
        <v>10</v>
      </c>
      <c r="AF52" s="11">
        <f t="shared" si="128"/>
        <v>2</v>
      </c>
      <c r="AG52" s="11">
        <v>17</v>
      </c>
      <c r="AH52" s="8">
        <f>(11470+125+125+785)*1.047</f>
        <v>13092.734999999999</v>
      </c>
      <c r="AI52" s="1">
        <f t="shared" si="129"/>
        <v>0</v>
      </c>
      <c r="AJ52" s="1">
        <f t="shared" si="130"/>
        <v>67</v>
      </c>
      <c r="AK52" s="1">
        <f t="shared" si="131"/>
        <v>6</v>
      </c>
      <c r="AL52" s="1">
        <f t="shared" si="132"/>
        <v>3.5</v>
      </c>
      <c r="AM52" s="1">
        <f t="shared" si="133"/>
        <v>29</v>
      </c>
      <c r="AN52" s="1">
        <f t="shared" si="134"/>
        <v>0</v>
      </c>
      <c r="AO52" s="1">
        <f>U52+AR52</f>
        <v>25</v>
      </c>
      <c r="AP52" s="3">
        <f t="shared" si="146"/>
        <v>130.5</v>
      </c>
      <c r="AQ52" s="18" t="s">
        <v>84</v>
      </c>
      <c r="AR52">
        <v>25</v>
      </c>
      <c r="AS52" s="19">
        <f>AR52/16</f>
        <v>1.5625</v>
      </c>
    </row>
    <row r="53" spans="1:45" x14ac:dyDescent="0.25">
      <c r="A53" t="s">
        <v>19</v>
      </c>
      <c r="B53" s="5" t="str">
        <f t="shared" ref="B53:D53" si="150">B35</f>
        <v>DEF</v>
      </c>
      <c r="C53" s="6" t="str">
        <f t="shared" si="150"/>
        <v>CAB</v>
      </c>
      <c r="D53" s="6" t="str">
        <f t="shared" si="150"/>
        <v>Defensa</v>
      </c>
      <c r="E53" s="6">
        <f t="shared" ref="E53:G53" si="151">Y35</f>
        <v>22</v>
      </c>
      <c r="F53" s="6">
        <f t="shared" si="151"/>
        <v>36</v>
      </c>
      <c r="G53" s="11">
        <f t="shared" si="151"/>
        <v>0</v>
      </c>
      <c r="H53" s="11">
        <f t="shared" si="110"/>
        <v>13</v>
      </c>
      <c r="I53" s="11">
        <f t="shared" si="111"/>
        <v>4</v>
      </c>
      <c r="J53" s="11">
        <f t="shared" si="112"/>
        <v>4</v>
      </c>
      <c r="K53" s="11">
        <f t="shared" si="113"/>
        <v>10</v>
      </c>
      <c r="L53" s="11">
        <f t="shared" si="114"/>
        <v>2</v>
      </c>
      <c r="M53" s="11">
        <f t="shared" si="115"/>
        <v>2</v>
      </c>
      <c r="N53" s="8">
        <f t="shared" ref="N53:O53" si="152">AH35</f>
        <v>12605.04</v>
      </c>
      <c r="O53" s="1">
        <f t="shared" si="152"/>
        <v>0</v>
      </c>
      <c r="P53" s="1">
        <f t="shared" si="116"/>
        <v>67</v>
      </c>
      <c r="Q53" s="1">
        <f t="shared" si="117"/>
        <v>6</v>
      </c>
      <c r="R53" s="1">
        <f t="shared" si="118"/>
        <v>3.5</v>
      </c>
      <c r="S53" s="1">
        <f t="shared" si="119"/>
        <v>29</v>
      </c>
      <c r="T53" s="1">
        <f t="shared" si="120"/>
        <v>0</v>
      </c>
      <c r="U53" s="1">
        <f t="shared" si="121"/>
        <v>0</v>
      </c>
      <c r="V53" s="3">
        <f t="shared" si="145"/>
        <v>105.5</v>
      </c>
      <c r="X53" t="s">
        <v>19</v>
      </c>
      <c r="Y53" s="6">
        <v>23</v>
      </c>
      <c r="Z53" s="6">
        <f>F53+(AR52*7)-112</f>
        <v>99</v>
      </c>
      <c r="AA53" s="11">
        <f t="shared" si="123"/>
        <v>0</v>
      </c>
      <c r="AB53" s="11">
        <f t="shared" si="124"/>
        <v>13</v>
      </c>
      <c r="AC53" s="11">
        <f t="shared" si="125"/>
        <v>4</v>
      </c>
      <c r="AD53" s="11">
        <f t="shared" si="126"/>
        <v>4</v>
      </c>
      <c r="AE53" s="11">
        <f t="shared" si="127"/>
        <v>10</v>
      </c>
      <c r="AF53" s="11">
        <f t="shared" si="128"/>
        <v>2</v>
      </c>
      <c r="AG53" s="11">
        <v>17</v>
      </c>
      <c r="AH53" s="8">
        <f>(11470+125+125+785)*1.047</f>
        <v>13092.734999999999</v>
      </c>
      <c r="AI53" s="1">
        <f t="shared" si="129"/>
        <v>0</v>
      </c>
      <c r="AJ53" s="1">
        <f t="shared" si="130"/>
        <v>67</v>
      </c>
      <c r="AK53" s="1">
        <f t="shared" si="131"/>
        <v>6</v>
      </c>
      <c r="AL53" s="1">
        <f t="shared" si="132"/>
        <v>3.5</v>
      </c>
      <c r="AM53" s="1">
        <f t="shared" si="133"/>
        <v>29</v>
      </c>
      <c r="AN53" s="1">
        <f t="shared" si="134"/>
        <v>0</v>
      </c>
      <c r="AO53" s="1">
        <f>U53+AR52</f>
        <v>25</v>
      </c>
      <c r="AP53" s="3">
        <f t="shared" si="146"/>
        <v>130.5</v>
      </c>
      <c r="AQ53" s="18"/>
    </row>
    <row r="54" spans="1:45" x14ac:dyDescent="0.25">
      <c r="A54" t="s">
        <v>20</v>
      </c>
      <c r="B54" s="5"/>
      <c r="C54" s="6"/>
      <c r="D54" s="6"/>
      <c r="E54" s="6">
        <f t="shared" ref="E54:G54" si="153">Y36</f>
        <v>0</v>
      </c>
      <c r="F54" s="6">
        <f t="shared" si="153"/>
        <v>0</v>
      </c>
      <c r="G54" s="11">
        <f t="shared" si="153"/>
        <v>0</v>
      </c>
      <c r="H54" s="11">
        <f t="shared" si="110"/>
        <v>2</v>
      </c>
      <c r="I54" s="11">
        <f t="shared" si="111"/>
        <v>2</v>
      </c>
      <c r="J54" s="11">
        <f t="shared" si="112"/>
        <v>2</v>
      </c>
      <c r="K54" s="11">
        <f t="shared" si="113"/>
        <v>2</v>
      </c>
      <c r="L54" s="11">
        <f t="shared" si="114"/>
        <v>2</v>
      </c>
      <c r="M54" s="11">
        <f t="shared" si="115"/>
        <v>2</v>
      </c>
      <c r="N54" s="8">
        <f t="shared" ref="N54:O54" si="154">AH36</f>
        <v>0</v>
      </c>
      <c r="O54" s="1">
        <f t="shared" si="154"/>
        <v>0</v>
      </c>
      <c r="P54" s="1">
        <f t="shared" si="116"/>
        <v>0</v>
      </c>
      <c r="Q54" s="1">
        <f t="shared" si="117"/>
        <v>0</v>
      </c>
      <c r="R54" s="1">
        <f t="shared" si="118"/>
        <v>0</v>
      </c>
      <c r="S54" s="1">
        <f t="shared" si="119"/>
        <v>0</v>
      </c>
      <c r="T54" s="1">
        <f t="shared" si="120"/>
        <v>0</v>
      </c>
      <c r="U54" s="1">
        <f t="shared" si="121"/>
        <v>0</v>
      </c>
      <c r="V54" s="3">
        <f t="shared" si="145"/>
        <v>0</v>
      </c>
      <c r="X54" t="s">
        <v>20</v>
      </c>
      <c r="Y54" s="6"/>
      <c r="Z54" s="6"/>
      <c r="AA54" s="11">
        <f t="shared" si="123"/>
        <v>0</v>
      </c>
      <c r="AB54" s="11">
        <f t="shared" si="124"/>
        <v>2</v>
      </c>
      <c r="AC54" s="11">
        <f t="shared" si="125"/>
        <v>2</v>
      </c>
      <c r="AD54" s="11">
        <f t="shared" si="126"/>
        <v>2</v>
      </c>
      <c r="AE54" s="11">
        <f t="shared" si="127"/>
        <v>2</v>
      </c>
      <c r="AF54" s="11">
        <f t="shared" si="128"/>
        <v>2</v>
      </c>
      <c r="AG54" s="11">
        <f t="shared" ref="AG54" si="155">M54</f>
        <v>2</v>
      </c>
      <c r="AH54" s="8"/>
      <c r="AI54" s="1">
        <f t="shared" si="129"/>
        <v>0</v>
      </c>
      <c r="AJ54" s="1">
        <f t="shared" si="130"/>
        <v>0</v>
      </c>
      <c r="AK54" s="1">
        <f t="shared" si="131"/>
        <v>0</v>
      </c>
      <c r="AL54" s="1">
        <f t="shared" si="132"/>
        <v>0</v>
      </c>
      <c r="AM54" s="1">
        <f t="shared" si="133"/>
        <v>0</v>
      </c>
      <c r="AN54" s="1">
        <f t="shared" si="134"/>
        <v>0</v>
      </c>
      <c r="AO54" s="1">
        <f t="shared" ref="AO54" si="156">U54</f>
        <v>0</v>
      </c>
      <c r="AP54" s="3">
        <f t="shared" si="146"/>
        <v>0</v>
      </c>
      <c r="AQ54" s="18"/>
    </row>
    <row r="55" spans="1:45" x14ac:dyDescent="0.25">
      <c r="A55" t="s">
        <v>21</v>
      </c>
      <c r="B55" s="5" t="str">
        <f t="shared" ref="B55" si="157">B37</f>
        <v>INN</v>
      </c>
      <c r="C55" s="6" t="s">
        <v>76</v>
      </c>
      <c r="D55" s="6" t="s">
        <v>100</v>
      </c>
      <c r="E55" s="6">
        <v>22</v>
      </c>
      <c r="F55" s="6">
        <v>70</v>
      </c>
      <c r="G55" s="11">
        <f t="shared" ref="G55" si="158">AA37</f>
        <v>0</v>
      </c>
      <c r="H55" s="11">
        <v>11</v>
      </c>
      <c r="I55" s="11">
        <v>12</v>
      </c>
      <c r="J55" s="11">
        <f t="shared" si="112"/>
        <v>2</v>
      </c>
      <c r="K55" s="11">
        <v>8</v>
      </c>
      <c r="L55" s="11">
        <v>5</v>
      </c>
      <c r="M55" s="11">
        <f t="shared" si="115"/>
        <v>2</v>
      </c>
      <c r="N55" s="8">
        <f>(8670+1165+135+125)*1.008</f>
        <v>10175.76</v>
      </c>
      <c r="O55" s="1">
        <f t="shared" ref="O55" si="159">AI37</f>
        <v>0</v>
      </c>
      <c r="P55" s="1">
        <v>37</v>
      </c>
      <c r="Q55" s="1">
        <v>48</v>
      </c>
      <c r="R55" s="1">
        <f t="shared" si="118"/>
        <v>0</v>
      </c>
      <c r="S55" s="1">
        <v>18</v>
      </c>
      <c r="T55" s="1">
        <v>8</v>
      </c>
      <c r="U55" s="1">
        <f t="shared" si="121"/>
        <v>0</v>
      </c>
      <c r="V55" s="3">
        <f t="shared" si="145"/>
        <v>111</v>
      </c>
      <c r="X55" t="s">
        <v>21</v>
      </c>
      <c r="Y55" s="6">
        <v>24</v>
      </c>
      <c r="Z55" s="6">
        <f>F55+(AR52*7)-112-112</f>
        <v>21</v>
      </c>
      <c r="AA55" s="11">
        <f t="shared" si="123"/>
        <v>0</v>
      </c>
      <c r="AB55" s="11">
        <f t="shared" si="124"/>
        <v>11</v>
      </c>
      <c r="AC55" s="11">
        <f t="shared" si="125"/>
        <v>12</v>
      </c>
      <c r="AD55" s="11">
        <f t="shared" si="126"/>
        <v>2</v>
      </c>
      <c r="AE55" s="11">
        <f t="shared" si="127"/>
        <v>8</v>
      </c>
      <c r="AF55" s="11">
        <f t="shared" si="128"/>
        <v>5</v>
      </c>
      <c r="AG55" s="11">
        <v>17</v>
      </c>
      <c r="AH55" s="8">
        <f>(8670+1165+135+125)*1.047</f>
        <v>10569.465</v>
      </c>
      <c r="AI55" s="1">
        <f t="shared" si="129"/>
        <v>0</v>
      </c>
      <c r="AJ55" s="1">
        <f t="shared" si="130"/>
        <v>37</v>
      </c>
      <c r="AK55" s="1">
        <f t="shared" si="131"/>
        <v>48</v>
      </c>
      <c r="AL55" s="1">
        <f t="shared" si="132"/>
        <v>0</v>
      </c>
      <c r="AM55" s="1">
        <f t="shared" si="133"/>
        <v>18</v>
      </c>
      <c r="AN55" s="1">
        <f t="shared" si="134"/>
        <v>8</v>
      </c>
      <c r="AO55" s="1">
        <f>U55+AR52</f>
        <v>25</v>
      </c>
      <c r="AP55" s="3">
        <f t="shared" si="146"/>
        <v>136</v>
      </c>
      <c r="AQ55" s="18"/>
    </row>
    <row r="56" spans="1:45" x14ac:dyDescent="0.25">
      <c r="A56" t="s">
        <v>21</v>
      </c>
      <c r="B56" s="5" t="str">
        <f t="shared" ref="B56" si="160">B38</f>
        <v>INN</v>
      </c>
      <c r="C56" s="6" t="s">
        <v>81</v>
      </c>
      <c r="D56" s="6" t="s">
        <v>100</v>
      </c>
      <c r="E56" s="6">
        <v>22</v>
      </c>
      <c r="F56" s="6">
        <v>70</v>
      </c>
      <c r="G56" s="11">
        <f t="shared" ref="G56" si="161">AA38</f>
        <v>0</v>
      </c>
      <c r="H56" s="11">
        <v>11</v>
      </c>
      <c r="I56" s="11">
        <v>12</v>
      </c>
      <c r="J56" s="11">
        <f t="shared" si="112"/>
        <v>2</v>
      </c>
      <c r="K56" s="11">
        <v>8</v>
      </c>
      <c r="L56" s="11">
        <v>5</v>
      </c>
      <c r="M56" s="11">
        <f t="shared" si="115"/>
        <v>2</v>
      </c>
      <c r="N56" s="8">
        <f>(8670+1165+135+125)*1.008</f>
        <v>10175.76</v>
      </c>
      <c r="O56" s="1">
        <f t="shared" ref="O56" si="162">AI38</f>
        <v>0</v>
      </c>
      <c r="P56" s="1">
        <v>37</v>
      </c>
      <c r="Q56" s="1">
        <v>48</v>
      </c>
      <c r="R56" s="1">
        <f t="shared" si="118"/>
        <v>0</v>
      </c>
      <c r="S56" s="1">
        <v>18</v>
      </c>
      <c r="T56" s="1">
        <v>8</v>
      </c>
      <c r="U56" s="1">
        <f t="shared" si="121"/>
        <v>0</v>
      </c>
      <c r="V56" s="3">
        <f t="shared" si="145"/>
        <v>111</v>
      </c>
      <c r="X56" t="s">
        <v>21</v>
      </c>
      <c r="Y56" s="6">
        <v>24</v>
      </c>
      <c r="Z56" s="6">
        <f>F56+(AR52*7)-112-112</f>
        <v>21</v>
      </c>
      <c r="AA56" s="11">
        <f t="shared" si="123"/>
        <v>0</v>
      </c>
      <c r="AB56" s="11">
        <f t="shared" si="124"/>
        <v>11</v>
      </c>
      <c r="AC56" s="11">
        <f t="shared" si="125"/>
        <v>12</v>
      </c>
      <c r="AD56" s="11">
        <f t="shared" si="126"/>
        <v>2</v>
      </c>
      <c r="AE56" s="11">
        <f t="shared" si="127"/>
        <v>8</v>
      </c>
      <c r="AF56" s="11">
        <f t="shared" si="128"/>
        <v>5</v>
      </c>
      <c r="AG56" s="11">
        <v>17</v>
      </c>
      <c r="AH56" s="8">
        <f>(8670+1165+135+125)*1.047</f>
        <v>10569.465</v>
      </c>
      <c r="AI56" s="1">
        <f t="shared" si="129"/>
        <v>0</v>
      </c>
      <c r="AJ56" s="1">
        <f t="shared" si="130"/>
        <v>37</v>
      </c>
      <c r="AK56" s="1">
        <f t="shared" si="131"/>
        <v>48</v>
      </c>
      <c r="AL56" s="1">
        <f t="shared" si="132"/>
        <v>0</v>
      </c>
      <c r="AM56" s="1">
        <f t="shared" si="133"/>
        <v>18</v>
      </c>
      <c r="AN56" s="1">
        <f t="shared" si="134"/>
        <v>8</v>
      </c>
      <c r="AO56" s="1">
        <f>U56+AR52</f>
        <v>25</v>
      </c>
      <c r="AP56" s="3">
        <f t="shared" si="146"/>
        <v>136</v>
      </c>
      <c r="AQ56" s="18"/>
    </row>
    <row r="57" spans="1:45" x14ac:dyDescent="0.25">
      <c r="A57" t="s">
        <v>23</v>
      </c>
      <c r="B57" s="5" t="str">
        <f t="shared" ref="B57:D57" si="163">B39</f>
        <v>EXT</v>
      </c>
      <c r="C57" s="6" t="str">
        <f t="shared" si="163"/>
        <v>RAP</v>
      </c>
      <c r="D57" s="6" t="str">
        <f t="shared" si="163"/>
        <v>E. Cubas</v>
      </c>
      <c r="E57" s="6">
        <f t="shared" ref="E57:G57" si="164">Y39</f>
        <v>22</v>
      </c>
      <c r="F57" s="6">
        <f t="shared" si="164"/>
        <v>19.5</v>
      </c>
      <c r="G57" s="11">
        <f t="shared" si="164"/>
        <v>0</v>
      </c>
      <c r="H57" s="11">
        <f t="shared" si="110"/>
        <v>9</v>
      </c>
      <c r="I57" s="11">
        <f t="shared" si="111"/>
        <v>5.7</v>
      </c>
      <c r="J57" s="11">
        <f t="shared" si="112"/>
        <v>13.285714285714286</v>
      </c>
      <c r="K57" s="11">
        <f t="shared" si="113"/>
        <v>5.25</v>
      </c>
      <c r="L57" s="11">
        <f t="shared" si="114"/>
        <v>7.4</v>
      </c>
      <c r="M57" s="11">
        <f t="shared" si="115"/>
        <v>5</v>
      </c>
      <c r="N57" s="8">
        <f t="shared" ref="N57:O57" si="165">AH39</f>
        <v>9398</v>
      </c>
      <c r="O57" s="1">
        <f t="shared" si="165"/>
        <v>0</v>
      </c>
      <c r="P57" s="1">
        <f t="shared" si="116"/>
        <v>30</v>
      </c>
      <c r="Q57" s="1">
        <f t="shared" si="117"/>
        <v>13</v>
      </c>
      <c r="R57" s="1">
        <f t="shared" si="118"/>
        <v>42</v>
      </c>
      <c r="S57" s="1">
        <f t="shared" si="119"/>
        <v>8</v>
      </c>
      <c r="T57" s="1">
        <f t="shared" si="120"/>
        <v>18</v>
      </c>
      <c r="U57" s="1">
        <f t="shared" si="121"/>
        <v>3</v>
      </c>
      <c r="V57" s="3">
        <f t="shared" si="145"/>
        <v>114</v>
      </c>
      <c r="X57" t="s">
        <v>23</v>
      </c>
      <c r="Y57" s="6">
        <v>23</v>
      </c>
      <c r="Z57" s="6">
        <f>F57+(AR52*7)-112</f>
        <v>82.5</v>
      </c>
      <c r="AA57" s="11">
        <f t="shared" si="123"/>
        <v>0</v>
      </c>
      <c r="AB57" s="11">
        <f t="shared" si="124"/>
        <v>9</v>
      </c>
      <c r="AC57" s="11">
        <f t="shared" si="125"/>
        <v>5.7</v>
      </c>
      <c r="AD57" s="11">
        <f t="shared" si="126"/>
        <v>13.285714285714286</v>
      </c>
      <c r="AE57" s="11">
        <f t="shared" si="127"/>
        <v>5.25</v>
      </c>
      <c r="AF57" s="11">
        <f t="shared" si="128"/>
        <v>7.4</v>
      </c>
      <c r="AG57" s="11">
        <f>17+3/4</f>
        <v>17.75</v>
      </c>
      <c r="AH57" s="8">
        <f>(155+8000+140+300+655)*1.051</f>
        <v>9721.75</v>
      </c>
      <c r="AI57" s="1">
        <f t="shared" si="129"/>
        <v>0</v>
      </c>
      <c r="AJ57" s="1">
        <f t="shared" si="130"/>
        <v>30</v>
      </c>
      <c r="AK57" s="1">
        <f t="shared" si="131"/>
        <v>13</v>
      </c>
      <c r="AL57" s="1">
        <f t="shared" si="132"/>
        <v>42</v>
      </c>
      <c r="AM57" s="1">
        <f t="shared" si="133"/>
        <v>8</v>
      </c>
      <c r="AN57" s="1">
        <f t="shared" si="134"/>
        <v>18</v>
      </c>
      <c r="AO57" s="1">
        <f>U57+AR52</f>
        <v>28</v>
      </c>
      <c r="AP57" s="3">
        <f t="shared" si="146"/>
        <v>139</v>
      </c>
      <c r="AQ57" s="18"/>
    </row>
    <row r="58" spans="1:45" x14ac:dyDescent="0.25">
      <c r="A58" t="s">
        <v>24</v>
      </c>
      <c r="B58" s="5" t="str">
        <f t="shared" ref="B58:D58" si="166">B40</f>
        <v>EXT</v>
      </c>
      <c r="C58" s="6" t="str">
        <f t="shared" si="166"/>
        <v>IMP</v>
      </c>
      <c r="D58" s="6" t="str">
        <f t="shared" si="166"/>
        <v>V. Gomis</v>
      </c>
      <c r="E58" s="6">
        <f t="shared" ref="E58:G58" si="167">Y40</f>
        <v>22</v>
      </c>
      <c r="F58" s="6">
        <f t="shared" si="167"/>
        <v>23.5</v>
      </c>
      <c r="G58" s="11">
        <f t="shared" si="167"/>
        <v>0</v>
      </c>
      <c r="H58" s="11">
        <f t="shared" si="110"/>
        <v>10.777777777777779</v>
      </c>
      <c r="I58" s="11">
        <f t="shared" si="111"/>
        <v>3</v>
      </c>
      <c r="J58" s="11">
        <f t="shared" si="112"/>
        <v>12</v>
      </c>
      <c r="K58" s="11">
        <f t="shared" si="113"/>
        <v>5.2</v>
      </c>
      <c r="L58" s="11">
        <f t="shared" si="114"/>
        <v>7</v>
      </c>
      <c r="M58" s="11">
        <f t="shared" si="115"/>
        <v>3</v>
      </c>
      <c r="N58" s="8">
        <f t="shared" ref="N58:O58" si="168">AH40</f>
        <v>6732.8360000000002</v>
      </c>
      <c r="O58" s="1">
        <f t="shared" si="168"/>
        <v>0</v>
      </c>
      <c r="P58" s="1">
        <f t="shared" si="116"/>
        <v>44</v>
      </c>
      <c r="Q58" s="1">
        <f t="shared" si="117"/>
        <v>3</v>
      </c>
      <c r="R58" s="1">
        <f t="shared" si="118"/>
        <v>33</v>
      </c>
      <c r="S58" s="1">
        <f t="shared" si="119"/>
        <v>8</v>
      </c>
      <c r="T58" s="1">
        <f t="shared" si="120"/>
        <v>16</v>
      </c>
      <c r="U58" s="1">
        <f t="shared" si="121"/>
        <v>1</v>
      </c>
      <c r="V58" s="3">
        <f>SUM(O58:U58)</f>
        <v>105</v>
      </c>
      <c r="X58" t="s">
        <v>24</v>
      </c>
      <c r="Y58" s="6">
        <v>23</v>
      </c>
      <c r="Z58" s="6">
        <f>F58+(AR52*7)-112</f>
        <v>86.5</v>
      </c>
      <c r="AA58" s="11">
        <f t="shared" si="123"/>
        <v>0</v>
      </c>
      <c r="AB58" s="11">
        <f t="shared" si="124"/>
        <v>10.777777777777779</v>
      </c>
      <c r="AC58" s="11">
        <f t="shared" si="125"/>
        <v>3</v>
      </c>
      <c r="AD58" s="11">
        <f t="shared" si="126"/>
        <v>12</v>
      </c>
      <c r="AE58" s="11">
        <f t="shared" si="127"/>
        <v>5.2</v>
      </c>
      <c r="AF58" s="11">
        <f t="shared" si="128"/>
        <v>7</v>
      </c>
      <c r="AG58" s="11">
        <f>17+1/4</f>
        <v>17.25</v>
      </c>
      <c r="AH58" s="8">
        <f>(1800+138+4470+245)*1.05</f>
        <v>6985.6500000000005</v>
      </c>
      <c r="AI58" s="1">
        <f t="shared" si="129"/>
        <v>0</v>
      </c>
      <c r="AJ58" s="1">
        <f t="shared" si="130"/>
        <v>44</v>
      </c>
      <c r="AK58" s="1">
        <f t="shared" si="131"/>
        <v>3</v>
      </c>
      <c r="AL58" s="1">
        <f t="shared" si="132"/>
        <v>33</v>
      </c>
      <c r="AM58" s="1">
        <f t="shared" si="133"/>
        <v>8</v>
      </c>
      <c r="AN58" s="1">
        <f t="shared" si="134"/>
        <v>16</v>
      </c>
      <c r="AO58" s="1">
        <f>U58+AR52</f>
        <v>26</v>
      </c>
      <c r="AP58" s="3">
        <f>SUM(AI58:AO58)</f>
        <v>130</v>
      </c>
      <c r="AQ58" s="18"/>
    </row>
    <row r="59" spans="1:45" x14ac:dyDescent="0.25">
      <c r="A59" t="s">
        <v>26</v>
      </c>
      <c r="B59" s="5" t="str">
        <f t="shared" ref="B59:D59" si="169">B41</f>
        <v>EXT</v>
      </c>
      <c r="C59" s="6" t="str">
        <f t="shared" si="169"/>
        <v>IMP</v>
      </c>
      <c r="D59" s="6" t="str">
        <f t="shared" si="169"/>
        <v>J.G. Peñuela</v>
      </c>
      <c r="E59" s="6">
        <f t="shared" ref="E59:G59" si="170">Y41</f>
        <v>22</v>
      </c>
      <c r="F59" s="6">
        <f t="shared" si="170"/>
        <v>19.5</v>
      </c>
      <c r="G59" s="11">
        <f t="shared" si="170"/>
        <v>0</v>
      </c>
      <c r="H59" s="11">
        <f t="shared" si="110"/>
        <v>9.4285714285714288</v>
      </c>
      <c r="I59" s="11">
        <f t="shared" si="111"/>
        <v>5</v>
      </c>
      <c r="J59" s="11">
        <f t="shared" si="112"/>
        <v>12.285714285714286</v>
      </c>
      <c r="K59" s="11">
        <f t="shared" si="113"/>
        <v>4</v>
      </c>
      <c r="L59" s="11">
        <f t="shared" si="114"/>
        <v>7.4</v>
      </c>
      <c r="M59" s="11">
        <f t="shared" si="115"/>
        <v>3</v>
      </c>
      <c r="N59" s="8">
        <f t="shared" ref="N59:O59" si="171">AH41</f>
        <v>6512.22</v>
      </c>
      <c r="O59" s="1">
        <f t="shared" si="171"/>
        <v>0</v>
      </c>
      <c r="P59" s="1">
        <f t="shared" si="116"/>
        <v>33</v>
      </c>
      <c r="Q59" s="1">
        <f t="shared" si="117"/>
        <v>9</v>
      </c>
      <c r="R59" s="1">
        <f t="shared" si="118"/>
        <v>35</v>
      </c>
      <c r="S59" s="1">
        <f t="shared" si="119"/>
        <v>4</v>
      </c>
      <c r="T59" s="1">
        <f t="shared" si="120"/>
        <v>18</v>
      </c>
      <c r="U59" s="1">
        <f t="shared" si="121"/>
        <v>1</v>
      </c>
      <c r="V59" s="3">
        <f>SUM(O59:U59)</f>
        <v>100</v>
      </c>
      <c r="X59" t="s">
        <v>26</v>
      </c>
      <c r="Y59" s="6">
        <v>23</v>
      </c>
      <c r="Z59" s="6">
        <f>F59+(AR52*7)-112</f>
        <v>82.5</v>
      </c>
      <c r="AA59" s="11">
        <f t="shared" si="123"/>
        <v>0</v>
      </c>
      <c r="AB59" s="11">
        <f t="shared" si="124"/>
        <v>9.4285714285714288</v>
      </c>
      <c r="AC59" s="11">
        <f t="shared" si="125"/>
        <v>5</v>
      </c>
      <c r="AD59" s="11">
        <f t="shared" si="126"/>
        <v>12.285714285714286</v>
      </c>
      <c r="AE59" s="11">
        <f t="shared" si="127"/>
        <v>4</v>
      </c>
      <c r="AF59" s="11">
        <f t="shared" si="128"/>
        <v>7.4</v>
      </c>
      <c r="AG59" s="11">
        <f>17+1/4</f>
        <v>17.25</v>
      </c>
      <c r="AH59" s="8">
        <f>(135+5000+125+300+875)*1.05</f>
        <v>6756.75</v>
      </c>
      <c r="AI59" s="1">
        <f t="shared" si="129"/>
        <v>0</v>
      </c>
      <c r="AJ59" s="1">
        <f t="shared" si="130"/>
        <v>33</v>
      </c>
      <c r="AK59" s="1">
        <f t="shared" si="131"/>
        <v>9</v>
      </c>
      <c r="AL59" s="1">
        <f t="shared" si="132"/>
        <v>35</v>
      </c>
      <c r="AM59" s="1">
        <f t="shared" si="133"/>
        <v>4</v>
      </c>
      <c r="AN59" s="1">
        <f t="shared" si="134"/>
        <v>18</v>
      </c>
      <c r="AO59" s="1">
        <f>U59+AR52</f>
        <v>26</v>
      </c>
      <c r="AP59" s="3">
        <f>SUM(AI59:AO59)</f>
        <v>125</v>
      </c>
      <c r="AQ59" s="18"/>
    </row>
    <row r="60" spans="1:45" x14ac:dyDescent="0.25">
      <c r="A60" t="s">
        <v>27</v>
      </c>
      <c r="B60" s="5" t="str">
        <f t="shared" ref="B60" si="172">B42</f>
        <v>DAV</v>
      </c>
      <c r="C60" s="6" t="s">
        <v>76</v>
      </c>
      <c r="D60" s="6" t="s">
        <v>101</v>
      </c>
      <c r="E60" s="6">
        <v>22</v>
      </c>
      <c r="F60" s="6">
        <v>64</v>
      </c>
      <c r="G60" s="11">
        <f t="shared" ref="G60" si="173">AA42</f>
        <v>0</v>
      </c>
      <c r="H60" s="11">
        <f t="shared" si="110"/>
        <v>2</v>
      </c>
      <c r="I60" s="11">
        <f t="shared" si="111"/>
        <v>2</v>
      </c>
      <c r="J60" s="11">
        <v>8</v>
      </c>
      <c r="K60" s="11">
        <v>8</v>
      </c>
      <c r="L60" s="11">
        <v>13</v>
      </c>
      <c r="M60" s="11">
        <v>10</v>
      </c>
      <c r="N60" s="8">
        <f>(12930+275+135)*1.023</f>
        <v>13646.819999999998</v>
      </c>
      <c r="O60" s="1">
        <f t="shared" ref="O60" si="174">AI42</f>
        <v>0</v>
      </c>
      <c r="P60" s="1">
        <f t="shared" si="116"/>
        <v>0</v>
      </c>
      <c r="Q60" s="1">
        <f t="shared" si="117"/>
        <v>0</v>
      </c>
      <c r="R60" s="1">
        <v>15</v>
      </c>
      <c r="S60" s="1">
        <v>18</v>
      </c>
      <c r="T60" s="1">
        <v>59</v>
      </c>
      <c r="U60" s="1">
        <v>8</v>
      </c>
      <c r="V60" s="3">
        <f t="shared" ref="V60:V62" si="175">SUM(O60:U60)</f>
        <v>100</v>
      </c>
      <c r="X60" t="s">
        <v>27</v>
      </c>
      <c r="Y60" s="6">
        <v>24</v>
      </c>
      <c r="Z60" s="6">
        <f>F60+(AR52*7)-112-112</f>
        <v>15</v>
      </c>
      <c r="AA60" s="11">
        <f t="shared" si="123"/>
        <v>0</v>
      </c>
      <c r="AB60" s="11">
        <f t="shared" si="124"/>
        <v>2</v>
      </c>
      <c r="AC60" s="11">
        <f t="shared" si="125"/>
        <v>2</v>
      </c>
      <c r="AD60" s="11">
        <f t="shared" si="126"/>
        <v>8</v>
      </c>
      <c r="AE60" s="11">
        <f t="shared" si="127"/>
        <v>8</v>
      </c>
      <c r="AF60" s="11">
        <f t="shared" si="128"/>
        <v>13</v>
      </c>
      <c r="AG60" s="11">
        <v>19</v>
      </c>
      <c r="AH60" s="8">
        <f>(12930+275+135)*1.06</f>
        <v>14140.400000000001</v>
      </c>
      <c r="AI60" s="1">
        <f t="shared" si="129"/>
        <v>0</v>
      </c>
      <c r="AJ60" s="1">
        <f t="shared" si="130"/>
        <v>0</v>
      </c>
      <c r="AK60" s="1">
        <f t="shared" si="131"/>
        <v>0</v>
      </c>
      <c r="AL60" s="1">
        <f t="shared" si="132"/>
        <v>15</v>
      </c>
      <c r="AM60" s="1">
        <f t="shared" si="133"/>
        <v>18</v>
      </c>
      <c r="AN60" s="1">
        <f t="shared" si="134"/>
        <v>59</v>
      </c>
      <c r="AO60" s="1">
        <f>U60+AR52</f>
        <v>33</v>
      </c>
      <c r="AP60" s="3">
        <f t="shared" ref="AP60:AP62" si="176">SUM(AI60:AO60)</f>
        <v>125</v>
      </c>
      <c r="AQ60" s="18"/>
    </row>
    <row r="61" spans="1:45" x14ac:dyDescent="0.25">
      <c r="A61" t="s">
        <v>28</v>
      </c>
      <c r="B61" s="5" t="str">
        <f t="shared" ref="B61" si="177">B43</f>
        <v>DAV</v>
      </c>
      <c r="C61" s="6" t="s">
        <v>76</v>
      </c>
      <c r="D61" s="6" t="s">
        <v>101</v>
      </c>
      <c r="E61" s="6">
        <v>22</v>
      </c>
      <c r="F61" s="6">
        <v>64</v>
      </c>
      <c r="G61" s="11">
        <f t="shared" ref="G61" si="178">AA43</f>
        <v>0</v>
      </c>
      <c r="H61" s="11">
        <f t="shared" si="110"/>
        <v>2</v>
      </c>
      <c r="I61" s="11">
        <f t="shared" si="111"/>
        <v>2</v>
      </c>
      <c r="J61" s="11">
        <v>8</v>
      </c>
      <c r="K61" s="11">
        <v>8</v>
      </c>
      <c r="L61" s="11">
        <v>13</v>
      </c>
      <c r="M61" s="11">
        <v>10</v>
      </c>
      <c r="N61" s="8">
        <f>(12930+275+135)*1.023</f>
        <v>13646.819999999998</v>
      </c>
      <c r="O61" s="1">
        <f t="shared" ref="O61" si="179">AI43</f>
        <v>0</v>
      </c>
      <c r="P61" s="1">
        <f t="shared" si="116"/>
        <v>0</v>
      </c>
      <c r="Q61" s="1">
        <f t="shared" si="117"/>
        <v>0</v>
      </c>
      <c r="R61" s="1">
        <v>15</v>
      </c>
      <c r="S61" s="1">
        <v>18</v>
      </c>
      <c r="T61" s="1">
        <v>59</v>
      </c>
      <c r="U61" s="1">
        <v>8</v>
      </c>
      <c r="V61" s="3">
        <f t="shared" si="175"/>
        <v>100</v>
      </c>
      <c r="X61" t="s">
        <v>28</v>
      </c>
      <c r="Y61" s="6">
        <v>24</v>
      </c>
      <c r="Z61" s="6">
        <f>F61+(AR52*7)-112-112</f>
        <v>15</v>
      </c>
      <c r="AA61" s="11">
        <f t="shared" si="123"/>
        <v>0</v>
      </c>
      <c r="AB61" s="11">
        <f t="shared" si="124"/>
        <v>2</v>
      </c>
      <c r="AC61" s="11">
        <f t="shared" si="125"/>
        <v>2</v>
      </c>
      <c r="AD61" s="11">
        <f t="shared" si="126"/>
        <v>8</v>
      </c>
      <c r="AE61" s="11">
        <f t="shared" si="127"/>
        <v>8</v>
      </c>
      <c r="AF61" s="11">
        <f t="shared" si="128"/>
        <v>13</v>
      </c>
      <c r="AG61" s="11">
        <v>19</v>
      </c>
      <c r="AH61" s="8">
        <f>(12930+275+135)*1.06</f>
        <v>14140.400000000001</v>
      </c>
      <c r="AI61" s="1">
        <f t="shared" si="129"/>
        <v>0</v>
      </c>
      <c r="AJ61" s="1">
        <f t="shared" si="130"/>
        <v>0</v>
      </c>
      <c r="AK61" s="1">
        <f t="shared" si="131"/>
        <v>0</v>
      </c>
      <c r="AL61" s="1">
        <f t="shared" si="132"/>
        <v>15</v>
      </c>
      <c r="AM61" s="1">
        <f t="shared" si="133"/>
        <v>18</v>
      </c>
      <c r="AN61" s="1">
        <f t="shared" si="134"/>
        <v>59</v>
      </c>
      <c r="AO61" s="1">
        <f>U61+AR52</f>
        <v>33</v>
      </c>
      <c r="AP61" s="3">
        <f t="shared" si="176"/>
        <v>125</v>
      </c>
      <c r="AQ61" s="18"/>
    </row>
    <row r="62" spans="1:45" x14ac:dyDescent="0.25">
      <c r="A62" t="s">
        <v>56</v>
      </c>
      <c r="B62" s="5" t="str">
        <f t="shared" ref="B62" si="180">B44</f>
        <v>DAV</v>
      </c>
      <c r="C62" s="6" t="s">
        <v>80</v>
      </c>
      <c r="D62" s="6" t="s">
        <v>101</v>
      </c>
      <c r="E62" s="6">
        <v>22</v>
      </c>
      <c r="F62" s="6">
        <v>64</v>
      </c>
      <c r="G62" s="11">
        <f t="shared" ref="G62" si="181">AA44</f>
        <v>0</v>
      </c>
      <c r="H62" s="11">
        <f t="shared" si="110"/>
        <v>2</v>
      </c>
      <c r="I62" s="11">
        <f t="shared" si="111"/>
        <v>2</v>
      </c>
      <c r="J62" s="11">
        <v>8</v>
      </c>
      <c r="K62" s="11">
        <v>8</v>
      </c>
      <c r="L62" s="11">
        <v>13</v>
      </c>
      <c r="M62" s="11">
        <v>10</v>
      </c>
      <c r="N62" s="8">
        <f>(12930+275+135)*1.023</f>
        <v>13646.819999999998</v>
      </c>
      <c r="O62" s="1">
        <f t="shared" ref="O62" si="182">AI44</f>
        <v>0</v>
      </c>
      <c r="P62" s="1">
        <f t="shared" si="116"/>
        <v>0</v>
      </c>
      <c r="Q62" s="1">
        <f t="shared" si="117"/>
        <v>0</v>
      </c>
      <c r="R62" s="1">
        <v>15</v>
      </c>
      <c r="S62" s="1">
        <v>18</v>
      </c>
      <c r="T62" s="1">
        <v>59</v>
      </c>
      <c r="U62" s="1">
        <v>8</v>
      </c>
      <c r="V62" s="3">
        <f t="shared" si="175"/>
        <v>100</v>
      </c>
      <c r="X62" t="s">
        <v>56</v>
      </c>
      <c r="Y62" s="6">
        <v>24</v>
      </c>
      <c r="Z62" s="6">
        <f>F62+(AR52*7)-112-112</f>
        <v>15</v>
      </c>
      <c r="AA62" s="11">
        <f t="shared" si="123"/>
        <v>0</v>
      </c>
      <c r="AB62" s="11">
        <f t="shared" si="124"/>
        <v>2</v>
      </c>
      <c r="AC62" s="11">
        <f t="shared" si="125"/>
        <v>2</v>
      </c>
      <c r="AD62" s="11">
        <f t="shared" si="126"/>
        <v>8</v>
      </c>
      <c r="AE62" s="11">
        <f t="shared" si="127"/>
        <v>8</v>
      </c>
      <c r="AF62" s="11">
        <f t="shared" si="128"/>
        <v>13</v>
      </c>
      <c r="AG62" s="11">
        <v>19</v>
      </c>
      <c r="AH62" s="8">
        <f>(12930+275+135)*1.06</f>
        <v>14140.400000000001</v>
      </c>
      <c r="AI62" s="1">
        <f t="shared" si="129"/>
        <v>0</v>
      </c>
      <c r="AJ62" s="1">
        <f t="shared" si="130"/>
        <v>0</v>
      </c>
      <c r="AK62" s="1">
        <f t="shared" si="131"/>
        <v>0</v>
      </c>
      <c r="AL62" s="1">
        <f t="shared" si="132"/>
        <v>15</v>
      </c>
      <c r="AM62" s="1">
        <f t="shared" si="133"/>
        <v>18</v>
      </c>
      <c r="AN62" s="1">
        <f t="shared" si="134"/>
        <v>59</v>
      </c>
      <c r="AO62" s="1">
        <f>U62+AR52</f>
        <v>33</v>
      </c>
      <c r="AP62" s="3">
        <f t="shared" si="176"/>
        <v>125</v>
      </c>
      <c r="AQ62" s="18"/>
    </row>
    <row r="63" spans="1:45" x14ac:dyDescent="0.25">
      <c r="AQ63" s="18"/>
    </row>
    <row r="64" spans="1:45" x14ac:dyDescent="0.25">
      <c r="AQ64" s="18"/>
    </row>
    <row r="65" spans="43:43" x14ac:dyDescent="0.25">
      <c r="AQ65" s="18"/>
    </row>
    <row r="66" spans="43:43" x14ac:dyDescent="0.25">
      <c r="AQ66" s="18"/>
    </row>
    <row r="67" spans="43:43" x14ac:dyDescent="0.25">
      <c r="AQ67" s="18"/>
    </row>
    <row r="68" spans="43:43" x14ac:dyDescent="0.25">
      <c r="AQ68" s="18"/>
    </row>
    <row r="69" spans="43:43" x14ac:dyDescent="0.25">
      <c r="AQ69" s="18"/>
    </row>
    <row r="70" spans="43:43" x14ac:dyDescent="0.25">
      <c r="AQ70" s="18"/>
    </row>
    <row r="71" spans="43:43" x14ac:dyDescent="0.25">
      <c r="AQ71" s="18"/>
    </row>
    <row r="72" spans="43:43" x14ac:dyDescent="0.25">
      <c r="AQ72" s="18"/>
    </row>
    <row r="73" spans="43:43" x14ac:dyDescent="0.25">
      <c r="AQ73" s="18"/>
    </row>
    <row r="74" spans="43:43" x14ac:dyDescent="0.25">
      <c r="AQ74" s="18"/>
    </row>
    <row r="75" spans="43:43" x14ac:dyDescent="0.25">
      <c r="AQ75" s="18"/>
    </row>
    <row r="76" spans="43:43" x14ac:dyDescent="0.25">
      <c r="AQ76" s="18"/>
    </row>
    <row r="77" spans="43:43" x14ac:dyDescent="0.25">
      <c r="AQ77" s="18"/>
    </row>
    <row r="78" spans="43:43" x14ac:dyDescent="0.25">
      <c r="AQ78" s="18"/>
    </row>
    <row r="79" spans="43:43" x14ac:dyDescent="0.25">
      <c r="AQ79" s="18"/>
    </row>
    <row r="80" spans="43:43" x14ac:dyDescent="0.25">
      <c r="AQ80" s="18"/>
    </row>
    <row r="81" spans="43:43" x14ac:dyDescent="0.25">
      <c r="AQ81" s="18"/>
    </row>
    <row r="82" spans="43:43" x14ac:dyDescent="0.25">
      <c r="AQ82" s="18"/>
    </row>
    <row r="83" spans="43:43" x14ac:dyDescent="0.25">
      <c r="AQ83" s="18"/>
    </row>
    <row r="84" spans="43:43" x14ac:dyDescent="0.25">
      <c r="AQ84" s="18"/>
    </row>
    <row r="85" spans="43:43" x14ac:dyDescent="0.25">
      <c r="AQ85" s="18"/>
    </row>
    <row r="86" spans="43:43" x14ac:dyDescent="0.25">
      <c r="AQ86" s="18"/>
    </row>
    <row r="87" spans="43:43" x14ac:dyDescent="0.25">
      <c r="AQ87" s="18"/>
    </row>
    <row r="88" spans="43:43" x14ac:dyDescent="0.25">
      <c r="AQ88" s="18"/>
    </row>
    <row r="89" spans="43:43" x14ac:dyDescent="0.25">
      <c r="AQ89" s="18"/>
    </row>
    <row r="90" spans="43:43" x14ac:dyDescent="0.25">
      <c r="AQ90" s="18"/>
    </row>
    <row r="91" spans="43:43" x14ac:dyDescent="0.25">
      <c r="AQ91" s="18"/>
    </row>
    <row r="92" spans="43:43" x14ac:dyDescent="0.25">
      <c r="AQ92" s="18"/>
    </row>
    <row r="93" spans="43:43" x14ac:dyDescent="0.25">
      <c r="AQ93" s="18"/>
    </row>
    <row r="94" spans="43:43" x14ac:dyDescent="0.25">
      <c r="AQ94" s="18"/>
    </row>
    <row r="95" spans="43:43" x14ac:dyDescent="0.25">
      <c r="AQ95" s="18"/>
    </row>
    <row r="96" spans="43:43" x14ac:dyDescent="0.25">
      <c r="AQ96" s="18"/>
    </row>
    <row r="97" spans="43:43" x14ac:dyDescent="0.25">
      <c r="AQ97" s="18"/>
    </row>
    <row r="98" spans="43:43" x14ac:dyDescent="0.25">
      <c r="AQ98" s="18"/>
    </row>
    <row r="99" spans="43:43" x14ac:dyDescent="0.25">
      <c r="AQ99" s="18"/>
    </row>
    <row r="100" spans="43:43" x14ac:dyDescent="0.25">
      <c r="AQ100" s="18"/>
    </row>
    <row r="101" spans="43:43" x14ac:dyDescent="0.25">
      <c r="AQ101" s="18"/>
    </row>
    <row r="102" spans="43:43" x14ac:dyDescent="0.25">
      <c r="AQ102" s="18"/>
    </row>
    <row r="103" spans="43:43" x14ac:dyDescent="0.25">
      <c r="AQ103" s="18"/>
    </row>
    <row r="104" spans="43:43" x14ac:dyDescent="0.25">
      <c r="AQ104" s="18"/>
    </row>
    <row r="105" spans="43:43" x14ac:dyDescent="0.25">
      <c r="AQ105" s="18"/>
    </row>
    <row r="106" spans="43:43" x14ac:dyDescent="0.25">
      <c r="AQ106" s="18"/>
    </row>
  </sheetData>
  <conditionalFormatting sqref="G11:M26">
    <cfRule type="colorScale" priority="24">
      <colorScale>
        <cfvo type="min"/>
        <cfvo type="max"/>
        <color rgb="FFFFEF9C"/>
        <color rgb="FF63BE7B"/>
      </colorScale>
    </cfRule>
  </conditionalFormatting>
  <conditionalFormatting sqref="N11:N26">
    <cfRule type="dataBar" priority="2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{26EF44E0-7777-4BDC-91C5-BC61676E29B6}</x14:id>
        </ext>
      </extLst>
    </cfRule>
  </conditionalFormatting>
  <conditionalFormatting sqref="O11:U26">
    <cfRule type="colorScale" priority="22">
      <colorScale>
        <cfvo type="min"/>
        <cfvo type="max"/>
        <color rgb="FFFCFCFF"/>
        <color rgb="FF63BE7B"/>
      </colorScale>
    </cfRule>
  </conditionalFormatting>
  <conditionalFormatting sqref="AA11:AG26">
    <cfRule type="colorScale" priority="21">
      <colorScale>
        <cfvo type="min"/>
        <cfvo type="max"/>
        <color rgb="FFFFEF9C"/>
        <color rgb="FF63BE7B"/>
      </colorScale>
    </cfRule>
  </conditionalFormatting>
  <conditionalFormatting sqref="AH11:AH26">
    <cfRule type="dataBar" priority="2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{822F0A8E-FDA1-45E4-99AF-FC2EA769FDB3}</x14:id>
        </ext>
      </extLst>
    </cfRule>
  </conditionalFormatting>
  <conditionalFormatting sqref="AI11:AO26">
    <cfRule type="colorScale" priority="19">
      <colorScale>
        <cfvo type="min"/>
        <cfvo type="max"/>
        <color rgb="FFFCFCFF"/>
        <color rgb="FF63BE7B"/>
      </colorScale>
    </cfRule>
  </conditionalFormatting>
  <conditionalFormatting sqref="G29:M44">
    <cfRule type="colorScale" priority="18">
      <colorScale>
        <cfvo type="min"/>
        <cfvo type="max"/>
        <color rgb="FFFFEF9C"/>
        <color rgb="FF63BE7B"/>
      </colorScale>
    </cfRule>
  </conditionalFormatting>
  <conditionalFormatting sqref="N29:N44">
    <cfRule type="dataBar" priority="17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{AA69B505-C240-4F8E-B374-220B8417574E}</x14:id>
        </ext>
      </extLst>
    </cfRule>
  </conditionalFormatting>
  <conditionalFormatting sqref="O29:U44">
    <cfRule type="colorScale" priority="16">
      <colorScale>
        <cfvo type="min"/>
        <cfvo type="max"/>
        <color rgb="FFFCFCFF"/>
        <color rgb="FF63BE7B"/>
      </colorScale>
    </cfRule>
  </conditionalFormatting>
  <conditionalFormatting sqref="AA29:AG44">
    <cfRule type="colorScale" priority="15">
      <colorScale>
        <cfvo type="min"/>
        <cfvo type="max"/>
        <color rgb="FFFFEF9C"/>
        <color rgb="FF63BE7B"/>
      </colorScale>
    </cfRule>
  </conditionalFormatting>
  <conditionalFormatting sqref="AH29:AH44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{B1AEF84E-31E4-4CB0-956F-6E282EA233B4}</x14:id>
        </ext>
      </extLst>
    </cfRule>
  </conditionalFormatting>
  <conditionalFormatting sqref="AI29:AO44">
    <cfRule type="colorScale" priority="13">
      <colorScale>
        <cfvo type="min"/>
        <cfvo type="max"/>
        <color rgb="FFFCFCFF"/>
        <color rgb="FF63BE7B"/>
      </colorScale>
    </cfRule>
  </conditionalFormatting>
  <conditionalFormatting sqref="G47:M62">
    <cfRule type="colorScale" priority="12">
      <colorScale>
        <cfvo type="min"/>
        <cfvo type="max"/>
        <color rgb="FFFFEF9C"/>
        <color rgb="FF63BE7B"/>
      </colorScale>
    </cfRule>
  </conditionalFormatting>
  <conditionalFormatting sqref="N47:N62">
    <cfRule type="dataBar" priority="1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{ABC9CF90-98B7-41E0-85B2-327A7B3ABC45}</x14:id>
        </ext>
      </extLst>
    </cfRule>
  </conditionalFormatting>
  <conditionalFormatting sqref="O47:U62">
    <cfRule type="colorScale" priority="10">
      <colorScale>
        <cfvo type="min"/>
        <cfvo type="max"/>
        <color rgb="FFFCFCFF"/>
        <color rgb="FF63BE7B"/>
      </colorScale>
    </cfRule>
  </conditionalFormatting>
  <conditionalFormatting sqref="AA47:AG62">
    <cfRule type="colorScale" priority="9">
      <colorScale>
        <cfvo type="min"/>
        <cfvo type="max"/>
        <color rgb="FFFFEF9C"/>
        <color rgb="FF63BE7B"/>
      </colorScale>
    </cfRule>
  </conditionalFormatting>
  <conditionalFormatting sqref="AH47:AH62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{B972A791-A0C3-49F6-B4AD-7E015F0C3941}</x14:id>
        </ext>
      </extLst>
    </cfRule>
  </conditionalFormatting>
  <conditionalFormatting sqref="AI47:AO62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EF44E0-7777-4BDC-91C5-BC61676E29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N11:N26</xm:sqref>
        </x14:conditionalFormatting>
        <x14:conditionalFormatting xmlns:xm="http://schemas.microsoft.com/office/excel/2006/main">
          <x14:cfRule type="dataBar" id="{822F0A8E-FDA1-45E4-99AF-FC2EA769FD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AH11:AH26</xm:sqref>
        </x14:conditionalFormatting>
        <x14:conditionalFormatting xmlns:xm="http://schemas.microsoft.com/office/excel/2006/main">
          <x14:cfRule type="dataBar" id="{AA69B505-C240-4F8E-B374-220B84175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N29:N44</xm:sqref>
        </x14:conditionalFormatting>
        <x14:conditionalFormatting xmlns:xm="http://schemas.microsoft.com/office/excel/2006/main">
          <x14:cfRule type="dataBar" id="{B1AEF84E-31E4-4CB0-956F-6E282EA23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AH29:AH44</xm:sqref>
        </x14:conditionalFormatting>
        <x14:conditionalFormatting xmlns:xm="http://schemas.microsoft.com/office/excel/2006/main">
          <x14:cfRule type="dataBar" id="{ABC9CF90-98B7-41E0-85B2-327A7B3ABC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N47:N62</xm:sqref>
        </x14:conditionalFormatting>
        <x14:conditionalFormatting xmlns:xm="http://schemas.microsoft.com/office/excel/2006/main">
          <x14:cfRule type="dataBar" id="{B972A791-A0C3-49F6-B4AD-7E015F0C39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AH47:AH62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9"/>
  <sheetViews>
    <sheetView workbookViewId="0">
      <pane ySplit="1" topLeftCell="A2" activePane="bottomLeft" state="frozen"/>
      <selection pane="bottomLeft" activeCell="E8" sqref="E8"/>
    </sheetView>
  </sheetViews>
  <sheetFormatPr baseColWidth="10" defaultRowHeight="15" x14ac:dyDescent="0.25"/>
  <cols>
    <col min="1" max="1" width="5.140625" style="1" customWidth="1"/>
    <col min="2" max="2" width="5.5703125" style="1" bestFit="1" customWidth="1"/>
    <col min="3" max="4" width="4.5703125" style="1" bestFit="1" customWidth="1"/>
    <col min="5" max="8" width="3.5703125" style="1" bestFit="1" customWidth="1"/>
    <col min="9" max="9" width="7" style="1" bestFit="1" customWidth="1"/>
    <col min="10" max="10" width="14.5703125" style="1" bestFit="1" customWidth="1"/>
    <col min="11" max="11" width="5.5703125" style="1" bestFit="1" customWidth="1"/>
    <col min="12" max="13" width="5.7109375" style="1" bestFit="1" customWidth="1"/>
    <col min="14" max="14" width="9.140625" style="1" bestFit="1" customWidth="1"/>
  </cols>
  <sheetData>
    <row r="1" spans="1:15" x14ac:dyDescent="0.25">
      <c r="A1" s="4" t="s">
        <v>59</v>
      </c>
      <c r="B1" s="4" t="s">
        <v>57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58</v>
      </c>
      <c r="K1" s="4" t="s">
        <v>46</v>
      </c>
      <c r="L1" s="4" t="s">
        <v>47</v>
      </c>
      <c r="M1" s="4" t="s">
        <v>52</v>
      </c>
      <c r="N1" s="4" t="s">
        <v>53</v>
      </c>
      <c r="O1" s="4" t="s">
        <v>75</v>
      </c>
    </row>
    <row r="2" spans="1:15" x14ac:dyDescent="0.25">
      <c r="A2" s="1" t="s">
        <v>60</v>
      </c>
      <c r="B2" s="14">
        <v>21</v>
      </c>
      <c r="C2" s="11">
        <v>16</v>
      </c>
      <c r="D2" s="7">
        <v>9</v>
      </c>
      <c r="E2" s="11">
        <v>0</v>
      </c>
      <c r="F2" s="7">
        <v>0</v>
      </c>
      <c r="G2" s="11">
        <v>0</v>
      </c>
      <c r="H2" s="7">
        <v>0</v>
      </c>
      <c r="I2" s="11" t="s">
        <v>61</v>
      </c>
      <c r="J2" s="15">
        <v>9950000</v>
      </c>
      <c r="K2" s="1">
        <v>62</v>
      </c>
      <c r="L2" s="1">
        <v>30</v>
      </c>
      <c r="M2" s="1">
        <v>0</v>
      </c>
      <c r="N2" s="3">
        <f t="shared" ref="N2:N49" si="0">SUM(K2:M2)</f>
        <v>92</v>
      </c>
      <c r="O2" s="16">
        <f t="shared" ref="O2:O49" si="1">J2/N2</f>
        <v>108152.17391304347</v>
      </c>
    </row>
    <row r="3" spans="1:15" x14ac:dyDescent="0.25">
      <c r="A3" s="1" t="s">
        <v>60</v>
      </c>
      <c r="B3" s="14">
        <v>20</v>
      </c>
      <c r="C3" s="11">
        <v>16</v>
      </c>
      <c r="D3" s="7">
        <v>4</v>
      </c>
      <c r="E3" s="11">
        <v>0</v>
      </c>
      <c r="F3" s="7">
        <v>0</v>
      </c>
      <c r="G3" s="11">
        <v>0</v>
      </c>
      <c r="H3" s="7">
        <v>0</v>
      </c>
      <c r="I3" s="11" t="s">
        <v>61</v>
      </c>
      <c r="J3" s="15">
        <v>6500000</v>
      </c>
      <c r="K3" s="1">
        <v>62</v>
      </c>
      <c r="L3" s="1">
        <v>6</v>
      </c>
      <c r="M3" s="1">
        <v>0</v>
      </c>
      <c r="N3" s="3">
        <f t="shared" si="0"/>
        <v>68</v>
      </c>
      <c r="O3" s="16">
        <f t="shared" si="1"/>
        <v>95588.23529411765</v>
      </c>
    </row>
    <row r="4" spans="1:15" x14ac:dyDescent="0.25">
      <c r="A4" s="1" t="s">
        <v>60</v>
      </c>
      <c r="B4" s="14">
        <v>21</v>
      </c>
      <c r="C4" s="11">
        <v>16</v>
      </c>
      <c r="D4" s="7">
        <v>2</v>
      </c>
      <c r="E4" s="11">
        <v>0</v>
      </c>
      <c r="F4" s="7">
        <v>0</v>
      </c>
      <c r="G4" s="11">
        <v>0</v>
      </c>
      <c r="H4" s="7">
        <v>0</v>
      </c>
      <c r="I4" s="11" t="s">
        <v>72</v>
      </c>
      <c r="J4" s="15">
        <v>6613000</v>
      </c>
      <c r="K4" s="1">
        <v>62</v>
      </c>
      <c r="L4" s="1">
        <v>0</v>
      </c>
      <c r="M4" s="1">
        <v>2</v>
      </c>
      <c r="N4" s="3">
        <f t="shared" si="0"/>
        <v>64</v>
      </c>
      <c r="O4" s="16">
        <f t="shared" si="1"/>
        <v>103328.125</v>
      </c>
    </row>
    <row r="5" spans="1:15" x14ac:dyDescent="0.25">
      <c r="A5" s="1" t="s">
        <v>60</v>
      </c>
      <c r="B5" s="14">
        <v>21</v>
      </c>
      <c r="C5" s="11">
        <v>15</v>
      </c>
      <c r="D5" s="7">
        <v>8</v>
      </c>
      <c r="E5" s="11">
        <v>0</v>
      </c>
      <c r="F5" s="7">
        <v>0</v>
      </c>
      <c r="G5" s="11">
        <v>0</v>
      </c>
      <c r="H5" s="7">
        <v>0</v>
      </c>
      <c r="I5" s="11" t="s">
        <v>69</v>
      </c>
      <c r="J5" s="15">
        <v>9078000</v>
      </c>
      <c r="K5" s="1">
        <v>52</v>
      </c>
      <c r="L5" s="1">
        <v>24</v>
      </c>
      <c r="M5" s="1">
        <v>15</v>
      </c>
      <c r="N5" s="3">
        <f t="shared" si="0"/>
        <v>91</v>
      </c>
      <c r="O5" s="16">
        <f t="shared" si="1"/>
        <v>99758.241758241755</v>
      </c>
    </row>
    <row r="6" spans="1:15" x14ac:dyDescent="0.25">
      <c r="A6" s="1" t="s">
        <v>60</v>
      </c>
      <c r="B6" s="14">
        <v>21</v>
      </c>
      <c r="C6" s="11">
        <v>15</v>
      </c>
      <c r="D6" s="7">
        <v>8</v>
      </c>
      <c r="E6" s="11">
        <v>0</v>
      </c>
      <c r="F6" s="7">
        <v>0</v>
      </c>
      <c r="G6" s="11">
        <v>0</v>
      </c>
      <c r="H6" s="7">
        <v>0</v>
      </c>
      <c r="I6" s="11" t="s">
        <v>62</v>
      </c>
      <c r="J6" s="15">
        <v>8300000</v>
      </c>
      <c r="K6" s="1">
        <v>52</v>
      </c>
      <c r="L6" s="1">
        <v>24</v>
      </c>
      <c r="M6" s="1">
        <v>6</v>
      </c>
      <c r="N6" s="3">
        <f t="shared" si="0"/>
        <v>82</v>
      </c>
      <c r="O6" s="16">
        <f t="shared" si="1"/>
        <v>101219.51219512195</v>
      </c>
    </row>
    <row r="7" spans="1:15" x14ac:dyDescent="0.25">
      <c r="A7" s="1" t="s">
        <v>60</v>
      </c>
      <c r="B7" s="14">
        <v>21</v>
      </c>
      <c r="C7" s="11">
        <v>15</v>
      </c>
      <c r="D7" s="7">
        <v>6</v>
      </c>
      <c r="E7" s="11">
        <v>0</v>
      </c>
      <c r="F7" s="7">
        <v>0</v>
      </c>
      <c r="G7" s="11">
        <v>0</v>
      </c>
      <c r="H7" s="7">
        <v>0</v>
      </c>
      <c r="I7" s="11" t="s">
        <v>61</v>
      </c>
      <c r="J7" s="15">
        <v>6739500</v>
      </c>
      <c r="K7" s="1">
        <v>52</v>
      </c>
      <c r="L7" s="1">
        <v>14</v>
      </c>
      <c r="M7" s="1">
        <v>0</v>
      </c>
      <c r="N7" s="3">
        <f t="shared" si="0"/>
        <v>66</v>
      </c>
      <c r="O7" s="16">
        <f t="shared" si="1"/>
        <v>102113.63636363637</v>
      </c>
    </row>
    <row r="8" spans="1:15" x14ac:dyDescent="0.25">
      <c r="A8" s="1" t="s">
        <v>60</v>
      </c>
      <c r="B8" s="14">
        <v>21</v>
      </c>
      <c r="C8" s="11">
        <v>15</v>
      </c>
      <c r="D8" s="7">
        <v>6</v>
      </c>
      <c r="E8" s="11">
        <v>0</v>
      </c>
      <c r="F8" s="7">
        <v>0</v>
      </c>
      <c r="G8" s="11">
        <v>0</v>
      </c>
      <c r="H8" s="7">
        <v>0</v>
      </c>
      <c r="I8" s="11" t="s">
        <v>65</v>
      </c>
      <c r="J8" s="15">
        <v>8000000</v>
      </c>
      <c r="K8" s="1">
        <v>52</v>
      </c>
      <c r="L8" s="1">
        <v>14</v>
      </c>
      <c r="M8" s="1">
        <v>5</v>
      </c>
      <c r="N8" s="3">
        <f t="shared" si="0"/>
        <v>71</v>
      </c>
      <c r="O8" s="16">
        <f t="shared" si="1"/>
        <v>112676.05633802817</v>
      </c>
    </row>
    <row r="9" spans="1:15" x14ac:dyDescent="0.25">
      <c r="A9" s="1" t="s">
        <v>60</v>
      </c>
      <c r="B9" s="14">
        <v>20</v>
      </c>
      <c r="C9" s="11">
        <v>15</v>
      </c>
      <c r="D9" s="7">
        <v>6</v>
      </c>
      <c r="E9" s="11">
        <v>0</v>
      </c>
      <c r="F9" s="7">
        <v>0</v>
      </c>
      <c r="G9" s="11">
        <v>0</v>
      </c>
      <c r="H9" s="7">
        <v>0</v>
      </c>
      <c r="I9" s="11" t="s">
        <v>70</v>
      </c>
      <c r="J9" s="15">
        <v>10100000</v>
      </c>
      <c r="K9" s="1">
        <v>52</v>
      </c>
      <c r="L9" s="1">
        <v>14</v>
      </c>
      <c r="M9" s="1">
        <v>12</v>
      </c>
      <c r="N9" s="3">
        <f t="shared" si="0"/>
        <v>78</v>
      </c>
      <c r="O9" s="16">
        <f t="shared" si="1"/>
        <v>129487.17948717948</v>
      </c>
    </row>
    <row r="10" spans="1:15" x14ac:dyDescent="0.25">
      <c r="A10" s="1" t="s">
        <v>60</v>
      </c>
      <c r="B10" s="14">
        <v>21</v>
      </c>
      <c r="C10" s="11">
        <v>15</v>
      </c>
      <c r="D10" s="7">
        <v>5</v>
      </c>
      <c r="E10" s="11">
        <v>0</v>
      </c>
      <c r="F10" s="7">
        <v>0</v>
      </c>
      <c r="G10" s="11">
        <v>0</v>
      </c>
      <c r="H10" s="7">
        <v>0</v>
      </c>
      <c r="I10" s="11" t="s">
        <v>61</v>
      </c>
      <c r="J10" s="15">
        <v>6234000</v>
      </c>
      <c r="K10" s="1">
        <v>52</v>
      </c>
      <c r="L10" s="1">
        <v>10</v>
      </c>
      <c r="M10" s="1">
        <v>0</v>
      </c>
      <c r="N10" s="3">
        <f t="shared" si="0"/>
        <v>62</v>
      </c>
      <c r="O10" s="16">
        <f t="shared" si="1"/>
        <v>100548.3870967742</v>
      </c>
    </row>
    <row r="11" spans="1:15" x14ac:dyDescent="0.25">
      <c r="A11" s="1" t="s">
        <v>60</v>
      </c>
      <c r="B11" s="14">
        <v>21</v>
      </c>
      <c r="C11" s="11">
        <v>15</v>
      </c>
      <c r="D11" s="7">
        <v>5</v>
      </c>
      <c r="E11" s="11">
        <v>0</v>
      </c>
      <c r="F11" s="7">
        <v>0</v>
      </c>
      <c r="G11" s="11">
        <v>0</v>
      </c>
      <c r="H11" s="7">
        <v>0</v>
      </c>
      <c r="I11" s="11" t="s">
        <v>66</v>
      </c>
      <c r="J11" s="15">
        <v>7864000</v>
      </c>
      <c r="K11" s="1">
        <v>52</v>
      </c>
      <c r="L11" s="1">
        <v>10</v>
      </c>
      <c r="M11" s="1">
        <v>10</v>
      </c>
      <c r="N11" s="3">
        <f t="shared" si="0"/>
        <v>72</v>
      </c>
      <c r="O11" s="16">
        <f t="shared" si="1"/>
        <v>109222.22222222222</v>
      </c>
    </row>
    <row r="12" spans="1:15" x14ac:dyDescent="0.25">
      <c r="A12" s="1" t="s">
        <v>60</v>
      </c>
      <c r="B12" s="14">
        <v>20</v>
      </c>
      <c r="C12" s="11">
        <v>15</v>
      </c>
      <c r="D12" s="7">
        <v>5</v>
      </c>
      <c r="E12" s="11">
        <v>0</v>
      </c>
      <c r="F12" s="7">
        <v>0</v>
      </c>
      <c r="G12" s="11">
        <v>0</v>
      </c>
      <c r="H12" s="7">
        <v>0</v>
      </c>
      <c r="I12" s="11" t="s">
        <v>69</v>
      </c>
      <c r="J12" s="15">
        <v>9365500</v>
      </c>
      <c r="K12" s="1">
        <v>52</v>
      </c>
      <c r="L12" s="1">
        <v>10</v>
      </c>
      <c r="M12" s="1">
        <v>15</v>
      </c>
      <c r="N12" s="3">
        <f t="shared" si="0"/>
        <v>77</v>
      </c>
      <c r="O12" s="16">
        <f t="shared" si="1"/>
        <v>121629.87012987013</v>
      </c>
    </row>
    <row r="13" spans="1:15" x14ac:dyDescent="0.25">
      <c r="A13" s="1" t="s">
        <v>60</v>
      </c>
      <c r="B13" s="14">
        <v>21</v>
      </c>
      <c r="C13" s="11">
        <v>15</v>
      </c>
      <c r="D13" s="7">
        <v>4</v>
      </c>
      <c r="E13" s="11">
        <v>0</v>
      </c>
      <c r="F13" s="7">
        <v>0</v>
      </c>
      <c r="G13" s="11">
        <v>0</v>
      </c>
      <c r="H13" s="7">
        <v>0</v>
      </c>
      <c r="I13" s="11" t="s">
        <v>61</v>
      </c>
      <c r="J13" s="15">
        <v>6090000</v>
      </c>
      <c r="K13" s="1">
        <v>52</v>
      </c>
      <c r="L13" s="1">
        <v>6</v>
      </c>
      <c r="M13" s="1">
        <v>0</v>
      </c>
      <c r="N13" s="3">
        <f t="shared" si="0"/>
        <v>58</v>
      </c>
      <c r="O13" s="16">
        <f t="shared" si="1"/>
        <v>105000</v>
      </c>
    </row>
    <row r="14" spans="1:15" x14ac:dyDescent="0.25">
      <c r="A14" s="1" t="s">
        <v>60</v>
      </c>
      <c r="B14" s="14">
        <v>21</v>
      </c>
      <c r="C14" s="11">
        <v>15</v>
      </c>
      <c r="D14" s="7">
        <v>4</v>
      </c>
      <c r="E14" s="11">
        <v>0</v>
      </c>
      <c r="F14" s="7">
        <v>0</v>
      </c>
      <c r="G14" s="11">
        <v>0</v>
      </c>
      <c r="H14" s="7">
        <v>0</v>
      </c>
      <c r="I14" s="11" t="s">
        <v>66</v>
      </c>
      <c r="J14" s="15">
        <v>7282000</v>
      </c>
      <c r="K14" s="1">
        <v>52</v>
      </c>
      <c r="L14" s="1">
        <v>6</v>
      </c>
      <c r="M14" s="1">
        <v>10</v>
      </c>
      <c r="N14" s="3">
        <f t="shared" si="0"/>
        <v>68</v>
      </c>
      <c r="O14" s="16">
        <f t="shared" si="1"/>
        <v>107088.23529411765</v>
      </c>
    </row>
    <row r="15" spans="1:15" x14ac:dyDescent="0.25">
      <c r="A15" s="1" t="s">
        <v>60</v>
      </c>
      <c r="B15" s="14">
        <v>20</v>
      </c>
      <c r="C15" s="11">
        <v>15</v>
      </c>
      <c r="D15" s="7">
        <v>4</v>
      </c>
      <c r="E15" s="11">
        <v>0</v>
      </c>
      <c r="F15" s="7">
        <v>0</v>
      </c>
      <c r="G15" s="11">
        <v>0</v>
      </c>
      <c r="H15" s="7">
        <v>0</v>
      </c>
      <c r="I15" s="11" t="s">
        <v>68</v>
      </c>
      <c r="J15" s="15">
        <v>7651000</v>
      </c>
      <c r="K15" s="1">
        <v>52</v>
      </c>
      <c r="L15" s="1">
        <v>6</v>
      </c>
      <c r="M15" s="1">
        <v>8</v>
      </c>
      <c r="N15" s="3">
        <f t="shared" si="0"/>
        <v>66</v>
      </c>
      <c r="O15" s="16">
        <f t="shared" si="1"/>
        <v>115924.24242424243</v>
      </c>
    </row>
    <row r="16" spans="1:15" x14ac:dyDescent="0.25">
      <c r="A16" s="1" t="s">
        <v>60</v>
      </c>
      <c r="B16" s="14">
        <v>19</v>
      </c>
      <c r="C16" s="11">
        <v>15</v>
      </c>
      <c r="D16" s="7">
        <v>4</v>
      </c>
      <c r="E16" s="11">
        <v>0</v>
      </c>
      <c r="F16" s="7">
        <v>0</v>
      </c>
      <c r="G16" s="11">
        <v>0</v>
      </c>
      <c r="H16" s="7">
        <v>0</v>
      </c>
      <c r="I16" s="11" t="s">
        <v>63</v>
      </c>
      <c r="J16" s="15">
        <v>8500000</v>
      </c>
      <c r="K16" s="1">
        <v>52</v>
      </c>
      <c r="L16" s="1">
        <v>6</v>
      </c>
      <c r="M16" s="1">
        <v>3</v>
      </c>
      <c r="N16" s="3">
        <f t="shared" si="0"/>
        <v>61</v>
      </c>
      <c r="O16" s="16">
        <f t="shared" si="1"/>
        <v>139344.26229508198</v>
      </c>
    </row>
    <row r="17" spans="1:15" x14ac:dyDescent="0.25">
      <c r="A17" s="1" t="s">
        <v>60</v>
      </c>
      <c r="B17" s="14">
        <v>19</v>
      </c>
      <c r="C17" s="11">
        <v>15</v>
      </c>
      <c r="D17" s="7">
        <v>4</v>
      </c>
      <c r="E17" s="11">
        <v>0</v>
      </c>
      <c r="F17" s="7">
        <v>0</v>
      </c>
      <c r="G17" s="11">
        <v>0</v>
      </c>
      <c r="H17" s="7">
        <v>0</v>
      </c>
      <c r="I17" s="11" t="s">
        <v>61</v>
      </c>
      <c r="J17" s="15">
        <v>8100000</v>
      </c>
      <c r="K17" s="1">
        <v>52</v>
      </c>
      <c r="L17" s="1">
        <v>6</v>
      </c>
      <c r="M17" s="1">
        <v>0</v>
      </c>
      <c r="N17" s="3">
        <f t="shared" si="0"/>
        <v>58</v>
      </c>
      <c r="O17" s="16">
        <f t="shared" si="1"/>
        <v>139655.1724137931</v>
      </c>
    </row>
    <row r="18" spans="1:15" x14ac:dyDescent="0.25">
      <c r="A18" s="1" t="s">
        <v>60</v>
      </c>
      <c r="B18" s="14">
        <v>21</v>
      </c>
      <c r="C18" s="11">
        <v>15</v>
      </c>
      <c r="D18" s="7">
        <v>3</v>
      </c>
      <c r="E18" s="11">
        <v>0</v>
      </c>
      <c r="F18" s="7">
        <v>0</v>
      </c>
      <c r="G18" s="11">
        <v>0</v>
      </c>
      <c r="H18" s="7">
        <v>0</v>
      </c>
      <c r="I18" s="11" t="s">
        <v>69</v>
      </c>
      <c r="J18" s="15">
        <v>7700000</v>
      </c>
      <c r="K18" s="1">
        <v>52</v>
      </c>
      <c r="L18" s="1">
        <v>3</v>
      </c>
      <c r="M18" s="1">
        <v>15</v>
      </c>
      <c r="N18" s="3">
        <f t="shared" si="0"/>
        <v>70</v>
      </c>
      <c r="O18" s="16">
        <f t="shared" si="1"/>
        <v>110000</v>
      </c>
    </row>
    <row r="19" spans="1:15" x14ac:dyDescent="0.25">
      <c r="A19" s="1" t="s">
        <v>60</v>
      </c>
      <c r="B19" s="14">
        <v>19</v>
      </c>
      <c r="C19" s="11">
        <v>15</v>
      </c>
      <c r="D19" s="7">
        <v>3</v>
      </c>
      <c r="E19" s="11">
        <v>0</v>
      </c>
      <c r="F19" s="7">
        <v>0</v>
      </c>
      <c r="G19" s="11">
        <v>0</v>
      </c>
      <c r="H19" s="7">
        <v>0</v>
      </c>
      <c r="I19" s="11" t="s">
        <v>61</v>
      </c>
      <c r="J19" s="15">
        <v>6237000</v>
      </c>
      <c r="K19" s="1">
        <v>52</v>
      </c>
      <c r="L19" s="1">
        <v>3</v>
      </c>
      <c r="M19" s="1">
        <v>0</v>
      </c>
      <c r="N19" s="3">
        <f t="shared" si="0"/>
        <v>55</v>
      </c>
      <c r="O19" s="16">
        <f t="shared" si="1"/>
        <v>113400</v>
      </c>
    </row>
    <row r="20" spans="1:15" x14ac:dyDescent="0.25">
      <c r="A20" s="1" t="s">
        <v>60</v>
      </c>
      <c r="B20" s="14">
        <v>20</v>
      </c>
      <c r="C20" s="11">
        <v>15</v>
      </c>
      <c r="D20" s="7">
        <v>2</v>
      </c>
      <c r="E20" s="11">
        <v>0</v>
      </c>
      <c r="F20" s="7">
        <v>0</v>
      </c>
      <c r="G20" s="11">
        <v>0</v>
      </c>
      <c r="H20" s="7">
        <v>0</v>
      </c>
      <c r="I20" s="11" t="s">
        <v>61</v>
      </c>
      <c r="J20" s="15">
        <v>6245000</v>
      </c>
      <c r="K20" s="1">
        <v>52</v>
      </c>
      <c r="L20" s="1">
        <v>0</v>
      </c>
      <c r="M20" s="1">
        <v>0</v>
      </c>
      <c r="N20" s="3">
        <f t="shared" si="0"/>
        <v>52</v>
      </c>
      <c r="O20" s="16">
        <f t="shared" si="1"/>
        <v>120096.15384615384</v>
      </c>
    </row>
    <row r="21" spans="1:15" x14ac:dyDescent="0.25">
      <c r="A21" s="1" t="s">
        <v>60</v>
      </c>
      <c r="B21" s="14">
        <v>20</v>
      </c>
      <c r="C21" s="11">
        <v>15</v>
      </c>
      <c r="D21" s="7">
        <v>0</v>
      </c>
      <c r="E21" s="11">
        <v>0</v>
      </c>
      <c r="F21" s="7">
        <v>0</v>
      </c>
      <c r="G21" s="11">
        <v>0</v>
      </c>
      <c r="H21" s="7">
        <v>0</v>
      </c>
      <c r="I21" s="11" t="s">
        <v>61</v>
      </c>
      <c r="J21" s="15">
        <v>7228500</v>
      </c>
      <c r="K21" s="1">
        <v>52</v>
      </c>
      <c r="L21" s="1">
        <v>0</v>
      </c>
      <c r="M21" s="1">
        <v>0</v>
      </c>
      <c r="N21" s="3">
        <f t="shared" si="0"/>
        <v>52</v>
      </c>
      <c r="O21" s="16">
        <f t="shared" si="1"/>
        <v>139009.61538461538</v>
      </c>
    </row>
    <row r="22" spans="1:15" x14ac:dyDescent="0.25">
      <c r="A22" s="1" t="s">
        <v>60</v>
      </c>
      <c r="B22" s="14">
        <v>21</v>
      </c>
      <c r="C22" s="11">
        <v>14</v>
      </c>
      <c r="D22" s="7">
        <v>11</v>
      </c>
      <c r="E22" s="11">
        <v>0</v>
      </c>
      <c r="F22" s="7">
        <v>0</v>
      </c>
      <c r="G22" s="11">
        <v>0</v>
      </c>
      <c r="H22" s="7">
        <v>0</v>
      </c>
      <c r="I22" s="11" t="s">
        <v>63</v>
      </c>
      <c r="J22" s="15">
        <v>7482000</v>
      </c>
      <c r="K22" s="1">
        <v>44</v>
      </c>
      <c r="L22" s="1">
        <v>46</v>
      </c>
      <c r="M22" s="1">
        <v>3</v>
      </c>
      <c r="N22" s="3">
        <f t="shared" si="0"/>
        <v>93</v>
      </c>
      <c r="O22" s="16">
        <f t="shared" si="1"/>
        <v>80451.612903225803</v>
      </c>
    </row>
    <row r="23" spans="1:15" x14ac:dyDescent="0.25">
      <c r="A23" s="1" t="s">
        <v>60</v>
      </c>
      <c r="B23" s="14">
        <v>20</v>
      </c>
      <c r="C23" s="11">
        <v>14</v>
      </c>
      <c r="D23" s="7">
        <v>10</v>
      </c>
      <c r="E23" s="11">
        <v>0</v>
      </c>
      <c r="F23" s="7">
        <v>0</v>
      </c>
      <c r="G23" s="11">
        <v>0</v>
      </c>
      <c r="H23" s="7">
        <v>0</v>
      </c>
      <c r="I23" s="11" t="s">
        <v>74</v>
      </c>
      <c r="J23" s="15">
        <v>6881000</v>
      </c>
      <c r="K23" s="1">
        <v>44</v>
      </c>
      <c r="L23" s="1">
        <v>37</v>
      </c>
      <c r="M23" s="1">
        <v>7</v>
      </c>
      <c r="N23" s="3">
        <f t="shared" si="0"/>
        <v>88</v>
      </c>
      <c r="O23" s="16">
        <f t="shared" si="1"/>
        <v>78193.181818181823</v>
      </c>
    </row>
    <row r="24" spans="1:15" x14ac:dyDescent="0.25">
      <c r="A24" s="1" t="s">
        <v>60</v>
      </c>
      <c r="B24" s="14">
        <v>21</v>
      </c>
      <c r="C24" s="11">
        <v>14</v>
      </c>
      <c r="D24" s="7">
        <v>8</v>
      </c>
      <c r="E24" s="11">
        <v>0</v>
      </c>
      <c r="F24" s="7">
        <v>0</v>
      </c>
      <c r="G24" s="11">
        <v>0</v>
      </c>
      <c r="H24" s="7">
        <v>0</v>
      </c>
      <c r="I24" s="11" t="s">
        <v>64</v>
      </c>
      <c r="J24" s="15">
        <v>7407500</v>
      </c>
      <c r="K24" s="1">
        <v>44</v>
      </c>
      <c r="L24" s="1">
        <v>24</v>
      </c>
      <c r="M24" s="1">
        <v>4</v>
      </c>
      <c r="N24" s="3">
        <f t="shared" si="0"/>
        <v>72</v>
      </c>
      <c r="O24" s="16">
        <f t="shared" si="1"/>
        <v>102881.94444444444</v>
      </c>
    </row>
    <row r="25" spans="1:15" x14ac:dyDescent="0.25">
      <c r="A25" s="1" t="s">
        <v>60</v>
      </c>
      <c r="B25" s="14">
        <v>21</v>
      </c>
      <c r="C25" s="11">
        <v>14</v>
      </c>
      <c r="D25" s="7">
        <v>7</v>
      </c>
      <c r="E25" s="11">
        <v>0</v>
      </c>
      <c r="F25" s="7">
        <v>0</v>
      </c>
      <c r="G25" s="11">
        <v>0</v>
      </c>
      <c r="H25" s="7">
        <v>0</v>
      </c>
      <c r="I25" s="11" t="s">
        <v>62</v>
      </c>
      <c r="J25" s="15">
        <v>7500000</v>
      </c>
      <c r="K25" s="1">
        <v>44</v>
      </c>
      <c r="L25" s="1">
        <v>18</v>
      </c>
      <c r="M25" s="1">
        <v>6</v>
      </c>
      <c r="N25" s="3">
        <f t="shared" si="0"/>
        <v>68</v>
      </c>
      <c r="O25" s="16">
        <f t="shared" si="1"/>
        <v>110294.11764705883</v>
      </c>
    </row>
    <row r="26" spans="1:15" x14ac:dyDescent="0.25">
      <c r="A26" s="1" t="s">
        <v>60</v>
      </c>
      <c r="B26" s="14">
        <v>21</v>
      </c>
      <c r="C26" s="11">
        <v>14</v>
      </c>
      <c r="D26" s="7">
        <v>7</v>
      </c>
      <c r="E26" s="11">
        <v>0</v>
      </c>
      <c r="F26" s="7">
        <v>0</v>
      </c>
      <c r="G26" s="11">
        <v>0</v>
      </c>
      <c r="H26" s="7">
        <v>0</v>
      </c>
      <c r="I26" s="11" t="s">
        <v>66</v>
      </c>
      <c r="J26" s="15">
        <v>8280000</v>
      </c>
      <c r="K26" s="1">
        <v>44</v>
      </c>
      <c r="L26" s="1">
        <v>18</v>
      </c>
      <c r="M26" s="1">
        <v>10</v>
      </c>
      <c r="N26" s="3">
        <f t="shared" si="0"/>
        <v>72</v>
      </c>
      <c r="O26" s="16">
        <f t="shared" si="1"/>
        <v>115000</v>
      </c>
    </row>
    <row r="27" spans="1:15" x14ac:dyDescent="0.25">
      <c r="A27" s="1" t="s">
        <v>60</v>
      </c>
      <c r="B27" s="14">
        <v>21</v>
      </c>
      <c r="C27" s="11">
        <v>14</v>
      </c>
      <c r="D27" s="7">
        <v>6</v>
      </c>
      <c r="E27" s="11">
        <v>0</v>
      </c>
      <c r="F27" s="7">
        <v>0</v>
      </c>
      <c r="G27" s="11">
        <v>0</v>
      </c>
      <c r="H27" s="7">
        <v>0</v>
      </c>
      <c r="I27" s="11" t="s">
        <v>65</v>
      </c>
      <c r="J27" s="15">
        <v>6423000</v>
      </c>
      <c r="K27" s="1">
        <v>44</v>
      </c>
      <c r="L27" s="1">
        <v>14</v>
      </c>
      <c r="M27" s="1">
        <v>5</v>
      </c>
      <c r="N27" s="3">
        <f t="shared" si="0"/>
        <v>63</v>
      </c>
      <c r="O27" s="16">
        <f t="shared" si="1"/>
        <v>101952.38095238095</v>
      </c>
    </row>
    <row r="28" spans="1:15" x14ac:dyDescent="0.25">
      <c r="A28" s="1" t="s">
        <v>60</v>
      </c>
      <c r="B28" s="14">
        <v>21</v>
      </c>
      <c r="C28" s="11">
        <v>14</v>
      </c>
      <c r="D28" s="7">
        <v>6</v>
      </c>
      <c r="E28" s="11">
        <v>0</v>
      </c>
      <c r="F28" s="7">
        <v>0</v>
      </c>
      <c r="G28" s="11">
        <v>0</v>
      </c>
      <c r="H28" s="7">
        <v>0</v>
      </c>
      <c r="I28" s="11" t="s">
        <v>63</v>
      </c>
      <c r="J28" s="15">
        <v>6667000</v>
      </c>
      <c r="K28" s="1">
        <v>44</v>
      </c>
      <c r="L28" s="1">
        <v>14</v>
      </c>
      <c r="M28" s="1">
        <v>3</v>
      </c>
      <c r="N28" s="3">
        <f t="shared" si="0"/>
        <v>61</v>
      </c>
      <c r="O28" s="16">
        <f t="shared" si="1"/>
        <v>109295.08196721312</v>
      </c>
    </row>
    <row r="29" spans="1:15" x14ac:dyDescent="0.25">
      <c r="A29" s="1" t="s">
        <v>60</v>
      </c>
      <c r="B29" s="14">
        <v>21</v>
      </c>
      <c r="C29" s="11">
        <v>14</v>
      </c>
      <c r="D29" s="7">
        <v>6</v>
      </c>
      <c r="E29" s="11">
        <v>0</v>
      </c>
      <c r="F29" s="7">
        <v>0</v>
      </c>
      <c r="G29" s="11">
        <v>0</v>
      </c>
      <c r="H29" s="7">
        <v>0</v>
      </c>
      <c r="I29" s="11" t="s">
        <v>67</v>
      </c>
      <c r="J29" s="15">
        <v>8300000</v>
      </c>
      <c r="K29" s="1">
        <v>44</v>
      </c>
      <c r="L29" s="1">
        <v>14</v>
      </c>
      <c r="M29" s="1">
        <v>13</v>
      </c>
      <c r="N29" s="3">
        <f t="shared" si="0"/>
        <v>71</v>
      </c>
      <c r="O29" s="16">
        <f t="shared" si="1"/>
        <v>116901.40845070423</v>
      </c>
    </row>
    <row r="30" spans="1:15" x14ac:dyDescent="0.25">
      <c r="A30" s="1" t="s">
        <v>60</v>
      </c>
      <c r="B30" s="14">
        <v>20</v>
      </c>
      <c r="C30" s="11">
        <v>14</v>
      </c>
      <c r="D30" s="7">
        <v>6</v>
      </c>
      <c r="E30" s="11">
        <v>0</v>
      </c>
      <c r="F30" s="7">
        <v>0</v>
      </c>
      <c r="G30" s="11">
        <v>0</v>
      </c>
      <c r="H30" s="7">
        <v>0</v>
      </c>
      <c r="I30" s="11" t="s">
        <v>64</v>
      </c>
      <c r="J30" s="15">
        <v>6588000</v>
      </c>
      <c r="K30" s="1">
        <v>44</v>
      </c>
      <c r="L30" s="1">
        <v>14</v>
      </c>
      <c r="M30" s="1">
        <v>4</v>
      </c>
      <c r="N30" s="3">
        <f t="shared" si="0"/>
        <v>62</v>
      </c>
      <c r="O30" s="16">
        <f t="shared" si="1"/>
        <v>106258.06451612903</v>
      </c>
    </row>
    <row r="31" spans="1:15" x14ac:dyDescent="0.25">
      <c r="A31" s="1" t="s">
        <v>60</v>
      </c>
      <c r="B31" s="14">
        <v>21</v>
      </c>
      <c r="C31" s="11">
        <v>14</v>
      </c>
      <c r="D31" s="7">
        <v>5</v>
      </c>
      <c r="E31" s="11">
        <v>0</v>
      </c>
      <c r="F31" s="7">
        <v>0</v>
      </c>
      <c r="G31" s="11">
        <v>0</v>
      </c>
      <c r="H31" s="7">
        <v>0</v>
      </c>
      <c r="I31" s="11" t="s">
        <v>71</v>
      </c>
      <c r="J31" s="15">
        <v>6334000</v>
      </c>
      <c r="K31" s="1">
        <v>44</v>
      </c>
      <c r="L31" s="1">
        <v>10</v>
      </c>
      <c r="M31" s="1">
        <v>7</v>
      </c>
      <c r="N31" s="3">
        <f t="shared" si="0"/>
        <v>61</v>
      </c>
      <c r="O31" s="16">
        <f t="shared" si="1"/>
        <v>103836.06557377049</v>
      </c>
    </row>
    <row r="32" spans="1:15" x14ac:dyDescent="0.25">
      <c r="A32" s="1" t="s">
        <v>60</v>
      </c>
      <c r="B32" s="14">
        <v>19</v>
      </c>
      <c r="C32" s="11">
        <v>14</v>
      </c>
      <c r="D32" s="7">
        <v>5</v>
      </c>
      <c r="E32" s="11">
        <v>0</v>
      </c>
      <c r="F32" s="7">
        <v>0</v>
      </c>
      <c r="G32" s="11">
        <v>0</v>
      </c>
      <c r="H32" s="7">
        <v>0</v>
      </c>
      <c r="I32" s="11" t="s">
        <v>62</v>
      </c>
      <c r="J32" s="15">
        <v>6400000</v>
      </c>
      <c r="K32" s="1">
        <v>44</v>
      </c>
      <c r="L32" s="1">
        <v>10</v>
      </c>
      <c r="M32" s="1">
        <v>6</v>
      </c>
      <c r="N32" s="3">
        <f t="shared" si="0"/>
        <v>60</v>
      </c>
      <c r="O32" s="16">
        <f t="shared" si="1"/>
        <v>106666.66666666667</v>
      </c>
    </row>
    <row r="33" spans="1:15" x14ac:dyDescent="0.25">
      <c r="A33" s="1" t="s">
        <v>60</v>
      </c>
      <c r="B33" s="14">
        <v>21</v>
      </c>
      <c r="C33" s="11">
        <v>14</v>
      </c>
      <c r="D33" s="7">
        <v>4</v>
      </c>
      <c r="E33" s="11">
        <v>0</v>
      </c>
      <c r="F33" s="7">
        <v>0</v>
      </c>
      <c r="G33" s="11">
        <v>0</v>
      </c>
      <c r="H33" s="7">
        <v>0</v>
      </c>
      <c r="I33" s="11" t="s">
        <v>70</v>
      </c>
      <c r="J33" s="15">
        <v>7000000</v>
      </c>
      <c r="K33" s="1">
        <v>44</v>
      </c>
      <c r="L33" s="1">
        <v>6</v>
      </c>
      <c r="M33" s="1">
        <v>12</v>
      </c>
      <c r="N33" s="3">
        <f t="shared" si="0"/>
        <v>62</v>
      </c>
      <c r="O33" s="16">
        <f t="shared" si="1"/>
        <v>112903.22580645161</v>
      </c>
    </row>
    <row r="34" spans="1:15" x14ac:dyDescent="0.25">
      <c r="A34" s="1" t="s">
        <v>60</v>
      </c>
      <c r="B34" s="14">
        <v>20</v>
      </c>
      <c r="C34" s="11">
        <v>14</v>
      </c>
      <c r="D34" s="7">
        <v>4</v>
      </c>
      <c r="E34" s="11">
        <v>0</v>
      </c>
      <c r="F34" s="7">
        <v>0</v>
      </c>
      <c r="G34" s="11">
        <v>0</v>
      </c>
      <c r="H34" s="7">
        <v>0</v>
      </c>
      <c r="I34" s="11" t="s">
        <v>73</v>
      </c>
      <c r="J34" s="15">
        <v>8259000</v>
      </c>
      <c r="K34" s="1">
        <v>44</v>
      </c>
      <c r="L34" s="1">
        <v>6</v>
      </c>
      <c r="M34" s="1">
        <v>21</v>
      </c>
      <c r="N34" s="3">
        <f t="shared" si="0"/>
        <v>71</v>
      </c>
      <c r="O34" s="16">
        <f t="shared" si="1"/>
        <v>116323.94366197183</v>
      </c>
    </row>
    <row r="35" spans="1:15" x14ac:dyDescent="0.25">
      <c r="A35" s="1" t="s">
        <v>60</v>
      </c>
      <c r="B35" s="14">
        <v>20</v>
      </c>
      <c r="C35" s="11">
        <v>14</v>
      </c>
      <c r="D35" s="7">
        <v>4</v>
      </c>
      <c r="E35" s="11">
        <v>0</v>
      </c>
      <c r="F35" s="7">
        <v>0</v>
      </c>
      <c r="G35" s="11">
        <v>0</v>
      </c>
      <c r="H35" s="7">
        <v>0</v>
      </c>
      <c r="I35" s="11" t="s">
        <v>66</v>
      </c>
      <c r="J35" s="15">
        <v>8664000</v>
      </c>
      <c r="K35" s="1">
        <v>44</v>
      </c>
      <c r="L35" s="1">
        <v>6</v>
      </c>
      <c r="M35" s="1">
        <v>10</v>
      </c>
      <c r="N35" s="3">
        <f t="shared" si="0"/>
        <v>60</v>
      </c>
      <c r="O35" s="16">
        <f t="shared" si="1"/>
        <v>144400</v>
      </c>
    </row>
    <row r="36" spans="1:15" x14ac:dyDescent="0.25">
      <c r="A36" s="1" t="s">
        <v>60</v>
      </c>
      <c r="B36" s="14">
        <v>21</v>
      </c>
      <c r="C36" s="11">
        <v>14</v>
      </c>
      <c r="D36" s="7">
        <v>3</v>
      </c>
      <c r="E36" s="11">
        <v>0</v>
      </c>
      <c r="F36" s="7">
        <v>0</v>
      </c>
      <c r="G36" s="11">
        <v>0</v>
      </c>
      <c r="H36" s="7">
        <v>0</v>
      </c>
      <c r="I36" s="11" t="s">
        <v>71</v>
      </c>
      <c r="J36" s="15">
        <v>5463000</v>
      </c>
      <c r="K36" s="1">
        <v>44</v>
      </c>
      <c r="L36" s="1">
        <v>3</v>
      </c>
      <c r="M36" s="1">
        <v>7</v>
      </c>
      <c r="N36" s="3">
        <f t="shared" si="0"/>
        <v>54</v>
      </c>
      <c r="O36" s="16">
        <f t="shared" si="1"/>
        <v>101166.66666666667</v>
      </c>
    </row>
    <row r="37" spans="1:15" x14ac:dyDescent="0.25">
      <c r="A37" s="1" t="s">
        <v>60</v>
      </c>
      <c r="B37" s="14">
        <v>20</v>
      </c>
      <c r="C37" s="11">
        <v>14</v>
      </c>
      <c r="D37" s="7">
        <v>3</v>
      </c>
      <c r="E37" s="11">
        <v>0</v>
      </c>
      <c r="F37" s="7">
        <v>0</v>
      </c>
      <c r="G37" s="11">
        <v>0</v>
      </c>
      <c r="H37" s="7">
        <v>0</v>
      </c>
      <c r="I37" s="11" t="s">
        <v>62</v>
      </c>
      <c r="J37" s="15">
        <v>5652000</v>
      </c>
      <c r="K37" s="1">
        <v>44</v>
      </c>
      <c r="L37" s="1">
        <v>3</v>
      </c>
      <c r="M37" s="1">
        <v>6</v>
      </c>
      <c r="N37" s="3">
        <f t="shared" si="0"/>
        <v>53</v>
      </c>
      <c r="O37" s="16">
        <f t="shared" si="1"/>
        <v>106641.50943396226</v>
      </c>
    </row>
    <row r="38" spans="1:15" x14ac:dyDescent="0.25">
      <c r="A38" s="1" t="s">
        <v>60</v>
      </c>
      <c r="B38" s="14">
        <v>20</v>
      </c>
      <c r="C38" s="11">
        <v>14</v>
      </c>
      <c r="D38" s="7">
        <v>3</v>
      </c>
      <c r="E38" s="11">
        <v>0</v>
      </c>
      <c r="F38" s="7">
        <v>0</v>
      </c>
      <c r="G38" s="11">
        <v>0</v>
      </c>
      <c r="H38" s="7">
        <v>0</v>
      </c>
      <c r="I38" s="11" t="s">
        <v>69</v>
      </c>
      <c r="J38" s="15">
        <v>8021500</v>
      </c>
      <c r="K38" s="1">
        <v>44</v>
      </c>
      <c r="L38" s="1">
        <v>3</v>
      </c>
      <c r="M38" s="1">
        <v>15</v>
      </c>
      <c r="N38" s="3">
        <f t="shared" si="0"/>
        <v>62</v>
      </c>
      <c r="O38" s="16">
        <f t="shared" si="1"/>
        <v>129379.03225806452</v>
      </c>
    </row>
    <row r="39" spans="1:15" x14ac:dyDescent="0.25">
      <c r="A39" s="1" t="s">
        <v>60</v>
      </c>
      <c r="B39" s="14">
        <v>21</v>
      </c>
      <c r="C39" s="11">
        <v>14</v>
      </c>
      <c r="D39" s="7">
        <v>2</v>
      </c>
      <c r="E39" s="11">
        <v>0</v>
      </c>
      <c r="F39" s="7">
        <v>0</v>
      </c>
      <c r="G39" s="11">
        <v>0</v>
      </c>
      <c r="H39" s="7">
        <v>0</v>
      </c>
      <c r="I39" s="11" t="s">
        <v>63</v>
      </c>
      <c r="J39" s="15">
        <v>5413000</v>
      </c>
      <c r="K39" s="1">
        <v>44</v>
      </c>
      <c r="L39" s="1">
        <v>0</v>
      </c>
      <c r="M39" s="1">
        <v>3</v>
      </c>
      <c r="N39" s="3">
        <f t="shared" si="0"/>
        <v>47</v>
      </c>
      <c r="O39" s="16">
        <f t="shared" si="1"/>
        <v>115170.21276595745</v>
      </c>
    </row>
    <row r="40" spans="1:15" x14ac:dyDescent="0.25">
      <c r="A40" s="1" t="s">
        <v>60</v>
      </c>
      <c r="B40" s="14">
        <v>20</v>
      </c>
      <c r="C40" s="11">
        <v>14</v>
      </c>
      <c r="D40" s="7">
        <v>2</v>
      </c>
      <c r="E40" s="11">
        <v>0</v>
      </c>
      <c r="F40" s="7">
        <v>0</v>
      </c>
      <c r="G40" s="11">
        <v>0</v>
      </c>
      <c r="H40" s="7">
        <v>0</v>
      </c>
      <c r="I40" s="11" t="s">
        <v>65</v>
      </c>
      <c r="J40" s="15">
        <v>5780000</v>
      </c>
      <c r="K40" s="1">
        <v>44</v>
      </c>
      <c r="L40" s="1">
        <v>0</v>
      </c>
      <c r="M40" s="1">
        <v>5</v>
      </c>
      <c r="N40" s="3">
        <f t="shared" si="0"/>
        <v>49</v>
      </c>
      <c r="O40" s="16">
        <f t="shared" si="1"/>
        <v>117959.18367346939</v>
      </c>
    </row>
    <row r="41" spans="1:15" x14ac:dyDescent="0.25">
      <c r="A41" s="1" t="s">
        <v>60</v>
      </c>
      <c r="B41" s="14">
        <v>20</v>
      </c>
      <c r="C41" s="11">
        <v>14</v>
      </c>
      <c r="D41" s="7">
        <v>2</v>
      </c>
      <c r="E41" s="11">
        <v>0</v>
      </c>
      <c r="F41" s="7">
        <v>0</v>
      </c>
      <c r="G41" s="11">
        <v>0</v>
      </c>
      <c r="H41" s="7">
        <v>0</v>
      </c>
      <c r="I41" s="11" t="s">
        <v>61</v>
      </c>
      <c r="J41" s="15">
        <v>5515000</v>
      </c>
      <c r="K41" s="1">
        <v>44</v>
      </c>
      <c r="L41" s="1">
        <v>0</v>
      </c>
      <c r="M41" s="1">
        <v>0</v>
      </c>
      <c r="N41" s="3">
        <f t="shared" si="0"/>
        <v>44</v>
      </c>
      <c r="O41" s="16">
        <f t="shared" si="1"/>
        <v>125340.90909090909</v>
      </c>
    </row>
    <row r="42" spans="1:15" x14ac:dyDescent="0.25">
      <c r="A42" s="1" t="s">
        <v>60</v>
      </c>
      <c r="B42" s="14">
        <v>20</v>
      </c>
      <c r="C42" s="11">
        <v>14</v>
      </c>
      <c r="D42" s="7">
        <v>2</v>
      </c>
      <c r="E42" s="11">
        <v>0</v>
      </c>
      <c r="F42" s="7">
        <v>0</v>
      </c>
      <c r="G42" s="11">
        <v>0</v>
      </c>
      <c r="H42" s="7">
        <v>0</v>
      </c>
      <c r="I42" s="11" t="s">
        <v>67</v>
      </c>
      <c r="J42" s="15">
        <v>7205000</v>
      </c>
      <c r="K42" s="1">
        <v>44</v>
      </c>
      <c r="L42" s="1">
        <v>0</v>
      </c>
      <c r="M42" s="1">
        <v>13</v>
      </c>
      <c r="N42" s="3">
        <f t="shared" si="0"/>
        <v>57</v>
      </c>
      <c r="O42" s="16">
        <f t="shared" si="1"/>
        <v>126403.50877192983</v>
      </c>
    </row>
    <row r="43" spans="1:15" x14ac:dyDescent="0.25">
      <c r="A43" s="1" t="s">
        <v>60</v>
      </c>
      <c r="B43" s="14">
        <v>19</v>
      </c>
      <c r="C43" s="11">
        <v>14</v>
      </c>
      <c r="D43" s="7">
        <v>2</v>
      </c>
      <c r="E43" s="11">
        <v>0</v>
      </c>
      <c r="F43" s="7">
        <v>0</v>
      </c>
      <c r="G43" s="11">
        <v>0</v>
      </c>
      <c r="H43" s="7">
        <v>0</v>
      </c>
      <c r="I43" s="11" t="s">
        <v>62</v>
      </c>
      <c r="J43" s="15">
        <v>5000000</v>
      </c>
      <c r="K43" s="1">
        <v>44</v>
      </c>
      <c r="L43" s="1">
        <v>0</v>
      </c>
      <c r="M43" s="1">
        <v>6</v>
      </c>
      <c r="N43" s="3">
        <f t="shared" si="0"/>
        <v>50</v>
      </c>
      <c r="O43" s="16">
        <f t="shared" si="1"/>
        <v>100000</v>
      </c>
    </row>
    <row r="44" spans="1:15" x14ac:dyDescent="0.25">
      <c r="A44" s="1" t="s">
        <v>60</v>
      </c>
      <c r="B44" s="14">
        <v>19</v>
      </c>
      <c r="C44" s="11">
        <v>14</v>
      </c>
      <c r="D44" s="7">
        <v>2</v>
      </c>
      <c r="E44" s="11">
        <v>0</v>
      </c>
      <c r="F44" s="7">
        <v>0</v>
      </c>
      <c r="G44" s="11">
        <v>0</v>
      </c>
      <c r="H44" s="7">
        <v>0</v>
      </c>
      <c r="I44" s="11" t="s">
        <v>61</v>
      </c>
      <c r="J44" s="15">
        <v>5500000</v>
      </c>
      <c r="K44" s="1">
        <v>44</v>
      </c>
      <c r="L44" s="1">
        <v>0</v>
      </c>
      <c r="M44" s="1">
        <v>0</v>
      </c>
      <c r="N44" s="3">
        <f t="shared" si="0"/>
        <v>44</v>
      </c>
      <c r="O44" s="16">
        <f t="shared" si="1"/>
        <v>125000</v>
      </c>
    </row>
    <row r="45" spans="1:15" x14ac:dyDescent="0.25">
      <c r="A45" s="1" t="s">
        <v>60</v>
      </c>
      <c r="B45" s="14">
        <v>20</v>
      </c>
      <c r="C45" s="11">
        <v>14</v>
      </c>
      <c r="D45" s="7">
        <v>1</v>
      </c>
      <c r="E45" s="11">
        <v>0</v>
      </c>
      <c r="F45" s="7">
        <v>0</v>
      </c>
      <c r="G45" s="11">
        <v>0</v>
      </c>
      <c r="H45" s="7">
        <v>0</v>
      </c>
      <c r="I45" s="11" t="s">
        <v>72</v>
      </c>
      <c r="J45" s="15">
        <v>5000000</v>
      </c>
      <c r="K45" s="1">
        <v>44</v>
      </c>
      <c r="L45" s="1">
        <v>0</v>
      </c>
      <c r="M45" s="1">
        <v>2</v>
      </c>
      <c r="N45" s="3">
        <f t="shared" si="0"/>
        <v>46</v>
      </c>
      <c r="O45" s="16">
        <f t="shared" si="1"/>
        <v>108695.65217391304</v>
      </c>
    </row>
    <row r="46" spans="1:15" x14ac:dyDescent="0.25">
      <c r="A46" s="1" t="s">
        <v>60</v>
      </c>
      <c r="B46" s="14">
        <v>20</v>
      </c>
      <c r="C46" s="11">
        <v>14</v>
      </c>
      <c r="D46" s="7">
        <v>1</v>
      </c>
      <c r="E46" s="11">
        <v>0</v>
      </c>
      <c r="F46" s="7">
        <v>0</v>
      </c>
      <c r="G46" s="11">
        <v>0</v>
      </c>
      <c r="H46" s="7">
        <v>0</v>
      </c>
      <c r="I46" s="11" t="s">
        <v>64</v>
      </c>
      <c r="J46" s="15">
        <v>5300000</v>
      </c>
      <c r="K46" s="1">
        <v>44</v>
      </c>
      <c r="L46" s="1">
        <v>0</v>
      </c>
      <c r="M46" s="1">
        <v>4</v>
      </c>
      <c r="N46" s="3">
        <f t="shared" si="0"/>
        <v>48</v>
      </c>
      <c r="O46" s="16">
        <f t="shared" si="1"/>
        <v>110416.66666666667</v>
      </c>
    </row>
    <row r="47" spans="1:15" x14ac:dyDescent="0.25">
      <c r="A47" s="1" t="s">
        <v>60</v>
      </c>
      <c r="B47" s="14">
        <v>20</v>
      </c>
      <c r="C47" s="11">
        <v>14</v>
      </c>
      <c r="D47" s="7">
        <v>1</v>
      </c>
      <c r="E47" s="11">
        <v>0</v>
      </c>
      <c r="F47" s="7">
        <v>0</v>
      </c>
      <c r="G47" s="11">
        <v>0</v>
      </c>
      <c r="H47" s="7">
        <v>0</v>
      </c>
      <c r="I47" s="11" t="s">
        <v>61</v>
      </c>
      <c r="J47" s="15">
        <v>5000000</v>
      </c>
      <c r="K47" s="1">
        <v>44</v>
      </c>
      <c r="L47" s="1">
        <v>0</v>
      </c>
      <c r="M47" s="1">
        <v>0</v>
      </c>
      <c r="N47" s="3">
        <f t="shared" si="0"/>
        <v>44</v>
      </c>
      <c r="O47" s="16">
        <f t="shared" si="1"/>
        <v>113636.36363636363</v>
      </c>
    </row>
    <row r="48" spans="1:15" x14ac:dyDescent="0.25">
      <c r="A48" s="1" t="s">
        <v>60</v>
      </c>
      <c r="B48" s="14">
        <v>19</v>
      </c>
      <c r="C48" s="11">
        <v>14</v>
      </c>
      <c r="D48" s="7">
        <v>1</v>
      </c>
      <c r="E48" s="11">
        <v>0</v>
      </c>
      <c r="F48" s="7">
        <v>0</v>
      </c>
      <c r="G48" s="11">
        <v>0</v>
      </c>
      <c r="H48" s="7">
        <v>0</v>
      </c>
      <c r="I48" s="11" t="s">
        <v>61</v>
      </c>
      <c r="J48" s="15">
        <v>5500000</v>
      </c>
      <c r="K48" s="1">
        <v>44</v>
      </c>
      <c r="L48" s="1">
        <v>0</v>
      </c>
      <c r="M48" s="1">
        <v>0</v>
      </c>
      <c r="N48" s="3">
        <f t="shared" si="0"/>
        <v>44</v>
      </c>
      <c r="O48" s="16">
        <f t="shared" si="1"/>
        <v>125000</v>
      </c>
    </row>
    <row r="49" spans="1:15" x14ac:dyDescent="0.25">
      <c r="A49" s="1" t="s">
        <v>60</v>
      </c>
      <c r="B49" s="14">
        <v>21</v>
      </c>
      <c r="C49" s="11">
        <v>14</v>
      </c>
      <c r="D49" s="7">
        <v>0</v>
      </c>
      <c r="E49" s="11">
        <v>0</v>
      </c>
      <c r="F49" s="7">
        <v>0</v>
      </c>
      <c r="G49" s="11">
        <v>0</v>
      </c>
      <c r="H49" s="7">
        <v>0</v>
      </c>
      <c r="I49" s="11" t="s">
        <v>63</v>
      </c>
      <c r="J49" s="15">
        <v>4900000</v>
      </c>
      <c r="K49" s="1">
        <v>44</v>
      </c>
      <c r="L49" s="1">
        <v>0</v>
      </c>
      <c r="M49" s="1">
        <v>3</v>
      </c>
      <c r="N49" s="3">
        <f t="shared" si="0"/>
        <v>47</v>
      </c>
      <c r="O49" s="16">
        <f t="shared" si="1"/>
        <v>104255.31914893616</v>
      </c>
    </row>
  </sheetData>
  <sortState ref="A2:O49">
    <sortCondition descending="1" ref="C2:C49"/>
    <sortCondition descending="1" ref="D2:D49"/>
    <sortCondition descending="1" ref="B2:B49"/>
  </sortState>
  <conditionalFormatting sqref="C46:I46">
    <cfRule type="colorScale" priority="38">
      <colorScale>
        <cfvo type="min"/>
        <cfvo type="max"/>
        <color rgb="FFFFEF9C"/>
        <color rgb="FF63BE7B"/>
      </colorScale>
    </cfRule>
  </conditionalFormatting>
  <conditionalFormatting sqref="C39:H39">
    <cfRule type="colorScale" priority="37">
      <colorScale>
        <cfvo type="min"/>
        <cfvo type="max"/>
        <color rgb="FFFFEF9C"/>
        <color rgb="FF63BE7B"/>
      </colorScale>
    </cfRule>
  </conditionalFormatting>
  <conditionalFormatting sqref="I39">
    <cfRule type="colorScale" priority="36">
      <colorScale>
        <cfvo type="min"/>
        <cfvo type="max"/>
        <color rgb="FFFFEF9C"/>
        <color rgb="FF63BE7B"/>
      </colorScale>
    </cfRule>
  </conditionalFormatting>
  <conditionalFormatting sqref="C41:H41">
    <cfRule type="colorScale" priority="35">
      <colorScale>
        <cfvo type="min"/>
        <cfvo type="max"/>
        <color rgb="FFFFEF9C"/>
        <color rgb="FF63BE7B"/>
      </colorScale>
    </cfRule>
  </conditionalFormatting>
  <conditionalFormatting sqref="I41">
    <cfRule type="colorScale" priority="34">
      <colorScale>
        <cfvo type="min"/>
        <cfvo type="max"/>
        <color rgb="FFFFEF9C"/>
        <color rgb="FF63BE7B"/>
      </colorScale>
    </cfRule>
  </conditionalFormatting>
  <conditionalFormatting sqref="C2:I38 C40:I40 C42:I45 C47:I49">
    <cfRule type="colorScale" priority="4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BE97-3E05-4988-B0E0-E2FB5C86C3CE}">
  <dimension ref="A1:A145"/>
  <sheetViews>
    <sheetView topLeftCell="A37" workbookViewId="0">
      <selection activeCell="A67" sqref="A67"/>
    </sheetView>
  </sheetViews>
  <sheetFormatPr baseColWidth="10" defaultRowHeight="15" x14ac:dyDescent="0.25"/>
  <cols>
    <col min="1" max="1" width="23.140625" customWidth="1"/>
  </cols>
  <sheetData>
    <row r="1" spans="1:1" x14ac:dyDescent="0.25">
      <c r="A1" s="26" t="s">
        <v>103</v>
      </c>
    </row>
    <row r="3" spans="1:1" x14ac:dyDescent="0.25">
      <c r="A3" t="s">
        <v>104</v>
      </c>
    </row>
    <row r="4" spans="1:1" x14ac:dyDescent="0.25">
      <c r="A4" t="s">
        <v>105</v>
      </c>
    </row>
    <row r="6" spans="1:1" x14ac:dyDescent="0.25">
      <c r="A6" t="s">
        <v>106</v>
      </c>
    </row>
    <row r="8" spans="1:1" x14ac:dyDescent="0.25">
      <c r="A8" t="s">
        <v>107</v>
      </c>
    </row>
    <row r="10" spans="1:1" x14ac:dyDescent="0.25">
      <c r="A10" t="s">
        <v>108</v>
      </c>
    </row>
    <row r="12" spans="1:1" x14ac:dyDescent="0.25">
      <c r="A12" t="s">
        <v>109</v>
      </c>
    </row>
    <row r="13" spans="1:1" x14ac:dyDescent="0.25">
      <c r="A13" t="s">
        <v>110</v>
      </c>
    </row>
    <row r="15" spans="1:1" x14ac:dyDescent="0.25">
      <c r="A15" t="s">
        <v>107</v>
      </c>
    </row>
    <row r="17" spans="1:1" x14ac:dyDescent="0.25">
      <c r="A17" t="s">
        <v>111</v>
      </c>
    </row>
    <row r="19" spans="1:1" x14ac:dyDescent="0.25">
      <c r="A19" s="25" t="s">
        <v>112</v>
      </c>
    </row>
    <row r="21" spans="1:1" x14ac:dyDescent="0.25">
      <c r="A21" t="s">
        <v>113</v>
      </c>
    </row>
    <row r="22" spans="1:1" x14ac:dyDescent="0.25">
      <c r="A22" t="s">
        <v>114</v>
      </c>
    </row>
    <row r="24" spans="1:1" x14ac:dyDescent="0.25">
      <c r="A24" t="s">
        <v>115</v>
      </c>
    </row>
    <row r="26" spans="1:1" x14ac:dyDescent="0.25">
      <c r="A26" t="s">
        <v>107</v>
      </c>
    </row>
    <row r="28" spans="1:1" x14ac:dyDescent="0.25">
      <c r="A28" t="s">
        <v>116</v>
      </c>
    </row>
    <row r="30" spans="1:1" x14ac:dyDescent="0.25">
      <c r="A30" t="s">
        <v>117</v>
      </c>
    </row>
    <row r="31" spans="1:1" x14ac:dyDescent="0.25">
      <c r="A31" t="s">
        <v>118</v>
      </c>
    </row>
    <row r="33" spans="1:1" x14ac:dyDescent="0.25">
      <c r="A33" t="s">
        <v>119</v>
      </c>
    </row>
    <row r="35" spans="1:1" x14ac:dyDescent="0.25">
      <c r="A35" s="25" t="s">
        <v>120</v>
      </c>
    </row>
    <row r="37" spans="1:1" x14ac:dyDescent="0.25">
      <c r="A37" s="2" t="s">
        <v>121</v>
      </c>
    </row>
    <row r="39" spans="1:1" x14ac:dyDescent="0.25">
      <c r="A39" t="s">
        <v>122</v>
      </c>
    </row>
    <row r="41" spans="1:1" x14ac:dyDescent="0.25">
      <c r="A41" t="s">
        <v>107</v>
      </c>
    </row>
    <row r="43" spans="1:1" x14ac:dyDescent="0.25">
      <c r="A43" t="s">
        <v>111</v>
      </c>
    </row>
    <row r="45" spans="1:1" x14ac:dyDescent="0.25">
      <c r="A45" s="2" t="s">
        <v>123</v>
      </c>
    </row>
    <row r="47" spans="1:1" x14ac:dyDescent="0.25">
      <c r="A47" t="s">
        <v>108</v>
      </c>
    </row>
    <row r="49" spans="1:1" x14ac:dyDescent="0.25">
      <c r="A49" s="2" t="s">
        <v>124</v>
      </c>
    </row>
    <row r="51" spans="1:1" x14ac:dyDescent="0.25">
      <c r="A51" t="s">
        <v>125</v>
      </c>
    </row>
    <row r="53" spans="1:1" x14ac:dyDescent="0.25">
      <c r="A53" t="s">
        <v>107</v>
      </c>
    </row>
    <row r="55" spans="1:1" x14ac:dyDescent="0.25">
      <c r="A55" t="s">
        <v>126</v>
      </c>
    </row>
    <row r="57" spans="1:1" x14ac:dyDescent="0.25">
      <c r="A57" s="2" t="s">
        <v>127</v>
      </c>
    </row>
    <row r="59" spans="1:1" x14ac:dyDescent="0.25">
      <c r="A59" t="s">
        <v>128</v>
      </c>
    </row>
    <row r="61" spans="1:1" x14ac:dyDescent="0.25">
      <c r="A61" t="s">
        <v>107</v>
      </c>
    </row>
    <row r="63" spans="1:1" x14ac:dyDescent="0.25">
      <c r="A63" t="s">
        <v>129</v>
      </c>
    </row>
    <row r="65" spans="1:1" x14ac:dyDescent="0.25">
      <c r="A65" t="s">
        <v>107</v>
      </c>
    </row>
    <row r="67" spans="1:1" x14ac:dyDescent="0.25">
      <c r="A67" t="s">
        <v>130</v>
      </c>
    </row>
    <row r="69" spans="1:1" x14ac:dyDescent="0.25">
      <c r="A69" s="25" t="s">
        <v>131</v>
      </c>
    </row>
    <row r="71" spans="1:1" x14ac:dyDescent="0.25">
      <c r="A71" t="s">
        <v>132</v>
      </c>
    </row>
    <row r="73" spans="1:1" x14ac:dyDescent="0.25">
      <c r="A73" t="s">
        <v>133</v>
      </c>
    </row>
    <row r="75" spans="1:1" x14ac:dyDescent="0.25">
      <c r="A75" t="s">
        <v>107</v>
      </c>
    </row>
    <row r="77" spans="1:1" x14ac:dyDescent="0.25">
      <c r="A77" t="s">
        <v>134</v>
      </c>
    </row>
    <row r="79" spans="1:1" x14ac:dyDescent="0.25">
      <c r="A79" t="s">
        <v>135</v>
      </c>
    </row>
    <row r="81" spans="1:1" x14ac:dyDescent="0.25">
      <c r="A81" t="s">
        <v>136</v>
      </c>
    </row>
    <row r="83" spans="1:1" x14ac:dyDescent="0.25">
      <c r="A83" t="s">
        <v>107</v>
      </c>
    </row>
    <row r="85" spans="1:1" x14ac:dyDescent="0.25">
      <c r="A85" t="s">
        <v>137</v>
      </c>
    </row>
    <row r="87" spans="1:1" x14ac:dyDescent="0.25">
      <c r="A87" s="25" t="s">
        <v>138</v>
      </c>
    </row>
    <row r="89" spans="1:1" x14ac:dyDescent="0.25">
      <c r="A89" t="s">
        <v>139</v>
      </c>
    </row>
    <row r="91" spans="1:1" x14ac:dyDescent="0.25">
      <c r="A91" t="s">
        <v>140</v>
      </c>
    </row>
    <row r="93" spans="1:1" x14ac:dyDescent="0.25">
      <c r="A93" t="s">
        <v>107</v>
      </c>
    </row>
    <row r="95" spans="1:1" x14ac:dyDescent="0.25">
      <c r="A95" t="s">
        <v>141</v>
      </c>
    </row>
    <row r="97" spans="1:1" x14ac:dyDescent="0.25">
      <c r="A97" s="25" t="s">
        <v>142</v>
      </c>
    </row>
    <row r="99" spans="1:1" x14ac:dyDescent="0.25">
      <c r="A99" t="s">
        <v>140</v>
      </c>
    </row>
    <row r="101" spans="1:1" x14ac:dyDescent="0.25">
      <c r="A101" t="s">
        <v>107</v>
      </c>
    </row>
    <row r="103" spans="1:1" x14ac:dyDescent="0.25">
      <c r="A103" t="s">
        <v>141</v>
      </c>
    </row>
    <row r="105" spans="1:1" x14ac:dyDescent="0.25">
      <c r="A105" t="s">
        <v>143</v>
      </c>
    </row>
    <row r="107" spans="1:1" x14ac:dyDescent="0.25">
      <c r="A107" s="25" t="s">
        <v>144</v>
      </c>
    </row>
    <row r="109" spans="1:1" x14ac:dyDescent="0.25">
      <c r="A109" t="s">
        <v>145</v>
      </c>
    </row>
    <row r="111" spans="1:1" x14ac:dyDescent="0.25">
      <c r="A111" t="s">
        <v>107</v>
      </c>
    </row>
    <row r="113" spans="1:1" x14ac:dyDescent="0.25">
      <c r="A113" t="s">
        <v>146</v>
      </c>
    </row>
    <row r="115" spans="1:1" x14ac:dyDescent="0.25">
      <c r="A115" s="25" t="s">
        <v>147</v>
      </c>
    </row>
    <row r="117" spans="1:1" x14ac:dyDescent="0.25">
      <c r="A117" t="s">
        <v>145</v>
      </c>
    </row>
    <row r="119" spans="1:1" x14ac:dyDescent="0.25">
      <c r="A119" t="s">
        <v>107</v>
      </c>
    </row>
    <row r="121" spans="1:1" x14ac:dyDescent="0.25">
      <c r="A121" t="s">
        <v>148</v>
      </c>
    </row>
    <row r="123" spans="1:1" x14ac:dyDescent="0.25">
      <c r="A123" t="s">
        <v>149</v>
      </c>
    </row>
    <row r="125" spans="1:1" x14ac:dyDescent="0.25">
      <c r="A125" t="s">
        <v>150</v>
      </c>
    </row>
    <row r="126" spans="1:1" x14ac:dyDescent="0.25">
      <c r="A126" t="s">
        <v>151</v>
      </c>
    </row>
    <row r="128" spans="1:1" x14ac:dyDescent="0.25">
      <c r="A128" t="s">
        <v>107</v>
      </c>
    </row>
    <row r="130" spans="1:1" x14ac:dyDescent="0.25">
      <c r="A130" t="s">
        <v>134</v>
      </c>
    </row>
    <row r="132" spans="1:1" x14ac:dyDescent="0.25">
      <c r="A132" t="s">
        <v>152</v>
      </c>
    </row>
    <row r="134" spans="1:1" x14ac:dyDescent="0.25">
      <c r="A134" t="s">
        <v>151</v>
      </c>
    </row>
    <row r="136" spans="1:1" x14ac:dyDescent="0.25">
      <c r="A136" t="s">
        <v>107</v>
      </c>
    </row>
    <row r="138" spans="1:1" x14ac:dyDescent="0.25">
      <c r="A138" t="s">
        <v>136</v>
      </c>
    </row>
    <row r="140" spans="1:1" x14ac:dyDescent="0.25">
      <c r="A140" t="s">
        <v>107</v>
      </c>
    </row>
    <row r="142" spans="1:1" x14ac:dyDescent="0.25">
      <c r="A142" t="s">
        <v>153</v>
      </c>
    </row>
    <row r="144" spans="1:1" x14ac:dyDescent="0.25">
      <c r="A144" t="s">
        <v>154</v>
      </c>
    </row>
    <row r="145" spans="1:1" x14ac:dyDescent="0.25">
      <c r="A145" t="s">
        <v>155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TACTICA</vt:lpstr>
      <vt:lpstr>SUELDOS</vt:lpstr>
      <vt:lpstr>TablasEntreno</vt:lpstr>
      <vt:lpstr>PLANTILLA</vt:lpstr>
      <vt:lpstr>CA_VADER</vt:lpstr>
      <vt:lpstr>MERCADO_PORTERO</vt:lpstr>
      <vt:lpstr>Especialidades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 Isaac</dc:creator>
  <cp:lastModifiedBy>PORTA Isaac</cp:lastModifiedBy>
  <cp:lastPrinted>2018-10-25T14:03:01Z</cp:lastPrinted>
  <dcterms:created xsi:type="dcterms:W3CDTF">2017-09-06T09:13:46Z</dcterms:created>
  <dcterms:modified xsi:type="dcterms:W3CDTF">2018-10-25T15:25:53Z</dcterms:modified>
</cp:coreProperties>
</file>