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filterPrivacy="1" defaultThemeVersion="124226"/>
  <xr:revisionPtr revIDLastSave="0" documentId="13_ncr:1_{080682BC-665E-466B-9C57-050056862732}" xr6:coauthVersionLast="33" xr6:coauthVersionMax="33" xr10:uidLastSave="{00000000-0000-0000-0000-000000000000}"/>
  <bookViews>
    <workbookView xWindow="3000" yWindow="330" windowWidth="12120" windowHeight="5370" activeTab="1" xr2:uid="{00000000-000D-0000-FFFF-FFFF00000000}"/>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79017"/>
  <pivotCaches>
    <pivotCache cacheId="0" r:id="rId70"/>
  </pivotCaches>
  <fileRecoveryPr autoRecover="0"/>
</workbook>
</file>

<file path=xl/calcChain.xml><?xml version="1.0" encoding="utf-8"?>
<calcChain xmlns="http://schemas.openxmlformats.org/spreadsheetml/2006/main">
  <c r="B28" i="138" l="1"/>
  <c r="B27" i="138"/>
  <c r="B26" i="138"/>
  <c r="B25" i="138"/>
  <c r="L5" i="138" l="1"/>
  <c r="L6" i="138" s="1"/>
  <c r="K9" i="138"/>
  <c r="K8" i="138"/>
  <c r="K7" i="138"/>
  <c r="K6" i="138"/>
  <c r="L7" i="138" l="1"/>
  <c r="M5" i="138"/>
  <c r="N5" i="138" s="1"/>
  <c r="O5" i="138" s="1"/>
  <c r="P5" i="138" s="1"/>
  <c r="Q5" i="138" s="1"/>
  <c r="R5" i="138" s="1"/>
  <c r="S5" i="138" s="1"/>
  <c r="T5" i="138" s="1"/>
  <c r="U5" i="138" s="1"/>
  <c r="V5" i="138" s="1"/>
  <c r="W5" i="138" s="1"/>
  <c r="X5" i="138" s="1"/>
  <c r="Y5" i="138" s="1"/>
  <c r="Z5" i="138" s="1"/>
  <c r="AA5" i="138" s="1"/>
  <c r="AB5" i="138" s="1"/>
  <c r="AC5" i="138" s="1"/>
  <c r="AD5" i="138" s="1"/>
  <c r="AE5" i="138" s="1"/>
  <c r="AF5" i="138" s="1"/>
  <c r="AG5" i="138" s="1"/>
  <c r="AH5" i="138" s="1"/>
  <c r="AI5" i="138" s="1"/>
  <c r="AJ5" i="138" s="1"/>
  <c r="AK5" i="138" s="1"/>
  <c r="AL5" i="138" s="1"/>
  <c r="AM5" i="138" s="1"/>
  <c r="AN5" i="138" s="1"/>
  <c r="AO5" i="138" s="1"/>
  <c r="AP5" i="138" s="1"/>
  <c r="M6" i="138"/>
  <c r="M9" i="138"/>
  <c r="M7" i="138"/>
  <c r="M8" i="138"/>
  <c r="L9" i="138"/>
  <c r="L8" i="138"/>
  <c r="C5" i="146"/>
  <c r="B5" i="146"/>
  <c r="A5" i="146"/>
  <c r="A8" i="146"/>
  <c r="E8" i="146"/>
  <c r="E5" i="146" s="1"/>
  <c r="D8" i="146"/>
  <c r="D5" i="146" s="1"/>
  <c r="C8" i="146"/>
  <c r="B8" i="146"/>
  <c r="AQ5" i="138" l="1"/>
  <c r="AR5" i="138" s="1"/>
  <c r="AS5" i="138" s="1"/>
  <c r="AT5" i="138" s="1"/>
  <c r="AU5" i="138" s="1"/>
  <c r="AV5" i="138" s="1"/>
  <c r="AW5" i="138" s="1"/>
  <c r="AX5" i="138" s="1"/>
  <c r="AY5" i="138" s="1"/>
  <c r="AZ5" i="138" s="1"/>
  <c r="BA5" i="138" s="1"/>
  <c r="BB5" i="138" s="1"/>
  <c r="BC5" i="138" s="1"/>
  <c r="BD5" i="138" s="1"/>
  <c r="BE5" i="138" s="1"/>
  <c r="BF5" i="138" s="1"/>
  <c r="BG5" i="138" s="1"/>
  <c r="N7" i="138"/>
  <c r="N6" i="138"/>
  <c r="N9" i="138"/>
  <c r="N8" i="138"/>
  <c r="O8" i="138" l="1"/>
  <c r="O7" i="138"/>
  <c r="O9" i="138"/>
  <c r="O6" i="138"/>
  <c r="S26" i="145"/>
  <c r="T26" i="145" s="1"/>
  <c r="P26" i="145"/>
  <c r="N26" i="145"/>
  <c r="O26" i="145" s="1"/>
  <c r="P9" i="138" l="1"/>
  <c r="P8" i="138"/>
  <c r="P7" i="138"/>
  <c r="P6" i="138"/>
  <c r="P25" i="145"/>
  <c r="O25" i="145"/>
  <c r="N6" i="144"/>
  <c r="Q6" i="138" l="1"/>
  <c r="Q9" i="138"/>
  <c r="Q8" i="138"/>
  <c r="Q7" i="138"/>
  <c r="N12" i="145"/>
  <c r="R7" i="138" l="1"/>
  <c r="R6" i="138"/>
  <c r="R9" i="138"/>
  <c r="R8" i="138"/>
  <c r="M17" i="144"/>
  <c r="L16" i="144"/>
  <c r="L23" i="144" s="1"/>
  <c r="M15" i="144"/>
  <c r="L13" i="144"/>
  <c r="M13" i="144"/>
  <c r="L6" i="144"/>
  <c r="S8" i="138" l="1"/>
  <c r="S7" i="138"/>
  <c r="S6" i="138"/>
  <c r="S9" i="138"/>
  <c r="M16" i="144"/>
  <c r="M23" i="144"/>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F17" i="144"/>
  <c r="G17" i="144" s="1"/>
  <c r="H17" i="144" s="1"/>
  <c r="I17" i="144" s="1"/>
  <c r="J17" i="144" s="1"/>
  <c r="K17" i="144" s="1"/>
  <c r="D17" i="144"/>
  <c r="N16" i="145"/>
  <c r="T9" i="138" l="1"/>
  <c r="T8" i="138"/>
  <c r="T7" i="138"/>
  <c r="T6" i="138"/>
  <c r="D6" i="144"/>
  <c r="U6" i="138" l="1"/>
  <c r="U8" i="138"/>
  <c r="U9" i="138"/>
  <c r="U7" i="138"/>
  <c r="E4" i="144"/>
  <c r="P20" i="145"/>
  <c r="O20" i="145"/>
  <c r="P19" i="145"/>
  <c r="O19" i="145"/>
  <c r="N13" i="29"/>
  <c r="O13" i="29"/>
  <c r="Q13" i="29"/>
  <c r="B21" i="29"/>
  <c r="B19" i="29"/>
  <c r="B18" i="29"/>
  <c r="C16" i="29"/>
  <c r="C19" i="29" s="1"/>
  <c r="C18" i="29" l="1"/>
  <c r="D16" i="29"/>
  <c r="C21" i="29"/>
  <c r="V7" i="138"/>
  <c r="V6" i="138"/>
  <c r="V8" i="138"/>
  <c r="V9" i="138"/>
  <c r="S19" i="144"/>
  <c r="S20" i="144"/>
  <c r="S21" i="144"/>
  <c r="S22" i="144"/>
  <c r="C22" i="144" s="1"/>
  <c r="F29" i="145" s="1"/>
  <c r="S18" i="144"/>
  <c r="N15" i="144"/>
  <c r="O15" i="144" s="1"/>
  <c r="P15" i="144" s="1"/>
  <c r="Q15" i="144" s="1"/>
  <c r="R15" i="144" s="1"/>
  <c r="S15" i="144" s="1"/>
  <c r="N17" i="144"/>
  <c r="O17" i="144" s="1"/>
  <c r="P17" i="144" s="1"/>
  <c r="Q17" i="144" s="1"/>
  <c r="R17" i="144" s="1"/>
  <c r="S17" i="144" s="1"/>
  <c r="Q14" i="144"/>
  <c r="R14" i="144" s="1"/>
  <c r="S14" i="144" s="1"/>
  <c r="S12" i="144"/>
  <c r="P18" i="145"/>
  <c r="O18" i="145"/>
  <c r="P17" i="145"/>
  <c r="O17" i="145"/>
  <c r="P16" i="145"/>
  <c r="O16" i="145"/>
  <c r="Q16" i="145" s="1"/>
  <c r="F14" i="145"/>
  <c r="C15" i="145"/>
  <c r="F21" i="145"/>
  <c r="O15" i="145"/>
  <c r="K15" i="145"/>
  <c r="P15" i="145" s="1"/>
  <c r="C18" i="145"/>
  <c r="O14" i="145"/>
  <c r="K14" i="145"/>
  <c r="P14" i="145" s="1"/>
  <c r="P13" i="145"/>
  <c r="O13" i="145"/>
  <c r="P12" i="145"/>
  <c r="O12" i="145"/>
  <c r="Q12" i="145" s="1"/>
  <c r="F13" i="145"/>
  <c r="C12" i="145"/>
  <c r="P37" i="144" s="1"/>
  <c r="P11" i="145"/>
  <c r="O11" i="145"/>
  <c r="P10" i="145"/>
  <c r="O10" i="145"/>
  <c r="P9" i="145"/>
  <c r="O9" i="145"/>
  <c r="P8" i="145"/>
  <c r="O8" i="145"/>
  <c r="P7" i="145"/>
  <c r="O7" i="145"/>
  <c r="P6" i="145"/>
  <c r="O6" i="145"/>
  <c r="P5" i="145"/>
  <c r="O5" i="145"/>
  <c r="P4" i="145"/>
  <c r="O4" i="145"/>
  <c r="B22" i="144"/>
  <c r="C21" i="144"/>
  <c r="F28" i="145" s="1"/>
  <c r="C20" i="144"/>
  <c r="C19" i="144"/>
  <c r="F20" i="145" s="1"/>
  <c r="B18" i="144"/>
  <c r="B17" i="144"/>
  <c r="B15" i="144"/>
  <c r="B14" i="144"/>
  <c r="D13" i="144"/>
  <c r="C12" i="144"/>
  <c r="C25" i="145" s="1"/>
  <c r="C9" i="144"/>
  <c r="C8" i="144"/>
  <c r="C6" i="144"/>
  <c r="C26" i="145" s="1"/>
  <c r="F4" i="144"/>
  <c r="D18" i="29" l="1"/>
  <c r="D19" i="29"/>
  <c r="D21" i="29"/>
  <c r="E16" i="29"/>
  <c r="W8" i="138"/>
  <c r="W7" i="138"/>
  <c r="W6" i="138"/>
  <c r="W9" i="138"/>
  <c r="Q7" i="144"/>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P36" i="144" s="1"/>
  <c r="P38" i="144" s="1"/>
  <c r="F15" i="145"/>
  <c r="C14" i="145"/>
  <c r="P35" i="144" s="1"/>
  <c r="F16" i="145"/>
  <c r="C19" i="145"/>
  <c r="C17" i="145" s="1"/>
  <c r="S6" i="141"/>
  <c r="S11" i="141"/>
  <c r="E18" i="29" l="1"/>
  <c r="E19" i="29"/>
  <c r="E21" i="29"/>
  <c r="F16" i="29"/>
  <c r="X9" i="138"/>
  <c r="X8" i="138"/>
  <c r="X6" i="138"/>
  <c r="X7" i="138"/>
  <c r="C16" i="144"/>
  <c r="I13" i="144"/>
  <c r="C11" i="145"/>
  <c r="C18" i="144"/>
  <c r="F27" i="145" s="1"/>
  <c r="C17" i="144"/>
  <c r="F26" i="145" s="1"/>
  <c r="K32" i="142"/>
  <c r="P32" i="142"/>
  <c r="O32" i="142"/>
  <c r="S19" i="141"/>
  <c r="N24" i="142"/>
  <c r="S8" i="141"/>
  <c r="F18" i="29" l="1"/>
  <c r="F19" i="29"/>
  <c r="F21" i="29"/>
  <c r="G16" i="29"/>
  <c r="Y6" i="138"/>
  <c r="Y8" i="138"/>
  <c r="Y7" i="138"/>
  <c r="Y9" i="138"/>
  <c r="K4" i="144"/>
  <c r="L4" i="144" s="1"/>
  <c r="M4" i="144" s="1"/>
  <c r="J13" i="144"/>
  <c r="R10" i="144"/>
  <c r="S10" i="144" s="1"/>
  <c r="C7" i="144"/>
  <c r="C27" i="145" s="1"/>
  <c r="K13" i="144"/>
  <c r="N12" i="142"/>
  <c r="N13" i="142"/>
  <c r="P31" i="142"/>
  <c r="O31" i="142"/>
  <c r="H16" i="29" l="1"/>
  <c r="G21" i="29"/>
  <c r="G18" i="29"/>
  <c r="G19" i="29"/>
  <c r="Z7" i="138"/>
  <c r="Z6" i="138"/>
  <c r="Z9" i="138"/>
  <c r="Z8" i="138"/>
  <c r="C10" i="144"/>
  <c r="C28" i="145" s="1"/>
  <c r="N13" i="144"/>
  <c r="N4" i="144"/>
  <c r="O4" i="144" s="1"/>
  <c r="N18" i="142"/>
  <c r="S12" i="141"/>
  <c r="R12" i="141"/>
  <c r="R10" i="141"/>
  <c r="R6" i="141"/>
  <c r="I16" i="29" l="1"/>
  <c r="H19" i="29"/>
  <c r="H21" i="29"/>
  <c r="H18" i="29"/>
  <c r="AA8" i="138"/>
  <c r="AA7" i="138"/>
  <c r="AA6" i="138"/>
  <c r="AA9" i="138"/>
  <c r="P4" i="144"/>
  <c r="P11" i="144"/>
  <c r="O13" i="144"/>
  <c r="S30" i="142"/>
  <c r="T30" i="142" s="1"/>
  <c r="P30" i="142"/>
  <c r="O30" i="142"/>
  <c r="J16" i="29" l="1"/>
  <c r="I19" i="29"/>
  <c r="I21" i="29"/>
  <c r="I18" i="29"/>
  <c r="AB9" i="138"/>
  <c r="AB8" i="138"/>
  <c r="AB7" i="138"/>
  <c r="AB6" i="138"/>
  <c r="Q11" i="144"/>
  <c r="P13" i="144"/>
  <c r="Q4" i="144"/>
  <c r="R4" i="144" s="1"/>
  <c r="N29" i="142"/>
  <c r="O29" i="142" s="1"/>
  <c r="S29" i="142"/>
  <c r="T29" i="142" s="1"/>
  <c r="P29" i="142"/>
  <c r="O11" i="141"/>
  <c r="O6" i="141"/>
  <c r="N10" i="141"/>
  <c r="M6" i="141"/>
  <c r="K16" i="29" l="1"/>
  <c r="J19" i="29"/>
  <c r="J21" i="29"/>
  <c r="J18" i="29"/>
  <c r="AC6" i="138"/>
  <c r="AC8" i="138"/>
  <c r="AC9" i="138"/>
  <c r="AC7" i="138"/>
  <c r="R11" i="144"/>
  <c r="S4" i="144" s="1"/>
  <c r="S11" i="144" s="1"/>
  <c r="S13" i="144" s="1"/>
  <c r="Q13" i="144"/>
  <c r="S28" i="142"/>
  <c r="T28" i="142" s="1"/>
  <c r="P28" i="142"/>
  <c r="O28" i="142"/>
  <c r="L16" i="29" l="1"/>
  <c r="K19" i="29"/>
  <c r="K21" i="29"/>
  <c r="K18" i="29"/>
  <c r="AD7" i="138"/>
  <c r="AD6" i="138"/>
  <c r="AD9" i="138"/>
  <c r="AD8" i="138"/>
  <c r="R13" i="144"/>
  <c r="C13" i="144" s="1"/>
  <c r="C11" i="144"/>
  <c r="M7" i="141"/>
  <c r="N7" i="141" s="1"/>
  <c r="O7" i="141" s="1"/>
  <c r="N27" i="142"/>
  <c r="O27" i="142" s="1"/>
  <c r="T27" i="142"/>
  <c r="P27" i="142"/>
  <c r="M16" i="29" l="1"/>
  <c r="L19" i="29"/>
  <c r="L21" i="29"/>
  <c r="L18" i="29"/>
  <c r="AE8" i="138"/>
  <c r="AE7" i="138"/>
  <c r="AE9" i="138"/>
  <c r="AE6" i="138"/>
  <c r="C24" i="145"/>
  <c r="V11" i="144"/>
  <c r="V6" i="144"/>
  <c r="V8" i="144"/>
  <c r="U14" i="144"/>
  <c r="V7" i="144"/>
  <c r="V9" i="144"/>
  <c r="V10" i="144"/>
  <c r="V12" i="144"/>
  <c r="H6" i="141"/>
  <c r="N16" i="29" l="1"/>
  <c r="M18" i="29"/>
  <c r="M19" i="29"/>
  <c r="M21" i="29"/>
  <c r="AF9" i="138"/>
  <c r="AF8" i="138"/>
  <c r="AF7" i="138"/>
  <c r="AF6" i="138"/>
  <c r="V13" i="144"/>
  <c r="C23" i="145"/>
  <c r="N14" i="142"/>
  <c r="O16" i="29" l="1"/>
  <c r="N18" i="29"/>
  <c r="N19" i="29"/>
  <c r="N21" i="29"/>
  <c r="AG6" i="138"/>
  <c r="AG8" i="138"/>
  <c r="AG7" i="138"/>
  <c r="AG9" i="138"/>
  <c r="N23" i="144"/>
  <c r="E8" i="141"/>
  <c r="N22" i="142"/>
  <c r="N21" i="142"/>
  <c r="P16" i="29" l="1"/>
  <c r="O18" i="29"/>
  <c r="O19" i="29"/>
  <c r="O21" i="29"/>
  <c r="AH7" i="138"/>
  <c r="AH6" i="138"/>
  <c r="AH8" i="138"/>
  <c r="AH9" i="138"/>
  <c r="O23" i="144"/>
  <c r="N23" i="142"/>
  <c r="Q16" i="29" l="1"/>
  <c r="P19" i="29"/>
  <c r="P18" i="29"/>
  <c r="P21" i="29"/>
  <c r="AI8" i="138"/>
  <c r="AI7" i="138"/>
  <c r="AI6" i="138"/>
  <c r="AI9" i="138"/>
  <c r="P23" i="144"/>
  <c r="P26" i="142"/>
  <c r="O26" i="142"/>
  <c r="N25" i="142"/>
  <c r="O25" i="142" s="1"/>
  <c r="T25" i="142"/>
  <c r="P25" i="142"/>
  <c r="D19" i="141"/>
  <c r="R16" i="29" l="1"/>
  <c r="Q19" i="29"/>
  <c r="Q21" i="29"/>
  <c r="Q18" i="29"/>
  <c r="AJ9" i="138"/>
  <c r="AJ8" i="138"/>
  <c r="AJ7" i="138"/>
  <c r="AJ6" i="138"/>
  <c r="Q23" i="144"/>
  <c r="R21" i="143"/>
  <c r="Q21" i="143"/>
  <c r="R20" i="143"/>
  <c r="Q20" i="143"/>
  <c r="R19" i="143"/>
  <c r="Q19" i="143"/>
  <c r="R18" i="143"/>
  <c r="Q18" i="143"/>
  <c r="R17" i="143"/>
  <c r="Q17" i="143"/>
  <c r="H18" i="143"/>
  <c r="H19" i="143"/>
  <c r="H20" i="143"/>
  <c r="H21" i="143"/>
  <c r="H17" i="143"/>
  <c r="G18" i="143"/>
  <c r="G19" i="143"/>
  <c r="G20" i="143"/>
  <c r="G21" i="143"/>
  <c r="G17" i="143"/>
  <c r="S16" i="29" l="1"/>
  <c r="R19" i="29"/>
  <c r="R21" i="29"/>
  <c r="R18" i="29"/>
  <c r="AK6" i="138"/>
  <c r="AK8" i="138"/>
  <c r="AK9" i="138"/>
  <c r="AK7" i="138"/>
  <c r="R23" i="144"/>
  <c r="P24" i="142"/>
  <c r="O24" i="142"/>
  <c r="Q24" i="142" s="1"/>
  <c r="N20" i="142"/>
  <c r="T16" i="29" l="1"/>
  <c r="S19" i="29"/>
  <c r="S21" i="29"/>
  <c r="S18" i="29"/>
  <c r="AL7" i="138"/>
  <c r="AL6" i="138"/>
  <c r="AL8" i="138"/>
  <c r="AL9" i="138"/>
  <c r="S23" i="144"/>
  <c r="K23" i="142"/>
  <c r="O23" i="142" s="1"/>
  <c r="Q23" i="142" s="1"/>
  <c r="K22" i="142"/>
  <c r="K21" i="142"/>
  <c r="K20" i="142"/>
  <c r="K19" i="142"/>
  <c r="K18" i="142"/>
  <c r="K17" i="142"/>
  <c r="E17" i="141"/>
  <c r="F17" i="141" s="1"/>
  <c r="G17" i="141" s="1"/>
  <c r="H17" i="141" s="1"/>
  <c r="I17" i="141" s="1"/>
  <c r="J17" i="141" s="1"/>
  <c r="K17" i="141" s="1"/>
  <c r="M17" i="141" s="1"/>
  <c r="N17" i="141" s="1"/>
  <c r="O17" i="141" s="1"/>
  <c r="P17" i="141" s="1"/>
  <c r="Q17" i="141" s="1"/>
  <c r="R17" i="141" s="1"/>
  <c r="S17" i="141" s="1"/>
  <c r="D17" i="141"/>
  <c r="P23" i="142"/>
  <c r="P22" i="142"/>
  <c r="O22" i="142"/>
  <c r="Q22" i="142" s="1"/>
  <c r="P21" i="142"/>
  <c r="O21" i="142"/>
  <c r="Q21" i="142" s="1"/>
  <c r="P20" i="142"/>
  <c r="O20" i="142"/>
  <c r="Q20" i="142" s="1"/>
  <c r="P19" i="142"/>
  <c r="O19" i="142"/>
  <c r="P18" i="142"/>
  <c r="O18" i="142"/>
  <c r="Q18" i="142" s="1"/>
  <c r="P17" i="142"/>
  <c r="O17" i="142"/>
  <c r="F14" i="142"/>
  <c r="P16" i="142"/>
  <c r="O16" i="142"/>
  <c r="P15" i="142"/>
  <c r="O15" i="142"/>
  <c r="F21" i="142"/>
  <c r="P14" i="142"/>
  <c r="O14" i="142"/>
  <c r="Q14" i="142" s="1"/>
  <c r="C18" i="142"/>
  <c r="P13" i="142"/>
  <c r="O13" i="142"/>
  <c r="Q13" i="142" s="1"/>
  <c r="P12" i="142"/>
  <c r="O12" i="142"/>
  <c r="Q12" i="142" s="1"/>
  <c r="F13" i="142"/>
  <c r="P11" i="142"/>
  <c r="O11" i="142"/>
  <c r="C12" i="142"/>
  <c r="P10" i="142"/>
  <c r="O10" i="142"/>
  <c r="P9" i="142"/>
  <c r="O9" i="142"/>
  <c r="P8" i="142"/>
  <c r="O8" i="142"/>
  <c r="P7" i="142"/>
  <c r="O7" i="142"/>
  <c r="P6" i="142"/>
  <c r="O6" i="142"/>
  <c r="P5" i="142"/>
  <c r="O5" i="142"/>
  <c r="F15" i="142" s="1"/>
  <c r="P4" i="142"/>
  <c r="O4" i="142"/>
  <c r="C22" i="141"/>
  <c r="F29" i="142" s="1"/>
  <c r="B22" i="141"/>
  <c r="C21" i="141"/>
  <c r="F28" i="142" s="1"/>
  <c r="C20" i="141"/>
  <c r="C19" i="141"/>
  <c r="F20" i="142" s="1"/>
  <c r="B18" i="141"/>
  <c r="B17" i="141"/>
  <c r="C16" i="141"/>
  <c r="B15" i="141"/>
  <c r="B14" i="141"/>
  <c r="D13" i="141"/>
  <c r="C12" i="141"/>
  <c r="C25" i="142" s="1"/>
  <c r="C9" i="141"/>
  <c r="E13" i="141"/>
  <c r="C8" i="141"/>
  <c r="E4" i="141"/>
  <c r="F4" i="141" s="1"/>
  <c r="G4" i="141" s="1"/>
  <c r="N16" i="140"/>
  <c r="C14" i="142" l="1"/>
  <c r="E35" i="141" s="1"/>
  <c r="U16" i="29"/>
  <c r="T19" i="29"/>
  <c r="T21" i="29"/>
  <c r="T18" i="29"/>
  <c r="AM8" i="138"/>
  <c r="AM7" i="138"/>
  <c r="AM6" i="138"/>
  <c r="AM9" i="138"/>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C15" i="142"/>
  <c r="G37" i="141" s="1"/>
  <c r="C13" i="142"/>
  <c r="R36" i="141" s="1"/>
  <c r="C17" i="141"/>
  <c r="F26" i="142" s="1"/>
  <c r="J14" i="141"/>
  <c r="F12" i="142"/>
  <c r="F16" i="142"/>
  <c r="C19" i="142"/>
  <c r="C6" i="141"/>
  <c r="C26" i="142" s="1"/>
  <c r="N17" i="140"/>
  <c r="O35" i="141" l="1"/>
  <c r="D35" i="141"/>
  <c r="H35" i="141"/>
  <c r="F35" i="141"/>
  <c r="S35" i="141"/>
  <c r="G35" i="141"/>
  <c r="M35" i="141"/>
  <c r="V16" i="29"/>
  <c r="U18" i="29"/>
  <c r="U19" i="29"/>
  <c r="U21" i="29"/>
  <c r="P35" i="141"/>
  <c r="J35" i="141"/>
  <c r="L35" i="141"/>
  <c r="K35" i="141"/>
  <c r="Q35" i="141"/>
  <c r="R35" i="141"/>
  <c r="I35" i="141"/>
  <c r="N35" i="141"/>
  <c r="AN9" i="138"/>
  <c r="AN8" i="138"/>
  <c r="AN6" i="138"/>
  <c r="AN7" i="138"/>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P39" i="140"/>
  <c r="O39" i="140"/>
  <c r="P38" i="140"/>
  <c r="O38" i="140"/>
  <c r="P37" i="140"/>
  <c r="O37" i="140"/>
  <c r="W16" i="29" l="1"/>
  <c r="V18" i="29"/>
  <c r="V19" i="29"/>
  <c r="V21" i="29"/>
  <c r="AO6" i="138"/>
  <c r="AO9" i="138"/>
  <c r="AO8" i="138"/>
  <c r="AO7" i="138"/>
  <c r="H38" i="141"/>
  <c r="D38" i="141"/>
  <c r="N38" i="141"/>
  <c r="E38" i="141"/>
  <c r="F38" i="141"/>
  <c r="S38" i="141"/>
  <c r="L38" i="141"/>
  <c r="K38" i="141"/>
  <c r="I38" i="141"/>
  <c r="Q38" i="141"/>
  <c r="P38" i="141"/>
  <c r="M38" i="141"/>
  <c r="J38" i="141"/>
  <c r="I13" i="141"/>
  <c r="P36" i="140"/>
  <c r="O36" i="140"/>
  <c r="P6" i="139"/>
  <c r="X16" i="29" l="1"/>
  <c r="W21" i="29"/>
  <c r="W18" i="29"/>
  <c r="W19" i="29"/>
  <c r="AP7" i="138"/>
  <c r="AP6" i="138"/>
  <c r="AP9" i="138"/>
  <c r="AP8" i="138"/>
  <c r="J13" i="141"/>
  <c r="C7" i="141"/>
  <c r="C27" i="142" s="1"/>
  <c r="Y16" i="29" l="1"/>
  <c r="X19" i="29"/>
  <c r="X21" i="29"/>
  <c r="X18" i="29"/>
  <c r="AQ8" i="138"/>
  <c r="AQ7" i="138"/>
  <c r="AQ6" i="138"/>
  <c r="AQ9" i="138"/>
  <c r="K13" i="141"/>
  <c r="Z16" i="29" l="1"/>
  <c r="Y19" i="29"/>
  <c r="Y21" i="29"/>
  <c r="Y18" i="29"/>
  <c r="AR9" i="138"/>
  <c r="AR8" i="138"/>
  <c r="AR7" i="138"/>
  <c r="AR6" i="138"/>
  <c r="L13" i="141"/>
  <c r="N35" i="140"/>
  <c r="O35" i="140" s="1"/>
  <c r="S35" i="140"/>
  <c r="T35" i="140" s="1"/>
  <c r="P35" i="140"/>
  <c r="P34" i="140"/>
  <c r="O34" i="140"/>
  <c r="P33" i="140"/>
  <c r="O33" i="140"/>
  <c r="M19" i="139"/>
  <c r="M6" i="139"/>
  <c r="AA16" i="29" l="1"/>
  <c r="Z19" i="29"/>
  <c r="Z21" i="29"/>
  <c r="Z18" i="29"/>
  <c r="AS6" i="138"/>
  <c r="AS8" i="138"/>
  <c r="AS9" i="138"/>
  <c r="AS7" i="138"/>
  <c r="M13" i="141"/>
  <c r="N15" i="140"/>
  <c r="M8" i="139"/>
  <c r="M7" i="139"/>
  <c r="N7" i="139" s="1"/>
  <c r="S32" i="140"/>
  <c r="N32" i="140"/>
  <c r="T32" i="140"/>
  <c r="P32" i="140"/>
  <c r="O32" i="140"/>
  <c r="K6" i="139"/>
  <c r="N13" i="139" l="1"/>
  <c r="O7" i="139"/>
  <c r="AB16" i="29"/>
  <c r="AA19" i="29"/>
  <c r="AA21" i="29"/>
  <c r="AA18" i="29"/>
  <c r="AT7" i="138"/>
  <c r="AT6" i="138"/>
  <c r="AT8" i="138"/>
  <c r="AT9" i="138"/>
  <c r="N13" i="141"/>
  <c r="U2" i="95"/>
  <c r="T2" i="95"/>
  <c r="S5" i="95"/>
  <c r="R5" i="95"/>
  <c r="Q5" i="95"/>
  <c r="AC16" i="29" l="1"/>
  <c r="AB19" i="29"/>
  <c r="AB21" i="29"/>
  <c r="AB18" i="29"/>
  <c r="P7" i="139"/>
  <c r="Q7" i="139" s="1"/>
  <c r="R7" i="139" s="1"/>
  <c r="O13" i="139"/>
  <c r="AU8" i="138"/>
  <c r="AU7" i="138"/>
  <c r="AU9" i="138"/>
  <c r="AU6" i="138"/>
  <c r="O13" i="141"/>
  <c r="V2" i="95"/>
  <c r="H6" i="139"/>
  <c r="P31" i="140"/>
  <c r="O31" i="140"/>
  <c r="N4" i="140"/>
  <c r="N30" i="140"/>
  <c r="T30" i="140"/>
  <c r="P30" i="140"/>
  <c r="O30" i="140"/>
  <c r="AD16" i="29" l="1"/>
  <c r="AC19" i="29"/>
  <c r="AC21" i="29"/>
  <c r="AC18" i="29"/>
  <c r="AV9" i="138"/>
  <c r="AV8" i="138"/>
  <c r="AV7" i="138"/>
  <c r="AV6" i="138"/>
  <c r="P13" i="141"/>
  <c r="T29" i="140"/>
  <c r="P29" i="140"/>
  <c r="O29" i="140"/>
  <c r="F8" i="139"/>
  <c r="AD18" i="29" l="1"/>
  <c r="AD19" i="29"/>
  <c r="AD21" i="29"/>
  <c r="AW6" i="138"/>
  <c r="AW8" i="138"/>
  <c r="AW7" i="138"/>
  <c r="AW9" i="138"/>
  <c r="Q13" i="141"/>
  <c r="N22" i="140"/>
  <c r="E10" i="139"/>
  <c r="E8" i="139"/>
  <c r="N24" i="140"/>
  <c r="AX7" i="138" l="1"/>
  <c r="AX6" i="138"/>
  <c r="AX8" i="138"/>
  <c r="AX9" i="138"/>
  <c r="R13" i="141"/>
  <c r="N20" i="140"/>
  <c r="N19" i="140"/>
  <c r="N23" i="140"/>
  <c r="N21" i="140"/>
  <c r="N28" i="140"/>
  <c r="O28" i="140" s="1"/>
  <c r="T28" i="140"/>
  <c r="P28" i="140"/>
  <c r="AY8" i="138" l="1"/>
  <c r="AY7" i="138"/>
  <c r="AY6" i="138"/>
  <c r="AY9" i="138"/>
  <c r="S13" i="141"/>
  <c r="C13" i="141" s="1"/>
  <c r="C10" i="141"/>
  <c r="C28" i="142" s="1"/>
  <c r="N27" i="140"/>
  <c r="O27" i="140" s="1"/>
  <c r="F14" i="140" s="1"/>
  <c r="T27" i="140"/>
  <c r="P27" i="140"/>
  <c r="E18" i="139"/>
  <c r="F18" i="139" s="1"/>
  <c r="G18" i="139" s="1"/>
  <c r="H18" i="139" s="1"/>
  <c r="I18" i="139" s="1"/>
  <c r="J18" i="139" s="1"/>
  <c r="K18" i="139" s="1"/>
  <c r="L18" i="139" s="1"/>
  <c r="M18" i="139" s="1"/>
  <c r="E15" i="139"/>
  <c r="F15" i="139" s="1"/>
  <c r="G15" i="139" s="1"/>
  <c r="H15" i="139" s="1"/>
  <c r="I15" i="139" s="1"/>
  <c r="J15" i="139" s="1"/>
  <c r="K15" i="139" s="1"/>
  <c r="L15" i="139" s="1"/>
  <c r="M15" i="139" s="1"/>
  <c r="P13" i="139"/>
  <c r="J13" i="139"/>
  <c r="F21" i="140"/>
  <c r="F13" i="140"/>
  <c r="O26" i="140"/>
  <c r="P26" i="140"/>
  <c r="O25" i="140"/>
  <c r="P25" i="140"/>
  <c r="P24" i="140"/>
  <c r="O24" i="140"/>
  <c r="Q24" i="140" s="1"/>
  <c r="P23" i="140"/>
  <c r="O23" i="140"/>
  <c r="Q23" i="140" s="1"/>
  <c r="P22" i="140"/>
  <c r="O22" i="140"/>
  <c r="Q22" i="140" s="1"/>
  <c r="P21" i="140"/>
  <c r="O21" i="140"/>
  <c r="Q21" i="140" s="1"/>
  <c r="P20" i="140"/>
  <c r="O20" i="140"/>
  <c r="P19" i="140"/>
  <c r="O19" i="140"/>
  <c r="Q19" i="140" s="1"/>
  <c r="P18" i="140"/>
  <c r="O18" i="140"/>
  <c r="P17" i="140"/>
  <c r="O17" i="140"/>
  <c r="F15" i="140" s="1"/>
  <c r="P16" i="140"/>
  <c r="O16" i="140"/>
  <c r="Q16" i="140" s="1"/>
  <c r="P15" i="140"/>
  <c r="O15" i="140"/>
  <c r="Q15" i="140" s="1"/>
  <c r="P14" i="140"/>
  <c r="O14" i="140"/>
  <c r="P13" i="140"/>
  <c r="O13" i="140"/>
  <c r="P12" i="140"/>
  <c r="O12" i="140"/>
  <c r="C18" i="140"/>
  <c r="P11" i="140"/>
  <c r="O11" i="140"/>
  <c r="P10" i="140"/>
  <c r="O10" i="140"/>
  <c r="P9" i="140"/>
  <c r="O9" i="140"/>
  <c r="P8" i="140"/>
  <c r="O8" i="140"/>
  <c r="C12" i="140"/>
  <c r="P7" i="140"/>
  <c r="O7" i="140"/>
  <c r="P6" i="140"/>
  <c r="O6" i="140"/>
  <c r="P5" i="140"/>
  <c r="O5" i="140"/>
  <c r="P4" i="140"/>
  <c r="O4" i="140"/>
  <c r="Q4" i="140" s="1"/>
  <c r="B22" i="139"/>
  <c r="C21" i="139"/>
  <c r="F28" i="140" s="1"/>
  <c r="B18" i="139"/>
  <c r="B17" i="139"/>
  <c r="B15" i="139"/>
  <c r="B14" i="139"/>
  <c r="R13" i="139"/>
  <c r="D13" i="139"/>
  <c r="C10" i="139"/>
  <c r="C28" i="140" s="1"/>
  <c r="C9" i="139"/>
  <c r="C8" i="139"/>
  <c r="K13" i="139"/>
  <c r="I13" i="139"/>
  <c r="E4" i="139"/>
  <c r="F4" i="139" s="1"/>
  <c r="G4" i="139" s="1"/>
  <c r="H4" i="139" s="1"/>
  <c r="I4" i="139" s="1"/>
  <c r="J4" i="139" s="1"/>
  <c r="K4" i="139" s="1"/>
  <c r="L4" i="139" s="1"/>
  <c r="M4" i="139" s="1"/>
  <c r="N18" i="139" l="1"/>
  <c r="O18" i="139" s="1"/>
  <c r="P18" i="139" s="1"/>
  <c r="Q18" i="139" s="1"/>
  <c r="R18" i="139" s="1"/>
  <c r="S18" i="139" s="1"/>
  <c r="D18" i="141" s="1"/>
  <c r="F16" i="140"/>
  <c r="Q20" i="140"/>
  <c r="N15" i="139"/>
  <c r="N4" i="139"/>
  <c r="O4" i="139" s="1"/>
  <c r="P4" i="139" s="1"/>
  <c r="Q4" i="139" s="1"/>
  <c r="R4" i="139" s="1"/>
  <c r="S4" i="139" s="1"/>
  <c r="AZ9" i="138"/>
  <c r="AZ8" i="138"/>
  <c r="AZ7" i="138"/>
  <c r="AZ6" i="138"/>
  <c r="C23" i="142"/>
  <c r="V8" i="141"/>
  <c r="V7" i="141"/>
  <c r="V9" i="141"/>
  <c r="U14" i="141"/>
  <c r="V6" i="141"/>
  <c r="V12" i="141"/>
  <c r="V11" i="141"/>
  <c r="V10" i="141"/>
  <c r="F12" i="140"/>
  <c r="E23" i="139"/>
  <c r="C14" i="139"/>
  <c r="F24" i="140" s="1"/>
  <c r="C7" i="139"/>
  <c r="C27" i="140" s="1"/>
  <c r="C15" i="140"/>
  <c r="S37" i="139" s="1"/>
  <c r="C13" i="140"/>
  <c r="C14" i="140"/>
  <c r="C19" i="140"/>
  <c r="C17" i="140" s="1"/>
  <c r="L13" i="139"/>
  <c r="M13" i="139"/>
  <c r="E13" i="139"/>
  <c r="C6" i="139"/>
  <c r="C26" i="140" s="1"/>
  <c r="Q13" i="139"/>
  <c r="D23" i="139"/>
  <c r="C16" i="139"/>
  <c r="C19" i="139"/>
  <c r="F20" i="140" s="1"/>
  <c r="F19" i="140" s="1"/>
  <c r="K40" i="137"/>
  <c r="K41" i="137"/>
  <c r="P41" i="137"/>
  <c r="O41" i="137"/>
  <c r="P40" i="137"/>
  <c r="O40" i="137"/>
  <c r="T20" i="137"/>
  <c r="N20" i="137"/>
  <c r="T22" i="137"/>
  <c r="N22" i="137"/>
  <c r="S19" i="136"/>
  <c r="S8" i="136"/>
  <c r="S11" i="136"/>
  <c r="S11" i="139" l="1"/>
  <c r="C11" i="139" s="1"/>
  <c r="C24" i="140" s="1"/>
  <c r="E18" i="141"/>
  <c r="F18" i="141" s="1"/>
  <c r="G18" i="141" s="1"/>
  <c r="H18" i="141" s="1"/>
  <c r="I18" i="141" s="1"/>
  <c r="J18" i="141" s="1"/>
  <c r="K18" i="141" s="1"/>
  <c r="L18" i="141" s="1"/>
  <c r="M18" i="141" s="1"/>
  <c r="N18" i="141" s="1"/>
  <c r="O18" i="141" s="1"/>
  <c r="P18" i="141" s="1"/>
  <c r="Q18" i="141" s="1"/>
  <c r="R18" i="141" s="1"/>
  <c r="S18" i="141" s="1"/>
  <c r="C18" i="141"/>
  <c r="F27" i="142" s="1"/>
  <c r="O15" i="139"/>
  <c r="N23" i="139"/>
  <c r="BA6" i="138"/>
  <c r="BA8" i="138"/>
  <c r="BA9" i="138"/>
  <c r="BA7" i="138"/>
  <c r="V13" i="141"/>
  <c r="O35" i="139"/>
  <c r="N35" i="139"/>
  <c r="N37" i="139"/>
  <c r="N36" i="139"/>
  <c r="O36" i="139"/>
  <c r="O37" i="139"/>
  <c r="R37" i="139"/>
  <c r="M37" i="139"/>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P39" i="137"/>
  <c r="O39" i="137"/>
  <c r="P38" i="137"/>
  <c r="O38" i="137"/>
  <c r="P37" i="137"/>
  <c r="O37" i="137"/>
  <c r="P36" i="137"/>
  <c r="O36" i="137"/>
  <c r="S35" i="137"/>
  <c r="T35" i="137" s="1"/>
  <c r="P35" i="137"/>
  <c r="O35" i="137"/>
  <c r="O23" i="139" l="1"/>
  <c r="P15" i="139"/>
  <c r="Q15" i="139" s="1"/>
  <c r="R15" i="139" s="1"/>
  <c r="S15" i="139" s="1"/>
  <c r="D15" i="141" s="1"/>
  <c r="O38" i="139"/>
  <c r="S13" i="139"/>
  <c r="BB7" i="138"/>
  <c r="BB6" i="138"/>
  <c r="BB8" i="138"/>
  <c r="BB9" i="138"/>
  <c r="N38" i="139"/>
  <c r="L38" i="139"/>
  <c r="J38" i="139"/>
  <c r="M38" i="139"/>
  <c r="Q38" i="139"/>
  <c r="K38" i="139"/>
  <c r="F38" i="139"/>
  <c r="H38" i="139"/>
  <c r="S38" i="139"/>
  <c r="R38" i="139"/>
  <c r="D38" i="139"/>
  <c r="G38" i="139"/>
  <c r="P38" i="139"/>
  <c r="H23" i="139"/>
  <c r="G13" i="139"/>
  <c r="P34" i="137"/>
  <c r="O34" i="137"/>
  <c r="P33" i="137"/>
  <c r="O33" i="137"/>
  <c r="P19" i="136"/>
  <c r="E15" i="141" l="1"/>
  <c r="D23" i="141"/>
  <c r="BC8" i="138"/>
  <c r="BC7" i="138"/>
  <c r="BC9" i="138"/>
  <c r="BC6" i="138"/>
  <c r="I23" i="139"/>
  <c r="H13" i="139"/>
  <c r="C12" i="139"/>
  <c r="C25" i="140" s="1"/>
  <c r="P23" i="139"/>
  <c r="P32" i="137"/>
  <c r="O32" i="137"/>
  <c r="N31" i="137"/>
  <c r="T31" i="137"/>
  <c r="P31" i="137"/>
  <c r="O31" i="137"/>
  <c r="N9" i="137"/>
  <c r="F15" i="141" l="1"/>
  <c r="E23" i="141"/>
  <c r="BD9" i="138"/>
  <c r="BD8" i="138"/>
  <c r="BD7" i="138"/>
  <c r="BD6" i="138"/>
  <c r="C23" i="140"/>
  <c r="C13" i="139"/>
  <c r="V12" i="139" s="1"/>
  <c r="J23" i="139"/>
  <c r="Q23" i="139"/>
  <c r="O6" i="136"/>
  <c r="G15" i="141" l="1"/>
  <c r="F23" i="141"/>
  <c r="BE6" i="138"/>
  <c r="BE8" i="138"/>
  <c r="BE7" i="138"/>
  <c r="BE9" i="138"/>
  <c r="K23" i="139"/>
  <c r="U14" i="139"/>
  <c r="V8" i="139"/>
  <c r="V10" i="139"/>
  <c r="V7" i="139"/>
  <c r="V9" i="139"/>
  <c r="V11" i="139"/>
  <c r="V6" i="139"/>
  <c r="S23" i="139"/>
  <c r="R23" i="139"/>
  <c r="M14" i="136"/>
  <c r="M10" i="136"/>
  <c r="M6" i="136"/>
  <c r="T30" i="137"/>
  <c r="P30" i="137"/>
  <c r="O30" i="137"/>
  <c r="H15" i="141" l="1"/>
  <c r="G23" i="141"/>
  <c r="BH5" i="138"/>
  <c r="BI5" i="138" s="1"/>
  <c r="BJ5" i="138" s="1"/>
  <c r="BK5" i="138" s="1"/>
  <c r="BL5" i="138" s="1"/>
  <c r="BM5" i="138" s="1"/>
  <c r="BN5" i="138" s="1"/>
  <c r="BO5" i="138" s="1"/>
  <c r="BP5" i="138" s="1"/>
  <c r="BQ5" i="138" s="1"/>
  <c r="BR5" i="138" s="1"/>
  <c r="BS5" i="138" s="1"/>
  <c r="BT5" i="138" s="1"/>
  <c r="BU5" i="138" s="1"/>
  <c r="BV5" i="138" s="1"/>
  <c r="BW5" i="138" s="1"/>
  <c r="BX5" i="138" s="1"/>
  <c r="BY5" i="138" s="1"/>
  <c r="BZ5" i="138" s="1"/>
  <c r="CA5" i="138" s="1"/>
  <c r="CB5" i="138" s="1"/>
  <c r="CC5" i="138" s="1"/>
  <c r="CD5" i="138" s="1"/>
  <c r="CE5" i="138" s="1"/>
  <c r="CF5" i="138" s="1"/>
  <c r="CG5" i="138" s="1"/>
  <c r="CH5" i="138" s="1"/>
  <c r="CI5" i="138" s="1"/>
  <c r="BF7" i="138"/>
  <c r="BF6" i="138"/>
  <c r="BF9" i="138"/>
  <c r="BF8" i="138"/>
  <c r="C23" i="139"/>
  <c r="V13" i="139"/>
  <c r="C15" i="139"/>
  <c r="F25" i="140" s="1"/>
  <c r="F23" i="140" s="1"/>
  <c r="V25" i="139"/>
  <c r="K6" i="136"/>
  <c r="I15" i="141" l="1"/>
  <c r="H23" i="141"/>
  <c r="F33" i="140"/>
  <c r="F17" i="140"/>
  <c r="F11" i="140" s="1"/>
  <c r="V24" i="139"/>
  <c r="V27" i="139"/>
  <c r="V26" i="139"/>
  <c r="V23" i="139"/>
  <c r="V29" i="139"/>
  <c r="V30" i="139"/>
  <c r="V31" i="139"/>
  <c r="V28" i="139"/>
  <c r="U35" i="139"/>
  <c r="N29" i="137"/>
  <c r="O29" i="137" s="1"/>
  <c r="T29" i="137"/>
  <c r="P29" i="137"/>
  <c r="J9" i="136"/>
  <c r="J15" i="141" l="1"/>
  <c r="I23" i="141"/>
  <c r="F9" i="142"/>
  <c r="V34" i="139"/>
  <c r="P28" i="137"/>
  <c r="O28" i="137"/>
  <c r="P27" i="137"/>
  <c r="O27" i="137"/>
  <c r="N26" i="137"/>
  <c r="O26" i="137" s="1"/>
  <c r="T26" i="137"/>
  <c r="P26" i="137"/>
  <c r="N19" i="137"/>
  <c r="I14" i="136"/>
  <c r="K15" i="141" l="1"/>
  <c r="J23" i="141"/>
  <c r="I6" i="136"/>
  <c r="L15" i="141" l="1"/>
  <c r="K23" i="141"/>
  <c r="P25" i="137"/>
  <c r="O25" i="137"/>
  <c r="M15" i="141" l="1"/>
  <c r="L23" i="141"/>
  <c r="N5" i="137"/>
  <c r="N15" i="141" l="1"/>
  <c r="M23" i="141"/>
  <c r="O24" i="137"/>
  <c r="P24" i="137"/>
  <c r="G19" i="136"/>
  <c r="T8" i="137"/>
  <c r="T10" i="137"/>
  <c r="T13" i="137"/>
  <c r="T15" i="137"/>
  <c r="T21" i="137"/>
  <c r="N10" i="137"/>
  <c r="O15" i="141" l="1"/>
  <c r="N23" i="141"/>
  <c r="AU7" i="11"/>
  <c r="AT7" i="11" s="1"/>
  <c r="AT8" i="11" s="1"/>
  <c r="AR8" i="11"/>
  <c r="AQ8" i="11" s="1"/>
  <c r="AN8" i="11"/>
  <c r="AO8" i="11" s="1"/>
  <c r="P15" i="141" l="1"/>
  <c r="O23" i="141"/>
  <c r="B38" i="138"/>
  <c r="B36" i="138"/>
  <c r="Q15" i="141" l="1"/>
  <c r="P23" i="141"/>
  <c r="CI25" i="138"/>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E36" i="138"/>
  <c r="E37" i="138"/>
  <c r="E38" i="138"/>
  <c r="E35" i="138"/>
  <c r="D36" i="138"/>
  <c r="F36" i="138" s="1"/>
  <c r="D37" i="138"/>
  <c r="F37" i="138" s="1"/>
  <c r="D38" i="138"/>
  <c r="F38" i="138" s="1"/>
  <c r="D35" i="138"/>
  <c r="C36" i="138"/>
  <c r="C37" i="138"/>
  <c r="C38" i="138"/>
  <c r="C35" i="138"/>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AQ11" i="138" s="1"/>
  <c r="AR11" i="138" s="1"/>
  <c r="AS11" i="138" s="1"/>
  <c r="AT11" i="138" s="1"/>
  <c r="AU11" i="138" s="1"/>
  <c r="AV11" i="138" s="1"/>
  <c r="AW11" i="138" s="1"/>
  <c r="AX11" i="138" s="1"/>
  <c r="AY11" i="138" s="1"/>
  <c r="AZ11" i="138" s="1"/>
  <c r="BA11" i="138" s="1"/>
  <c r="BB11" i="138" s="1"/>
  <c r="BC11" i="138" s="1"/>
  <c r="BD11" i="138" s="1"/>
  <c r="BE11" i="138" s="1"/>
  <c r="BF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AQ10" i="138" s="1"/>
  <c r="AR10" i="138" s="1"/>
  <c r="AS10" i="138" s="1"/>
  <c r="AT10" i="138" s="1"/>
  <c r="AU10" i="138" s="1"/>
  <c r="AV10" i="138" s="1"/>
  <c r="AW10" i="138" s="1"/>
  <c r="AX10" i="138" s="1"/>
  <c r="AY10" i="138" s="1"/>
  <c r="AZ10" i="138" s="1"/>
  <c r="BA10" i="138" s="1"/>
  <c r="BB10" i="138" s="1"/>
  <c r="BC10" i="138" s="1"/>
  <c r="BD10" i="138" s="1"/>
  <c r="BE10" i="138" s="1"/>
  <c r="BF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24" i="138" s="1"/>
  <c r="K15" i="138"/>
  <c r="K14" i="138"/>
  <c r="F12" i="138"/>
  <c r="F13" i="138"/>
  <c r="F14" i="138"/>
  <c r="F15" i="138"/>
  <c r="F16" i="138"/>
  <c r="F17" i="138"/>
  <c r="F18" i="138"/>
  <c r="F19" i="138"/>
  <c r="F20" i="138"/>
  <c r="F21" i="138"/>
  <c r="F11" i="138"/>
  <c r="B4" i="138"/>
  <c r="F35" i="138" l="1"/>
  <c r="R15" i="141"/>
  <c r="Q23" i="141"/>
  <c r="K38" i="138"/>
  <c r="BG10" i="138"/>
  <c r="BH10" i="138" s="1"/>
  <c r="BG11" i="138"/>
  <c r="BH11" i="138" s="1"/>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19" i="138"/>
  <c r="L33" i="138"/>
  <c r="L28" i="138"/>
  <c r="F28" i="138"/>
  <c r="E28" i="138"/>
  <c r="D28" i="138"/>
  <c r="D25" i="138"/>
  <c r="E25" i="138"/>
  <c r="D27" i="138"/>
  <c r="E27" i="138"/>
  <c r="L31" i="138"/>
  <c r="N15" i="137"/>
  <c r="S15" i="141" l="1"/>
  <c r="R23" i="141"/>
  <c r="CI26" i="138"/>
  <c r="CI41" i="138" s="1"/>
  <c r="CE26" i="138"/>
  <c r="CE41" i="138" s="1"/>
  <c r="CA26" i="138"/>
  <c r="CA41" i="138" s="1"/>
  <c r="BW26" i="138"/>
  <c r="BW41" i="138" s="1"/>
  <c r="BS26" i="138"/>
  <c r="BS41" i="138" s="1"/>
  <c r="BO26" i="138"/>
  <c r="BO41" i="138" s="1"/>
  <c r="BK26" i="138"/>
  <c r="BK41" i="138" s="1"/>
  <c r="BG26" i="138"/>
  <c r="BG41" i="138" s="1"/>
  <c r="AR26" i="138"/>
  <c r="AV26" i="138"/>
  <c r="AZ26" i="138"/>
  <c r="CH26" i="138"/>
  <c r="CH41" i="138" s="1"/>
  <c r="CD26" i="138"/>
  <c r="BZ26" i="138"/>
  <c r="BV26" i="138"/>
  <c r="BR26" i="138"/>
  <c r="BR41" i="138" s="1"/>
  <c r="BN26" i="138"/>
  <c r="BJ26" i="138"/>
  <c r="BF26" i="138"/>
  <c r="AS26" i="138"/>
  <c r="AS41" i="138" s="1"/>
  <c r="AW26" i="138"/>
  <c r="AW41" i="138" s="1"/>
  <c r="BA26" i="138"/>
  <c r="BA41" i="138" s="1"/>
  <c r="CG26" i="138"/>
  <c r="CG41" i="138" s="1"/>
  <c r="CC26" i="138"/>
  <c r="CC41" i="138" s="1"/>
  <c r="BY26" i="138"/>
  <c r="BY41" i="138" s="1"/>
  <c r="BU26" i="138"/>
  <c r="BU41" i="138" s="1"/>
  <c r="BQ26" i="138"/>
  <c r="BQ41" i="138" s="1"/>
  <c r="BM26" i="138"/>
  <c r="BM41" i="138" s="1"/>
  <c r="BI26" i="138"/>
  <c r="BI41" i="138" s="1"/>
  <c r="BE26" i="138"/>
  <c r="BE41" i="138" s="1"/>
  <c r="AT26" i="138"/>
  <c r="AX26" i="138"/>
  <c r="BB26" i="138"/>
  <c r="BB41" i="138" s="1"/>
  <c r="CF26" i="138"/>
  <c r="CB26" i="138"/>
  <c r="BX26" i="138"/>
  <c r="BT26" i="138"/>
  <c r="BP26" i="138"/>
  <c r="BL26" i="138"/>
  <c r="BH26" i="138"/>
  <c r="BD26" i="138"/>
  <c r="AQ26" i="138"/>
  <c r="AQ41" i="138" s="1"/>
  <c r="AU26" i="138"/>
  <c r="AU41" i="138" s="1"/>
  <c r="AY26" i="138"/>
  <c r="AY41" i="138" s="1"/>
  <c r="BC26" i="138"/>
  <c r="BC41" i="138" s="1"/>
  <c r="M23" i="138"/>
  <c r="BI11" i="138"/>
  <c r="BJ11"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25" i="138"/>
  <c r="M18" i="138"/>
  <c r="L7" i="29"/>
  <c r="L5" i="29"/>
  <c r="L4" i="29"/>
  <c r="K4" i="29"/>
  <c r="K5" i="29"/>
  <c r="K6" i="29"/>
  <c r="K7" i="29"/>
  <c r="K8" i="29" s="1"/>
  <c r="D15" i="144" l="1"/>
  <c r="S23" i="141"/>
  <c r="C23" i="141" s="1"/>
  <c r="C15" i="141"/>
  <c r="BK11" i="138"/>
  <c r="BL11" i="138" s="1"/>
  <c r="BK10" i="138"/>
  <c r="BL10"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32" i="138"/>
  <c r="N27" i="138"/>
  <c r="N33" i="138"/>
  <c r="E4" i="136"/>
  <c r="F25" i="142" l="1"/>
  <c r="V24" i="141"/>
  <c r="V29" i="141"/>
  <c r="U35" i="141"/>
  <c r="V27" i="141"/>
  <c r="V26" i="141"/>
  <c r="V23" i="141"/>
  <c r="V34" i="141" s="1"/>
  <c r="V25" i="141"/>
  <c r="V28" i="141"/>
  <c r="V31" i="141"/>
  <c r="V30" i="141"/>
  <c r="E15" i="144"/>
  <c r="D23" i="144"/>
  <c r="M41" i="138"/>
  <c r="BM11" i="138"/>
  <c r="BN11" i="138" s="1"/>
  <c r="BM10" i="138"/>
  <c r="BN10" i="138" s="1"/>
  <c r="AW17" i="138"/>
  <c r="L44" i="138"/>
  <c r="M42" i="138"/>
  <c r="P16" i="138"/>
  <c r="Q16" i="138" s="1"/>
  <c r="T12" i="138"/>
  <c r="U12" i="138" s="1"/>
  <c r="N31" i="138"/>
  <c r="N29" i="138"/>
  <c r="N34" i="138"/>
  <c r="N30" i="138"/>
  <c r="P15" i="138"/>
  <c r="N28" i="138"/>
  <c r="P14" i="138"/>
  <c r="R13" i="138"/>
  <c r="S13" i="138" s="1"/>
  <c r="F17" i="136"/>
  <c r="F15" i="144" l="1"/>
  <c r="E23" i="144"/>
  <c r="F23" i="142"/>
  <c r="M43" i="138"/>
  <c r="M44" i="138" s="1"/>
  <c r="BO10" i="138"/>
  <c r="BP10"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32" i="138"/>
  <c r="P27" i="138"/>
  <c r="O23" i="137"/>
  <c r="P23" i="137"/>
  <c r="P22" i="137"/>
  <c r="O22" i="137"/>
  <c r="Q22" i="137" s="1"/>
  <c r="F17" i="142" l="1"/>
  <c r="F33" i="142"/>
  <c r="G15" i="144"/>
  <c r="F23" i="144"/>
  <c r="BQ11" i="138"/>
  <c r="BR11" i="138" s="1"/>
  <c r="BS11" i="138" s="1"/>
  <c r="BT11" i="138" s="1"/>
  <c r="BU11" i="138" s="1"/>
  <c r="BV11" i="138" s="1"/>
  <c r="BW11" i="138" s="1"/>
  <c r="BX11" i="138" s="1"/>
  <c r="BY11" i="138" s="1"/>
  <c r="BZ11" i="138" s="1"/>
  <c r="CA11" i="138" s="1"/>
  <c r="CB11" i="138" s="1"/>
  <c r="CC11" i="138" s="1"/>
  <c r="CD11" i="138" s="1"/>
  <c r="CE11" i="138" s="1"/>
  <c r="CF11" i="138" s="1"/>
  <c r="CG11" i="138" s="1"/>
  <c r="CH11" i="138" s="1"/>
  <c r="CI11" i="138" s="1"/>
  <c r="BQ10" i="138"/>
  <c r="BR10" i="138" s="1"/>
  <c r="BS10" i="138" s="1"/>
  <c r="BT10" i="138" s="1"/>
  <c r="BU10" i="138" s="1"/>
  <c r="BV10" i="138" s="1"/>
  <c r="BW10" i="138" s="1"/>
  <c r="BX10" i="138" s="1"/>
  <c r="BY10" i="138" s="1"/>
  <c r="BZ10" i="138" s="1"/>
  <c r="CA10" i="138" s="1"/>
  <c r="CB10" i="138" s="1"/>
  <c r="CC10" i="138" s="1"/>
  <c r="CD10" i="138" s="1"/>
  <c r="CE10" i="138" s="1"/>
  <c r="CF10" i="138" s="1"/>
  <c r="CG10" i="138" s="1"/>
  <c r="CH10" i="138" s="1"/>
  <c r="CI10" i="138" s="1"/>
  <c r="AY17" i="138"/>
  <c r="N44" i="138"/>
  <c r="O41" i="138"/>
  <c r="O42" i="138"/>
  <c r="Z12" i="138"/>
  <c r="AA12" i="138" s="1"/>
  <c r="S16" i="138"/>
  <c r="P33" i="138"/>
  <c r="P29" i="138"/>
  <c r="P31" i="138"/>
  <c r="R15" i="138"/>
  <c r="P34" i="138"/>
  <c r="P30" i="138"/>
  <c r="R14" i="138"/>
  <c r="V13" i="138"/>
  <c r="W13" i="138" s="1"/>
  <c r="X13" i="138" s="1"/>
  <c r="Y13" i="138" s="1"/>
  <c r="Q23" i="138"/>
  <c r="H15" i="144" l="1"/>
  <c r="G23" i="144"/>
  <c r="F11" i="142"/>
  <c r="AZ17" i="138"/>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28" i="138"/>
  <c r="R31" i="138"/>
  <c r="N8" i="137"/>
  <c r="N13" i="137"/>
  <c r="P21" i="137"/>
  <c r="O21" i="137"/>
  <c r="D8" i="136"/>
  <c r="F42" i="136"/>
  <c r="G42" i="136"/>
  <c r="H42" i="136"/>
  <c r="I42" i="136"/>
  <c r="J42" i="136"/>
  <c r="K42" i="136"/>
  <c r="L42" i="136"/>
  <c r="M42" i="136"/>
  <c r="M7" i="136" s="1"/>
  <c r="N42" i="136"/>
  <c r="O42" i="136"/>
  <c r="P42" i="136"/>
  <c r="Q42" i="136"/>
  <c r="R42" i="136"/>
  <c r="S42" i="136"/>
  <c r="E42" i="136"/>
  <c r="K20" i="137"/>
  <c r="P20" i="137" s="1"/>
  <c r="K19" i="137"/>
  <c r="O20" i="137"/>
  <c r="Q20" i="137" s="1"/>
  <c r="P19" i="137"/>
  <c r="O19" i="137"/>
  <c r="Q19" i="137" s="1"/>
  <c r="P83" i="133"/>
  <c r="O83" i="133"/>
  <c r="P82" i="133"/>
  <c r="O82" i="133"/>
  <c r="S19" i="134"/>
  <c r="F9" i="145" l="1"/>
  <c r="I15" i="144"/>
  <c r="H23" i="144"/>
  <c r="BA17" i="138"/>
  <c r="P44" i="138"/>
  <c r="AD12" i="138"/>
  <c r="AE12" i="138" s="1"/>
  <c r="Q42" i="138"/>
  <c r="Q41" i="138"/>
  <c r="R27" i="138"/>
  <c r="R30" i="138"/>
  <c r="R34" i="138"/>
  <c r="T14" i="138"/>
  <c r="R32" i="138"/>
  <c r="R29" i="138"/>
  <c r="R33" i="138"/>
  <c r="U16" i="138"/>
  <c r="T15" i="138"/>
  <c r="AB13" i="138"/>
  <c r="AC13" i="138" s="1"/>
  <c r="S23" i="138"/>
  <c r="S31" i="138"/>
  <c r="P18" i="137"/>
  <c r="O18" i="137"/>
  <c r="P81" i="133"/>
  <c r="O81" i="133"/>
  <c r="J15" i="144" l="1"/>
  <c r="I23" i="144"/>
  <c r="BB17" i="138"/>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32" i="138"/>
  <c r="T27" i="138"/>
  <c r="F14" i="136"/>
  <c r="S14"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Q9" i="137" s="1"/>
  <c r="P8" i="137"/>
  <c r="O8" i="137"/>
  <c r="Q8" i="137" s="1"/>
  <c r="P7" i="137"/>
  <c r="O7" i="137"/>
  <c r="P6" i="137"/>
  <c r="O6" i="137"/>
  <c r="P5" i="137"/>
  <c r="O5" i="137"/>
  <c r="Q5" i="137" s="1"/>
  <c r="P4" i="137"/>
  <c r="O4" i="137"/>
  <c r="F13" i="137"/>
  <c r="C12" i="137"/>
  <c r="F4" i="136"/>
  <c r="B22" i="136"/>
  <c r="B18" i="136"/>
  <c r="B17" i="136"/>
  <c r="B15" i="136"/>
  <c r="B14" i="136"/>
  <c r="K15" i="144" l="1"/>
  <c r="K23" i="144" s="1"/>
  <c r="C23" i="144" s="1"/>
  <c r="J23" i="144"/>
  <c r="C15" i="144"/>
  <c r="C13" i="137"/>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22" i="138"/>
  <c r="L37" i="136"/>
  <c r="C17" i="137"/>
  <c r="G4" i="136"/>
  <c r="H4" i="136" s="1"/>
  <c r="I4" i="136" s="1"/>
  <c r="J4" i="136" s="1"/>
  <c r="K4" i="136" s="1"/>
  <c r="L4" i="136" s="1"/>
  <c r="M4" i="136" s="1"/>
  <c r="N4" i="136" s="1"/>
  <c r="O4" i="136" s="1"/>
  <c r="P4" i="136" s="1"/>
  <c r="Q4" i="136" s="1"/>
  <c r="R4" i="136" s="1"/>
  <c r="S4" i="136" s="1"/>
  <c r="C11" i="136" s="1"/>
  <c r="C24" i="137" s="1"/>
  <c r="C21" i="136"/>
  <c r="F28" i="137" s="1"/>
  <c r="Q10" i="136"/>
  <c r="C8" i="136"/>
  <c r="C9" i="136"/>
  <c r="C12" i="136"/>
  <c r="C25" i="137" s="1"/>
  <c r="C19" i="136"/>
  <c r="F20" i="137" s="1"/>
  <c r="F19" i="137" s="1"/>
  <c r="F14" i="137"/>
  <c r="F16" i="137"/>
  <c r="F12" i="137"/>
  <c r="C14" i="137"/>
  <c r="C20" i="136"/>
  <c r="E13" i="136"/>
  <c r="C16" i="136"/>
  <c r="C17" i="136"/>
  <c r="F26" i="137" s="1"/>
  <c r="C22" i="136"/>
  <c r="F29" i="137" s="1"/>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F25" i="145" l="1"/>
  <c r="V24" i="144"/>
  <c r="V25" i="144"/>
  <c r="V29" i="144"/>
  <c r="V31" i="144"/>
  <c r="U35" i="144"/>
  <c r="V27" i="144"/>
  <c r="V28" i="144"/>
  <c r="V30" i="144"/>
  <c r="V23" i="144"/>
  <c r="V26" i="144"/>
  <c r="L36" i="136"/>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32" i="138"/>
  <c r="V27" i="138"/>
  <c r="I38" i="136"/>
  <c r="F38" i="136"/>
  <c r="G38" i="136"/>
  <c r="K38" i="136"/>
  <c r="O38" i="136"/>
  <c r="H38" i="136"/>
  <c r="L35" i="136"/>
  <c r="C7" i="136"/>
  <c r="C27" i="137" s="1"/>
  <c r="F13" i="136"/>
  <c r="C10" i="136"/>
  <c r="C28" i="137" s="1"/>
  <c r="H13" i="136"/>
  <c r="I13" i="136"/>
  <c r="J13" i="136"/>
  <c r="G13" i="136"/>
  <c r="K13" i="136"/>
  <c r="C11" i="137"/>
  <c r="C18" i="136"/>
  <c r="F27" i="137" s="1"/>
  <c r="O59" i="133"/>
  <c r="Q59" i="133" s="1"/>
  <c r="P46" i="133"/>
  <c r="O46" i="133"/>
  <c r="N14" i="133"/>
  <c r="P8" i="134"/>
  <c r="V34" i="144" l="1"/>
  <c r="F23" i="145"/>
  <c r="L38" i="136"/>
  <c r="V28" i="138"/>
  <c r="BP17" i="138"/>
  <c r="T44" i="138"/>
  <c r="U42" i="138"/>
  <c r="U41" i="138"/>
  <c r="AL12" i="138"/>
  <c r="AM12" i="138" s="1"/>
  <c r="AN12" i="138" s="1"/>
  <c r="V31" i="138"/>
  <c r="X15" i="138"/>
  <c r="V29" i="138"/>
  <c r="V33" i="138"/>
  <c r="Y16" i="138"/>
  <c r="X14" i="138"/>
  <c r="V30" i="138"/>
  <c r="V34" i="138"/>
  <c r="AJ13" i="138"/>
  <c r="AK13" i="138" s="1"/>
  <c r="W28" i="138"/>
  <c r="W31" i="138"/>
  <c r="L13" i="136"/>
  <c r="F15" i="137"/>
  <c r="C14" i="136"/>
  <c r="F24" i="137" s="1"/>
  <c r="N66" i="133"/>
  <c r="Q7" i="134"/>
  <c r="F17" i="145" l="1"/>
  <c r="F11" i="145" s="1"/>
  <c r="F33" i="145"/>
  <c r="BQ17" i="138"/>
  <c r="V42" i="138"/>
  <c r="V43" i="138" s="1"/>
  <c r="AO12" i="138"/>
  <c r="AP12" i="138" s="1"/>
  <c r="AQ12" i="138" s="1"/>
  <c r="AR12" i="138" s="1"/>
  <c r="AS12" i="138" s="1"/>
  <c r="AT12" i="138" s="1"/>
  <c r="AU12" i="138" s="1"/>
  <c r="AV12" i="138" s="1"/>
  <c r="AW12" i="138" s="1"/>
  <c r="AX12" i="138" s="1"/>
  <c r="AY12" i="138" s="1"/>
  <c r="AZ12" i="138" s="1"/>
  <c r="BA12" i="138" s="1"/>
  <c r="BB12" i="138" s="1"/>
  <c r="BC12" i="138" s="1"/>
  <c r="BD12" i="138" s="1"/>
  <c r="BE12" i="138" s="1"/>
  <c r="BF12" i="138" s="1"/>
  <c r="BG12" i="138" s="1"/>
  <c r="BH12" i="138" s="1"/>
  <c r="BI12" i="138" s="1"/>
  <c r="BJ12" i="138" s="1"/>
  <c r="BK12" i="138" s="1"/>
  <c r="BL12" i="138" s="1"/>
  <c r="BM12" i="138" s="1"/>
  <c r="BN12" i="138" s="1"/>
  <c r="BO12" i="138" s="1"/>
  <c r="BP12" i="138" s="1"/>
  <c r="BQ12" i="138" s="1"/>
  <c r="BR12" i="138" s="1"/>
  <c r="BS12" i="138" s="1"/>
  <c r="BT12" i="138" s="1"/>
  <c r="BU12" i="138" s="1"/>
  <c r="BV12" i="138" s="1"/>
  <c r="BW12" i="138" s="1"/>
  <c r="BX12" i="138" s="1"/>
  <c r="BY12" i="138" s="1"/>
  <c r="BZ12" i="138" s="1"/>
  <c r="CA12" i="138" s="1"/>
  <c r="CB12" i="138" s="1"/>
  <c r="CC12" i="138" s="1"/>
  <c r="CD12" i="138" s="1"/>
  <c r="CE12" i="138" s="1"/>
  <c r="CF12" i="138" s="1"/>
  <c r="CG12" i="138" s="1"/>
  <c r="CH12" i="138" s="1"/>
  <c r="CI12" i="138" s="1"/>
  <c r="U43" i="138"/>
  <c r="U44" i="138" s="1"/>
  <c r="W27" i="138"/>
  <c r="W29" i="138"/>
  <c r="W33" i="138"/>
  <c r="W32" i="138"/>
  <c r="W30" i="138"/>
  <c r="W34" i="138"/>
  <c r="Z16" i="138"/>
  <c r="Y14" i="138"/>
  <c r="Y15" i="138"/>
  <c r="AL13" i="138"/>
  <c r="AM13" i="138" s="1"/>
  <c r="AN13" i="138" s="1"/>
  <c r="X32" i="138"/>
  <c r="X31" i="138"/>
  <c r="M13" i="136"/>
  <c r="O19" i="134"/>
  <c r="P67" i="133"/>
  <c r="O67" i="133"/>
  <c r="N24" i="133"/>
  <c r="BR17" i="138" l="1"/>
  <c r="V44" i="138"/>
  <c r="W42" i="138"/>
  <c r="W43" i="138" s="1"/>
  <c r="X28" i="138"/>
  <c r="X29" i="138"/>
  <c r="X33" i="138"/>
  <c r="Z14" i="138"/>
  <c r="X30" i="138"/>
  <c r="X34" i="138"/>
  <c r="Z15" i="138"/>
  <c r="AA16" i="138"/>
  <c r="X27" i="138"/>
  <c r="AO13" i="138"/>
  <c r="AP13" i="138" s="1"/>
  <c r="AQ13" i="138" s="1"/>
  <c r="AR13" i="138" s="1"/>
  <c r="AS13" i="138" s="1"/>
  <c r="AT13" i="138" s="1"/>
  <c r="AU13" i="138" s="1"/>
  <c r="AV13" i="138" s="1"/>
  <c r="AW13" i="138" s="1"/>
  <c r="AX13" i="138" s="1"/>
  <c r="AY13" i="138" s="1"/>
  <c r="AZ13" i="138" s="1"/>
  <c r="BA13" i="138" s="1"/>
  <c r="BB13" i="138" s="1"/>
  <c r="BC13" i="138" s="1"/>
  <c r="BD13" i="138" s="1"/>
  <c r="BE13" i="138" s="1"/>
  <c r="BF13" i="138" s="1"/>
  <c r="BG13" i="138" s="1"/>
  <c r="BH13" i="138" s="1"/>
  <c r="BI13" i="138" s="1"/>
  <c r="BJ13" i="138" s="1"/>
  <c r="BK13" i="138" s="1"/>
  <c r="BL13" i="138" s="1"/>
  <c r="BM13" i="138" s="1"/>
  <c r="BN13" i="138" s="1"/>
  <c r="BO13" i="138" s="1"/>
  <c r="BP13" i="138" s="1"/>
  <c r="BQ13" i="138" s="1"/>
  <c r="BR13" i="138" s="1"/>
  <c r="BS13" i="138" s="1"/>
  <c r="BT13" i="138" s="1"/>
  <c r="BU13" i="138" s="1"/>
  <c r="BV13" i="138" s="1"/>
  <c r="BW13" i="138" s="1"/>
  <c r="BX13" i="138" s="1"/>
  <c r="BY13" i="138" s="1"/>
  <c r="BZ13" i="138" s="1"/>
  <c r="CA13" i="138" s="1"/>
  <c r="CB13" i="138" s="1"/>
  <c r="CC13" i="138" s="1"/>
  <c r="CD13" i="138" s="1"/>
  <c r="CE13" i="138" s="1"/>
  <c r="CF13" i="138" s="1"/>
  <c r="CG13" i="138" s="1"/>
  <c r="CH13" i="138" s="1"/>
  <c r="CI13" i="138" s="1"/>
  <c r="Y23" i="138"/>
  <c r="N1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27" i="138"/>
  <c r="Z28" i="138"/>
  <c r="O13" i="136"/>
  <c r="N12" i="133"/>
  <c r="M6" i="134"/>
  <c r="X44" i="138" l="1"/>
  <c r="Z31" i="138"/>
  <c r="Y42" i="138"/>
  <c r="Y41" i="138"/>
  <c r="Z32" i="138"/>
  <c r="Z34" i="138"/>
  <c r="Z30" i="138"/>
  <c r="AB15" i="138"/>
  <c r="AB14" i="138"/>
  <c r="Z29" i="138"/>
  <c r="Z33" i="138"/>
  <c r="AC16" i="138"/>
  <c r="AA32" i="138"/>
  <c r="P13" i="136"/>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Q13" i="133" s="1"/>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L8" i="134"/>
  <c r="N41" i="133" l="1"/>
  <c r="C18" i="133"/>
  <c r="Y43" i="138"/>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28" i="138"/>
  <c r="AB27" i="138"/>
  <c r="Q13" i="136"/>
  <c r="Q66" i="133"/>
  <c r="Q14" i="133"/>
  <c r="Q24" i="133"/>
  <c r="P63" i="133"/>
  <c r="O63" i="133"/>
  <c r="G6" i="134"/>
  <c r="AA41" i="138" l="1"/>
  <c r="Z44" i="138"/>
  <c r="AA42" i="138"/>
  <c r="AB31" i="138"/>
  <c r="AB32" i="138"/>
  <c r="AB29" i="138"/>
  <c r="AB33" i="138"/>
  <c r="AE16" i="138"/>
  <c r="AD15" i="138"/>
  <c r="AB30" i="138"/>
  <c r="AB34" i="138"/>
  <c r="AD14" i="138"/>
  <c r="AC18" i="138"/>
  <c r="AC32" i="138"/>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33" i="138"/>
  <c r="AC29" i="138"/>
  <c r="AE15" i="138"/>
  <c r="AC30" i="138"/>
  <c r="AC34" i="138"/>
  <c r="AF16" i="138"/>
  <c r="AE14" i="138"/>
  <c r="AD32" i="138"/>
  <c r="AD27" i="138"/>
  <c r="C26" i="137"/>
  <c r="C23" i="137" s="1"/>
  <c r="C13" i="136"/>
  <c r="Q53" i="133"/>
  <c r="Q41" i="133"/>
  <c r="P56" i="133"/>
  <c r="O56" i="133"/>
  <c r="P12" i="133"/>
  <c r="O12" i="133"/>
  <c r="P48" i="133"/>
  <c r="O48" i="133"/>
  <c r="AC41" i="138" l="1"/>
  <c r="AB44" i="138"/>
  <c r="AC42" i="138"/>
  <c r="AC43" i="138" s="1"/>
  <c r="AD28" i="138"/>
  <c r="AD31" i="138"/>
  <c r="AD30" i="138"/>
  <c r="AD34" i="138"/>
  <c r="AF14" i="138"/>
  <c r="AF15" i="138"/>
  <c r="AD33" i="138"/>
  <c r="AD29" i="138"/>
  <c r="AG16" i="138"/>
  <c r="AE23" i="138"/>
  <c r="U14" i="136"/>
  <c r="V12" i="136"/>
  <c r="V9" i="136"/>
  <c r="V7" i="136"/>
  <c r="V8" i="136"/>
  <c r="V11" i="136"/>
  <c r="V10" i="136"/>
  <c r="V6"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32" i="138"/>
  <c r="AF27" i="138"/>
  <c r="V13" i="136"/>
  <c r="Q44" i="133"/>
  <c r="P17" i="133"/>
  <c r="O17" i="133"/>
  <c r="N79" i="133"/>
  <c r="N36" i="133"/>
  <c r="N26" i="133"/>
  <c r="P69" i="133"/>
  <c r="O69" i="133"/>
  <c r="E19" i="134"/>
  <c r="P58" i="133"/>
  <c r="O58" i="133"/>
  <c r="E6" i="134"/>
  <c r="AF28" i="138" l="1"/>
  <c r="AD44" i="138"/>
  <c r="AE41" i="138"/>
  <c r="AE42" i="138"/>
  <c r="AF31" i="138"/>
  <c r="AF34" i="138"/>
  <c r="AF30" i="138"/>
  <c r="AF33" i="138"/>
  <c r="AF29" i="138"/>
  <c r="AI16" i="138"/>
  <c r="AH14" i="138"/>
  <c r="AH15" i="138"/>
  <c r="AG22" i="138"/>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28" i="138"/>
  <c r="AH27" i="138"/>
  <c r="Q25" i="133"/>
  <c r="P51" i="133"/>
  <c r="O51" i="133"/>
  <c r="P15" i="133"/>
  <c r="O15" i="133"/>
  <c r="P21" i="133"/>
  <c r="O21" i="133"/>
  <c r="N21" i="123"/>
  <c r="AG41" i="138" l="1"/>
  <c r="AF44" i="138"/>
  <c r="AH32" i="138"/>
  <c r="AG42" i="138"/>
  <c r="AH31" i="138"/>
  <c r="AK16" i="138"/>
  <c r="AH30" i="138"/>
  <c r="AH34" i="138"/>
  <c r="AJ14" i="138"/>
  <c r="AJ15" i="138"/>
  <c r="AH29" i="138"/>
  <c r="AH33" i="138"/>
  <c r="AI23" i="138"/>
  <c r="Q15" i="133"/>
  <c r="M41" i="59"/>
  <c r="O41" i="59" s="1"/>
  <c r="M40" i="59"/>
  <c r="O40" i="59" s="1"/>
  <c r="M39" i="59"/>
  <c r="O39" i="59" s="1"/>
  <c r="O34" i="59"/>
  <c r="O35" i="59"/>
  <c r="O36" i="59"/>
  <c r="O37" i="59"/>
  <c r="O38"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32" i="138"/>
  <c r="AJ27" i="138"/>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22" i="138"/>
  <c r="AK19" i="138"/>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L32" i="138"/>
  <c r="AL27" i="138"/>
  <c r="P74" i="133"/>
  <c r="O74" i="133"/>
  <c r="P23" i="133"/>
  <c r="O23" i="133"/>
  <c r="P72" i="133"/>
  <c r="O72" i="133"/>
  <c r="P71" i="133"/>
  <c r="O71" i="133"/>
  <c r="P33" i="133"/>
  <c r="O33" i="133"/>
  <c r="N30" i="133"/>
  <c r="AL28" i="138" l="1"/>
  <c r="AJ44" i="138"/>
  <c r="AK42" i="138"/>
  <c r="AK41" i="138"/>
  <c r="AN15" i="138"/>
  <c r="AL31" i="138"/>
  <c r="AL29" i="138"/>
  <c r="AL33" i="138"/>
  <c r="AO16" i="138"/>
  <c r="AL34" i="138"/>
  <c r="AL30" i="138"/>
  <c r="AN14" i="138"/>
  <c r="AM28" i="138"/>
  <c r="AM31" i="138"/>
  <c r="Q23" i="133"/>
  <c r="Q74" i="133"/>
  <c r="Q71" i="133"/>
  <c r="Q33" i="133"/>
  <c r="Q72" i="133"/>
  <c r="BD20" i="138" l="1"/>
  <c r="BD18" i="138"/>
  <c r="BD25" i="138"/>
  <c r="BD34" i="138"/>
  <c r="BD21" i="138"/>
  <c r="BD30" i="138"/>
  <c r="BD19"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22" i="138"/>
  <c r="P54" i="133"/>
  <c r="O54" i="133"/>
  <c r="L61" i="133"/>
  <c r="F21" i="133" s="1"/>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31" i="138"/>
  <c r="AO32" i="138"/>
  <c r="C19" i="133"/>
  <c r="Q54" i="133"/>
  <c r="Q61" i="133"/>
  <c r="F22" i="134"/>
  <c r="G22" i="134" s="1"/>
  <c r="E16" i="134"/>
  <c r="F16" i="134" s="1"/>
  <c r="E17" i="134"/>
  <c r="F17" i="134" s="1"/>
  <c r="G17" i="134" s="1"/>
  <c r="H17" i="134" s="1"/>
  <c r="K17" i="134" s="1"/>
  <c r="L17" i="134" s="1"/>
  <c r="M17" i="134" s="1"/>
  <c r="N17" i="134" s="1"/>
  <c r="O17" i="134" s="1"/>
  <c r="P17" i="134" s="1"/>
  <c r="Q17" i="134" s="1"/>
  <c r="R17" i="134" s="1"/>
  <c r="S17" i="134" s="1"/>
  <c r="E18" i="134"/>
  <c r="F18" i="134" s="1"/>
  <c r="G18" i="134" s="1"/>
  <c r="H18" i="134" s="1"/>
  <c r="I18" i="134" s="1"/>
  <c r="J18" i="134" s="1"/>
  <c r="K18" i="134" s="1"/>
  <c r="L18" i="134" s="1"/>
  <c r="M18" i="134" s="1"/>
  <c r="N18" i="134" s="1"/>
  <c r="O18" i="134" s="1"/>
  <c r="P18" i="134" s="1"/>
  <c r="Q18" i="134" s="1"/>
  <c r="R18" i="134" s="1"/>
  <c r="S18" i="134" s="1"/>
  <c r="H19" i="134"/>
  <c r="I19" i="134" s="1"/>
  <c r="N19" i="134" s="1"/>
  <c r="E20" i="134"/>
  <c r="F20" i="134" s="1"/>
  <c r="G20" i="134" s="1"/>
  <c r="H20" i="134" s="1"/>
  <c r="I20" i="134" s="1"/>
  <c r="J20" i="134" s="1"/>
  <c r="K20" i="134" s="1"/>
  <c r="L20" i="134" s="1"/>
  <c r="M20" i="134" s="1"/>
  <c r="N20" i="134" s="1"/>
  <c r="O20" i="134" s="1"/>
  <c r="P20" i="134" s="1"/>
  <c r="Q20" i="134" s="1"/>
  <c r="R20" i="134" s="1"/>
  <c r="S20" i="134" s="1"/>
  <c r="E22" i="134"/>
  <c r="I14" i="134"/>
  <c r="J14" i="134" s="1"/>
  <c r="F13" i="134"/>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M44" i="138"/>
  <c r="AN41" i="138"/>
  <c r="AN42" i="138"/>
  <c r="AO28" i="138"/>
  <c r="AO30" i="138"/>
  <c r="AO34" i="138"/>
  <c r="AO27" i="138"/>
  <c r="AO33" i="138"/>
  <c r="AO29" i="138"/>
  <c r="AP32"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19" i="134"/>
  <c r="F20" i="133" s="1"/>
  <c r="C6" i="134"/>
  <c r="C25" i="133" s="1"/>
  <c r="C17" i="134"/>
  <c r="F30" i="133" s="1"/>
  <c r="C21" i="134"/>
  <c r="F32" i="133" s="1"/>
  <c r="C17" i="133"/>
  <c r="C14" i="134" l="1"/>
  <c r="F28" i="133" s="1"/>
  <c r="BF15" i="138"/>
  <c r="BE28" i="138"/>
  <c r="BE32" i="138"/>
  <c r="BF41" i="138"/>
  <c r="BD42" i="138"/>
  <c r="BD43" i="138" s="1"/>
  <c r="BF14" i="138"/>
  <c r="BE27" i="138"/>
  <c r="BE31" i="138"/>
  <c r="BG29" i="138"/>
  <c r="BG33" i="138"/>
  <c r="BG34" i="138"/>
  <c r="BG30" i="138"/>
  <c r="BH7" i="138"/>
  <c r="BH6" i="138"/>
  <c r="BH9" i="138"/>
  <c r="BH8" i="138"/>
  <c r="AQ30" i="138"/>
  <c r="AQ34"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G13" i="134"/>
  <c r="J7" i="134"/>
  <c r="K7" i="134" s="1"/>
  <c r="I13" i="134"/>
  <c r="C11" i="133"/>
  <c r="C18"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O44" i="138"/>
  <c r="AP42" i="138"/>
  <c r="J1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R42" i="138"/>
  <c r="AS28" i="138"/>
  <c r="AS32" i="138"/>
  <c r="AS29" i="138"/>
  <c r="AS33" i="138"/>
  <c r="AS34" i="138"/>
  <c r="AS30" i="138"/>
  <c r="AR41" i="138"/>
  <c r="AS27" i="138"/>
  <c r="AS31" i="138"/>
  <c r="K1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R43" i="138"/>
  <c r="AR44" i="138" s="1"/>
  <c r="AT34" i="138"/>
  <c r="AT21" i="138"/>
  <c r="AT25" i="138"/>
  <c r="AT30" i="138"/>
  <c r="L1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E14" i="130"/>
  <c r="F14" i="130" s="1"/>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E10" i="130"/>
  <c r="F10" i="130" s="1"/>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E9" i="130"/>
  <c r="F9" i="130" s="1"/>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E7" i="130"/>
  <c r="F7" i="130" s="1"/>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E4" i="130"/>
  <c r="F4" i="130" s="1"/>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U33" i="138"/>
  <c r="AU29" i="138"/>
  <c r="AU28" i="138"/>
  <c r="AU32" i="138"/>
  <c r="AS44" i="138"/>
  <c r="AT41" i="138"/>
  <c r="M1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V20" i="138"/>
  <c r="AV24" i="138"/>
  <c r="AV29" i="138"/>
  <c r="AV33" i="138"/>
  <c r="N13" i="134"/>
  <c r="D5" i="128"/>
  <c r="E5" i="128" s="1"/>
  <c r="BL15" i="138" l="1"/>
  <c r="BK32" i="138"/>
  <c r="BK28" i="138"/>
  <c r="BJ42" i="138"/>
  <c r="BJ43" i="138" s="1"/>
  <c r="BL14" i="138"/>
  <c r="BK31" i="138"/>
  <c r="BK27" i="138"/>
  <c r="AV41" i="138"/>
  <c r="BM33" i="138"/>
  <c r="BM29" i="138"/>
  <c r="BN8" i="138"/>
  <c r="BN6" i="138"/>
  <c r="BN9" i="138"/>
  <c r="BN7" i="138"/>
  <c r="BL41" i="138"/>
  <c r="BM34" i="138"/>
  <c r="BM30" i="138"/>
  <c r="AU44" i="138"/>
  <c r="AW33" i="138"/>
  <c r="AW29" i="138"/>
  <c r="AW34" i="138"/>
  <c r="AW30" i="138"/>
  <c r="AV42" i="138"/>
  <c r="AW27" i="138"/>
  <c r="AW31" i="138"/>
  <c r="AW28" i="138"/>
  <c r="AW32" i="138"/>
  <c r="O13" i="134"/>
  <c r="D4" i="128"/>
  <c r="E4" i="128" s="1"/>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X19" i="138"/>
  <c r="AX23" i="138"/>
  <c r="AX28" i="138"/>
  <c r="AX32" i="138"/>
  <c r="P13" i="134"/>
  <c r="O6" i="122"/>
  <c r="BN15" i="138" l="1"/>
  <c r="BM28" i="138"/>
  <c r="BM32" i="138"/>
  <c r="BL42" i="138"/>
  <c r="BL43" i="138" s="1"/>
  <c r="BN14" i="138"/>
  <c r="BM31" i="138"/>
  <c r="BM27" i="138"/>
  <c r="BO30" i="138"/>
  <c r="BO34" i="138"/>
  <c r="BN41" i="138"/>
  <c r="BO33" i="138"/>
  <c r="BO29" i="138"/>
  <c r="BP8" i="138"/>
  <c r="BP7" i="138"/>
  <c r="BP6" i="138"/>
  <c r="BP9" i="138"/>
  <c r="AW44" i="138"/>
  <c r="AY31" i="138"/>
  <c r="AY27" i="138"/>
  <c r="AX41" i="138"/>
  <c r="AX42" i="138"/>
  <c r="AY28" i="138"/>
  <c r="AY32" i="138"/>
  <c r="AY30" i="138"/>
  <c r="AY34" i="138"/>
  <c r="AY33" i="138"/>
  <c r="AY29" i="138"/>
  <c r="Q1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AY42" i="138"/>
  <c r="AY43" i="138" s="1"/>
  <c r="AY44" i="138" s="1"/>
  <c r="AZ19" i="138"/>
  <c r="AZ23" i="138"/>
  <c r="AZ28" i="138"/>
  <c r="AZ32" i="138"/>
  <c r="R13" i="134"/>
  <c r="L5" i="96"/>
  <c r="L6" i="96"/>
  <c r="L13" i="96"/>
  <c r="L3" i="96"/>
  <c r="K14" i="96"/>
  <c r="L7" i="96" s="1"/>
  <c r="L12" i="96" l="1"/>
  <c r="L4" i="96"/>
  <c r="L11" i="96"/>
  <c r="L9" i="96"/>
  <c r="L10" i="96"/>
  <c r="L8" i="96"/>
  <c r="BP15" i="138"/>
  <c r="BO32" i="138"/>
  <c r="BO28" i="138"/>
  <c r="BN42" i="138"/>
  <c r="BN43" i="138" s="1"/>
  <c r="BP14" i="138"/>
  <c r="BO31" i="138"/>
  <c r="BO27" i="138"/>
  <c r="BQ29" i="138"/>
  <c r="BQ33" i="138"/>
  <c r="BQ34" i="138"/>
  <c r="BQ30" i="138"/>
  <c r="BR8" i="138"/>
  <c r="BR9" i="138"/>
  <c r="BR7" i="138"/>
  <c r="BR6" i="138"/>
  <c r="BP41" i="138"/>
  <c r="AZ42" i="138"/>
  <c r="BA30" i="138"/>
  <c r="BA34" i="138"/>
  <c r="AZ41" i="138"/>
  <c r="BA32" i="138"/>
  <c r="BA28" i="138"/>
  <c r="BA33" i="138"/>
  <c r="BA29" i="138"/>
  <c r="BA27" i="138"/>
  <c r="BA31" i="138"/>
  <c r="S13" i="134"/>
  <c r="C13" i="134" s="1"/>
  <c r="C7" i="134"/>
  <c r="BQ15" i="138" l="1"/>
  <c r="BP23" i="138"/>
  <c r="BP28" i="138"/>
  <c r="BP32" i="138"/>
  <c r="BO42" i="138"/>
  <c r="BO43" i="138" s="1"/>
  <c r="BQ14" i="138"/>
  <c r="BP22" i="138"/>
  <c r="BP27" i="138"/>
  <c r="BP31" i="138"/>
  <c r="BR29" i="138"/>
  <c r="BR33" i="138"/>
  <c r="BR30" i="138"/>
  <c r="BR34" i="138"/>
  <c r="BS7" i="138"/>
  <c r="BS8" i="138"/>
  <c r="BS6" i="138"/>
  <c r="BS9" i="138"/>
  <c r="AZ43" i="138"/>
  <c r="AZ44" i="138" s="1"/>
  <c r="BB30" i="138"/>
  <c r="BB34" i="138"/>
  <c r="BB31" i="138"/>
  <c r="BB27" i="138"/>
  <c r="BB28" i="138"/>
  <c r="BB32" i="138"/>
  <c r="BA42" i="138"/>
  <c r="BA43" i="138" s="1"/>
  <c r="BB33" i="138"/>
  <c r="BB29" i="138"/>
  <c r="V11" i="134"/>
  <c r="V6" i="134"/>
  <c r="U14" i="134"/>
  <c r="V12" i="134"/>
  <c r="V8" i="134"/>
  <c r="V9" i="134"/>
  <c r="V10" i="134"/>
  <c r="C26" i="133"/>
  <c r="V7" i="134"/>
  <c r="BR15" i="138" l="1"/>
  <c r="BQ28" i="138"/>
  <c r="BQ32" i="138"/>
  <c r="BP42" i="138"/>
  <c r="BP43" i="138" s="1"/>
  <c r="BR14" i="138"/>
  <c r="BQ31" i="138"/>
  <c r="BQ27" i="138"/>
  <c r="BS34" i="138"/>
  <c r="BS30" i="138"/>
  <c r="BT8" i="138"/>
  <c r="BT9" i="138"/>
  <c r="BT6" i="138"/>
  <c r="BT7" i="138"/>
  <c r="BS33" i="138"/>
  <c r="BS29" i="138"/>
  <c r="BA44" i="138"/>
  <c r="BC31" i="138"/>
  <c r="BC27" i="138"/>
  <c r="BB42" i="138"/>
  <c r="BB43" i="138" s="1"/>
  <c r="BC33" i="138"/>
  <c r="BC29" i="138"/>
  <c r="BC34" i="138"/>
  <c r="BC30" i="138"/>
  <c r="BC32" i="138"/>
  <c r="BC28" i="138"/>
  <c r="V1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U6" i="138"/>
  <c r="BB44" i="138"/>
  <c r="BC42" i="138"/>
  <c r="BC43" i="138" s="1"/>
  <c r="C18" i="134"/>
  <c r="F31" i="133" s="1"/>
  <c r="BT15" i="138" l="1"/>
  <c r="BS32" i="138"/>
  <c r="BS28" i="138"/>
  <c r="BR42" i="138"/>
  <c r="BR43" i="138" s="1"/>
  <c r="BT14" i="138"/>
  <c r="BS31" i="138"/>
  <c r="BS27" i="138"/>
  <c r="BV7" i="138"/>
  <c r="BV9"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P53" i="123"/>
  <c r="O53" i="123"/>
  <c r="N19" i="122"/>
  <c r="BR44" i="138" l="1"/>
  <c r="BU15" i="138"/>
  <c r="BT32" i="138"/>
  <c r="BT28" i="138"/>
  <c r="BT23" i="138"/>
  <c r="BS42" i="138"/>
  <c r="BS43" i="138" s="1"/>
  <c r="BU14" i="138"/>
  <c r="BT22" i="138"/>
  <c r="BT27" i="138"/>
  <c r="BT31" i="138"/>
  <c r="BW9" i="138"/>
  <c r="BW8" i="138"/>
  <c r="BW6" i="138"/>
  <c r="BW7" i="138"/>
  <c r="BV21" i="138"/>
  <c r="BV30" i="138"/>
  <c r="BV34" i="138"/>
  <c r="BV25" i="138"/>
  <c r="BV20" i="138"/>
  <c r="BV33" i="138"/>
  <c r="BV24" i="138"/>
  <c r="BV29" i="138"/>
  <c r="BV19" i="138"/>
  <c r="BV18" i="138"/>
  <c r="Y28" i="20"/>
  <c r="BV41" i="138" l="1"/>
  <c r="BS44" i="138"/>
  <c r="BV15" i="138"/>
  <c r="BU28" i="138"/>
  <c r="BU32" i="138"/>
  <c r="BT42" i="138"/>
  <c r="BT43" i="138" s="1"/>
  <c r="BT44" i="138" s="1"/>
  <c r="BV14" i="138"/>
  <c r="BU27" i="138"/>
  <c r="BU31" i="138"/>
  <c r="BW29" i="138"/>
  <c r="BW33" i="138"/>
  <c r="BW34" i="138"/>
  <c r="BW30" i="138"/>
  <c r="BX9" i="138"/>
  <c r="BX8" i="138"/>
  <c r="BX7" i="138"/>
  <c r="BX6" i="138"/>
  <c r="P52" i="123"/>
  <c r="O52" i="123"/>
  <c r="N9" i="123"/>
  <c r="N7" i="122"/>
  <c r="BW15" i="138" l="1"/>
  <c r="BV32" i="138"/>
  <c r="BV23" i="138"/>
  <c r="BV28" i="138"/>
  <c r="BU42" i="138"/>
  <c r="BU43" i="138" s="1"/>
  <c r="BU44" i="138" s="1"/>
  <c r="BW14" i="138"/>
  <c r="BV22" i="138"/>
  <c r="BV27" i="138"/>
  <c r="BV31" i="138"/>
  <c r="BX19" i="138"/>
  <c r="BX20" i="138"/>
  <c r="BX29" i="138"/>
  <c r="BX33" i="138"/>
  <c r="BX24" i="138"/>
  <c r="BY9" i="138"/>
  <c r="BY6" i="138"/>
  <c r="BY8" i="138"/>
  <c r="BY7" i="138"/>
  <c r="BX18" i="138"/>
  <c r="BX21" i="138"/>
  <c r="BX30" i="138"/>
  <c r="BX25" i="138"/>
  <c r="BX34" i="138"/>
  <c r="F14" i="17"/>
  <c r="BX15" i="138" l="1"/>
  <c r="BW32" i="138"/>
  <c r="BW28" i="138"/>
  <c r="BV42" i="138"/>
  <c r="BV43" i="138" s="1"/>
  <c r="BV44" i="138" s="1"/>
  <c r="E31" i="138" s="1"/>
  <c r="BX14" i="138"/>
  <c r="BW31" i="138"/>
  <c r="BW27" i="138"/>
  <c r="BZ6" i="138"/>
  <c r="BZ7" i="138"/>
  <c r="BZ9"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B8" i="138"/>
  <c r="CB7" i="138"/>
  <c r="CB9" i="138"/>
  <c r="CB6" i="138"/>
  <c r="N51" i="123"/>
  <c r="O51" i="123" s="1"/>
  <c r="T51" i="123" s="1"/>
  <c r="P51" i="123"/>
  <c r="N16" i="123"/>
  <c r="CA15" i="138" l="1"/>
  <c r="BZ32" i="138"/>
  <c r="BZ28" i="138"/>
  <c r="BZ23" i="138"/>
  <c r="BY42" i="138"/>
  <c r="BY43" i="138" s="1"/>
  <c r="BY44" i="138" s="1"/>
  <c r="CA14" i="138"/>
  <c r="BZ27" i="138"/>
  <c r="BZ31" i="138"/>
  <c r="BZ22" i="138"/>
  <c r="CB21" i="138"/>
  <c r="CB34" i="138"/>
  <c r="CB30" i="138"/>
  <c r="CB25" i="138"/>
  <c r="CB19" i="138"/>
  <c r="CB18"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C33" i="138"/>
  <c r="CC29" i="138"/>
  <c r="CB41" i="138"/>
  <c r="L21" i="122"/>
  <c r="O21" i="122" s="1"/>
  <c r="CC15" i="138" l="1"/>
  <c r="CB23" i="138"/>
  <c r="CB28" i="138"/>
  <c r="CB32" i="138"/>
  <c r="CA42" i="138"/>
  <c r="CA43" i="138" s="1"/>
  <c r="CA44" i="138" s="1"/>
  <c r="CC14" i="138"/>
  <c r="CB27" i="138"/>
  <c r="CB31" i="138"/>
  <c r="CB22" i="138"/>
  <c r="CE8"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F7" i="138"/>
  <c r="CE34" i="138"/>
  <c r="CE30" i="138"/>
  <c r="P10" i="123"/>
  <c r="O10" i="123"/>
  <c r="G15" i="122"/>
  <c r="H15" i="122" s="1"/>
  <c r="G13" i="122"/>
  <c r="H13"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G9" i="138"/>
  <c r="CG7" i="138"/>
  <c r="CF15" i="138" l="1"/>
  <c r="CE28" i="138"/>
  <c r="CE32" i="138"/>
  <c r="CD42" i="138"/>
  <c r="CD43" i="138" s="1"/>
  <c r="CD44" i="138" s="1"/>
  <c r="CF14" i="138"/>
  <c r="CE27" i="138"/>
  <c r="CE31" i="138"/>
  <c r="CF41" i="138"/>
  <c r="CG34" i="138"/>
  <c r="CG30" i="138"/>
  <c r="CH6" i="138"/>
  <c r="CH7" i="138"/>
  <c r="CH9"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D19" i="122"/>
  <c r="CI15" i="138" l="1"/>
  <c r="CH32" i="138"/>
  <c r="CH28" i="138"/>
  <c r="CG42" i="138"/>
  <c r="CG43" i="138" s="1"/>
  <c r="CG44" i="138" s="1"/>
  <c r="CI14" i="138"/>
  <c r="CH31" i="138"/>
  <c r="CH27" i="138"/>
  <c r="N35" i="123"/>
  <c r="C19" i="123" s="1"/>
  <c r="CH42" i="138" l="1"/>
  <c r="CH43" i="138" s="1"/>
  <c r="CH44" i="138" s="1"/>
  <c r="CI32" i="138"/>
  <c r="CI28" i="138"/>
  <c r="CI31" i="138"/>
  <c r="CI27" i="138"/>
  <c r="F42" i="122"/>
  <c r="G42" i="122"/>
  <c r="H42" i="122"/>
  <c r="I42" i="122"/>
  <c r="J42" i="122"/>
  <c r="K42" i="122"/>
  <c r="L42" i="122"/>
  <c r="M42" i="122"/>
  <c r="N42" i="122"/>
  <c r="O42" i="122"/>
  <c r="P42" i="122"/>
  <c r="P7" i="122" s="1"/>
  <c r="Q7" i="122" s="1"/>
  <c r="Q42" i="122"/>
  <c r="R42" i="122"/>
  <c r="S42" i="122"/>
  <c r="E42" i="122"/>
  <c r="E18" i="122"/>
  <c r="F18" i="122" s="1"/>
  <c r="E17" i="122"/>
  <c r="E23" i="122" s="1"/>
  <c r="I15" i="122"/>
  <c r="J15" i="122" s="1"/>
  <c r="K15" i="122" s="1"/>
  <c r="L15" i="122" s="1"/>
  <c r="M15" i="122" s="1"/>
  <c r="N15" i="122" s="1"/>
  <c r="O15" i="122" s="1"/>
  <c r="P15" i="122" s="1"/>
  <c r="Q15" i="122" s="1"/>
  <c r="R15" i="122" s="1"/>
  <c r="S15" i="122" s="1"/>
  <c r="D15" i="134" s="1"/>
  <c r="C9" i="123"/>
  <c r="C21" i="122"/>
  <c r="P28" i="123"/>
  <c r="O28" i="123"/>
  <c r="P25" i="123"/>
  <c r="O25" i="123"/>
  <c r="F16" i="123" s="1"/>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F14" i="123" s="1"/>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E4" i="122"/>
  <c r="F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G18" i="122" l="1"/>
  <c r="H18" i="122" s="1"/>
  <c r="I18" i="122" s="1"/>
  <c r="Q16" i="123"/>
  <c r="T16" i="123"/>
  <c r="F15" i="123"/>
  <c r="T9" i="123"/>
  <c r="Q9" i="123"/>
  <c r="I4" i="122"/>
  <c r="J4" i="122" s="1"/>
  <c r="K4" i="122" s="1"/>
  <c r="L4" i="122" s="1"/>
  <c r="M4" i="122" s="1"/>
  <c r="N4" i="122" s="1"/>
  <c r="O4" i="122" s="1"/>
  <c r="G4" i="122"/>
  <c r="H4" i="122" s="1"/>
  <c r="F17" i="122"/>
  <c r="E15" i="134"/>
  <c r="D23" i="134"/>
  <c r="CI42" i="138"/>
  <c r="CI43" i="138" s="1"/>
  <c r="CI44" i="138" s="1"/>
  <c r="F12" i="123"/>
  <c r="T21" i="123"/>
  <c r="Q21" i="123"/>
  <c r="C27" i="123"/>
  <c r="C24" i="123"/>
  <c r="C25" i="123"/>
  <c r="F32" i="123"/>
  <c r="F24" i="123"/>
  <c r="F23" i="123" s="1"/>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3" i="123"/>
  <c r="C14" i="123"/>
  <c r="C15" i="123"/>
  <c r="C8" i="122"/>
  <c r="E13" i="122"/>
  <c r="D23" i="122"/>
  <c r="C19" i="122"/>
  <c r="J18" i="122" l="1"/>
  <c r="K18" i="122" s="1"/>
  <c r="L18" i="122" s="1"/>
  <c r="M18" i="122" s="1"/>
  <c r="N18" i="122" s="1"/>
  <c r="O18" i="122" s="1"/>
  <c r="P18" i="122" s="1"/>
  <c r="Q18" i="122" s="1"/>
  <c r="R18" i="122" s="1"/>
  <c r="S18" i="122" s="1"/>
  <c r="C18" i="122"/>
  <c r="F15" i="134"/>
  <c r="E23" i="134"/>
  <c r="G17" i="122"/>
  <c r="F20" i="123"/>
  <c r="F19" i="123" s="1"/>
  <c r="F31" i="123"/>
  <c r="C14" i="122"/>
  <c r="E37" i="122"/>
  <c r="E36" i="122"/>
  <c r="E35" i="122"/>
  <c r="F23" i="122"/>
  <c r="K13" i="122"/>
  <c r="C22" i="122"/>
  <c r="C17" i="123"/>
  <c r="C11" i="123"/>
  <c r="P4" i="122"/>
  <c r="Q4" i="122" s="1"/>
  <c r="R4" i="122" s="1"/>
  <c r="S11" i="122" s="1"/>
  <c r="S13" i="122" s="1"/>
  <c r="W7" i="119"/>
  <c r="W8" i="119" s="1"/>
  <c r="W9" i="119" s="1"/>
  <c r="H17" i="122" l="1"/>
  <c r="G23" i="122"/>
  <c r="G15" i="134"/>
  <c r="F23" i="134"/>
  <c r="F33" i="123"/>
  <c r="F28" i="123"/>
  <c r="F19" i="133"/>
  <c r="C11" i="122"/>
  <c r="E38" i="122"/>
  <c r="L13" i="122"/>
  <c r="W12" i="119"/>
  <c r="X7" i="119"/>
  <c r="X8" i="119" s="1"/>
  <c r="X9" i="119" s="1"/>
  <c r="H15" i="134" l="1"/>
  <c r="G23" i="134"/>
  <c r="H23" i="122"/>
  <c r="I17" i="122"/>
  <c r="C23" i="123"/>
  <c r="M13" i="122"/>
  <c r="X12" i="119"/>
  <c r="J17" i="122" l="1"/>
  <c r="I23" i="122"/>
  <c r="I15" i="134"/>
  <c r="H23" i="134"/>
  <c r="N13" i="122"/>
  <c r="J15" i="134" l="1"/>
  <c r="I23" i="134"/>
  <c r="K17" i="122"/>
  <c r="J23" i="122"/>
  <c r="O13" i="122"/>
  <c r="C15" i="122"/>
  <c r="L17" i="122" l="1"/>
  <c r="K23" i="122"/>
  <c r="K15" i="134"/>
  <c r="J23" i="134"/>
  <c r="F29" i="123"/>
  <c r="Q13" i="122"/>
  <c r="P13" i="122"/>
  <c r="C7" i="122"/>
  <c r="L15" i="134" l="1"/>
  <c r="K23" i="134"/>
  <c r="M17" i="122"/>
  <c r="L23" i="122"/>
  <c r="C26" i="123"/>
  <c r="C22" i="123" s="1"/>
  <c r="C13" i="122"/>
  <c r="V11" i="122" s="1"/>
  <c r="N17" i="122" l="1"/>
  <c r="M23" i="122"/>
  <c r="M15" i="134"/>
  <c r="L23" i="134"/>
  <c r="C22" i="133"/>
  <c r="V10" i="122"/>
  <c r="U14" i="122"/>
  <c r="V8" i="122"/>
  <c r="V12" i="122"/>
  <c r="V6" i="122"/>
  <c r="V9" i="122"/>
  <c r="V7" i="122"/>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S25" i="119"/>
  <c r="N25" i="119"/>
  <c r="O25" i="119" s="1"/>
  <c r="P25" i="119"/>
  <c r="O7" i="118"/>
  <c r="P7" i="118" s="1"/>
  <c r="N5" i="119"/>
  <c r="O5" i="119" s="1"/>
  <c r="T5" i="119" s="1"/>
  <c r="P5" i="119"/>
  <c r="N6" i="118"/>
  <c r="N10" i="119"/>
  <c r="O10" i="119" s="1"/>
  <c r="T10" i="119" s="1"/>
  <c r="P10" i="119"/>
  <c r="P48" i="119"/>
  <c r="O48" i="119"/>
  <c r="L6" i="118"/>
  <c r="N15" i="134" l="1"/>
  <c r="M23" i="134"/>
  <c r="O17" i="122"/>
  <c r="N23" i="122"/>
  <c r="V13" i="122"/>
  <c r="T49" i="119"/>
  <c r="Q49" i="119"/>
  <c r="Q54" i="119"/>
  <c r="T54" i="119"/>
  <c r="T25" i="119"/>
  <c r="K8" i="118"/>
  <c r="N12" i="119"/>
  <c r="O12" i="119" s="1"/>
  <c r="T12" i="119" s="1"/>
  <c r="P12" i="119"/>
  <c r="P47" i="119"/>
  <c r="O47" i="119"/>
  <c r="P17" i="122" l="1"/>
  <c r="O23" i="122"/>
  <c r="O15" i="134"/>
  <c r="N23" i="134"/>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F15" i="118"/>
  <c r="G15" i="118" s="1"/>
  <c r="H15" i="118" s="1"/>
  <c r="I15" i="118" s="1"/>
  <c r="J15" i="118" s="1"/>
  <c r="P15" i="134" l="1"/>
  <c r="O23" i="134"/>
  <c r="Q17" i="122"/>
  <c r="P23" i="122"/>
  <c r="N6" i="119"/>
  <c r="N52" i="119"/>
  <c r="N7" i="119"/>
  <c r="O7" i="119" s="1"/>
  <c r="T7" i="119" s="1"/>
  <c r="P7" i="119"/>
  <c r="R17" i="122" l="1"/>
  <c r="Q23" i="122"/>
  <c r="Q15" i="134"/>
  <c r="P23" i="134"/>
  <c r="R15" i="134" l="1"/>
  <c r="Q23" i="134"/>
  <c r="S17" i="122"/>
  <c r="R23" i="122"/>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S23" i="122" l="1"/>
  <c r="C23" i="122" s="1"/>
  <c r="C17" i="122"/>
  <c r="S15" i="134"/>
  <c r="R23" i="134"/>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D15" i="136" l="1"/>
  <c r="S23" i="134"/>
  <c r="C23" i="134" s="1"/>
  <c r="C15" i="134"/>
  <c r="F30" i="123"/>
  <c r="V26" i="122"/>
  <c r="V27" i="122"/>
  <c r="V31" i="122"/>
  <c r="V24" i="122"/>
  <c r="V28" i="122"/>
  <c r="V23" i="122"/>
  <c r="V25" i="122"/>
  <c r="V29" i="122"/>
  <c r="U35" i="122"/>
  <c r="V30" i="122"/>
  <c r="C23" i="29"/>
  <c r="C22" i="29"/>
  <c r="C25" i="29"/>
  <c r="S37" i="118"/>
  <c r="S35" i="118"/>
  <c r="S36" i="118"/>
  <c r="K13" i="118"/>
  <c r="L11" i="118"/>
  <c r="L4" i="118"/>
  <c r="C11" i="119"/>
  <c r="C17" i="119"/>
  <c r="H22" i="118"/>
  <c r="C18" i="118"/>
  <c r="F31" i="119" s="1"/>
  <c r="G23" i="118"/>
  <c r="AH1" i="41"/>
  <c r="AI1" i="41" s="1"/>
  <c r="F29" i="133" l="1"/>
  <c r="V24" i="134"/>
  <c r="F27" i="123"/>
  <c r="V34" i="122"/>
  <c r="V28" i="134"/>
  <c r="V27" i="134"/>
  <c r="V25" i="134"/>
  <c r="U35" i="134"/>
  <c r="V29" i="134"/>
  <c r="V31" i="134"/>
  <c r="V30" i="134"/>
  <c r="V23" i="134"/>
  <c r="V26" i="134"/>
  <c r="E15" i="136"/>
  <c r="D23" i="136"/>
  <c r="S38" i="118"/>
  <c r="M11" i="118"/>
  <c r="L13" i="118"/>
  <c r="M4" i="118"/>
  <c r="H23" i="118"/>
  <c r="I22" i="118"/>
  <c r="V34" i="134" l="1"/>
  <c r="F15" i="136"/>
  <c r="E23" i="136"/>
  <c r="F27" i="133"/>
  <c r="N4" i="118"/>
  <c r="N11" i="118"/>
  <c r="M13" i="118"/>
  <c r="J22" i="118"/>
  <c r="I23" i="118"/>
  <c r="G15" i="136" l="1"/>
  <c r="F23" i="136"/>
  <c r="O4" i="118"/>
  <c r="N13" i="118"/>
  <c r="O11" i="118"/>
  <c r="J23" i="118"/>
  <c r="K22" i="118"/>
  <c r="H15" i="136" l="1"/>
  <c r="G23" i="136"/>
  <c r="P4" i="118"/>
  <c r="O13" i="118"/>
  <c r="P11" i="118"/>
  <c r="L22" i="118"/>
  <c r="K23" i="118"/>
  <c r="I15" i="136" l="1"/>
  <c r="H23" i="136"/>
  <c r="Q4" i="118"/>
  <c r="P13" i="118"/>
  <c r="M22" i="118"/>
  <c r="L23" i="118"/>
  <c r="J15" i="136" l="1"/>
  <c r="I23" i="136"/>
  <c r="R4" i="118"/>
  <c r="Q13" i="118"/>
  <c r="M23" i="118"/>
  <c r="N22" i="118"/>
  <c r="N5" i="113"/>
  <c r="O5" i="113" s="1"/>
  <c r="T5" i="113" s="1"/>
  <c r="P5" i="113"/>
  <c r="N38" i="113"/>
  <c r="J8" i="112"/>
  <c r="P43" i="113"/>
  <c r="O43" i="113"/>
  <c r="K15" i="136" l="1"/>
  <c r="J23" i="136"/>
  <c r="S4" i="118"/>
  <c r="R13" i="118"/>
  <c r="C13" i="118" s="1"/>
  <c r="C11" i="118"/>
  <c r="N23" i="118"/>
  <c r="O22" i="118"/>
  <c r="N4" i="113"/>
  <c r="O4" i="113" s="1"/>
  <c r="T4" i="113" s="1"/>
  <c r="P4" i="113"/>
  <c r="N23" i="113"/>
  <c r="M15" i="136" l="1"/>
  <c r="K23" i="136"/>
  <c r="V6" i="118"/>
  <c r="V9" i="118"/>
  <c r="U14" i="118"/>
  <c r="V7" i="118"/>
  <c r="V12" i="118"/>
  <c r="V10" i="118"/>
  <c r="V8" i="118"/>
  <c r="C23" i="119"/>
  <c r="V11" i="118"/>
  <c r="P22" i="118"/>
  <c r="O23" i="118"/>
  <c r="I6" i="112"/>
  <c r="N28" i="113"/>
  <c r="I8" i="112"/>
  <c r="N15" i="136" l="1"/>
  <c r="M23" i="136"/>
  <c r="V13" i="118"/>
  <c r="P23" i="118"/>
  <c r="Q22" i="118"/>
  <c r="H6" i="112"/>
  <c r="G6" i="112"/>
  <c r="F6" i="112"/>
  <c r="N27" i="113"/>
  <c r="N13" i="113"/>
  <c r="N36" i="113"/>
  <c r="O15" i="136" l="1"/>
  <c r="N23" i="136"/>
  <c r="R22" i="118"/>
  <c r="Q23" i="118"/>
  <c r="E3" i="114"/>
  <c r="F3" i="114"/>
  <c r="E4" i="114"/>
  <c r="F4" i="114"/>
  <c r="E5" i="114"/>
  <c r="F5" i="114"/>
  <c r="E6" i="114"/>
  <c r="F6" i="114"/>
  <c r="F2" i="114"/>
  <c r="E2" i="114"/>
  <c r="P21" i="114"/>
  <c r="O21" i="114"/>
  <c r="N21" i="114"/>
  <c r="M21" i="114"/>
  <c r="C21" i="114"/>
  <c r="P20" i="114"/>
  <c r="O20" i="114"/>
  <c r="N20" i="114"/>
  <c r="M20" i="114"/>
  <c r="Q20" i="114" s="1"/>
  <c r="K20" i="114" s="1"/>
  <c r="C20" i="114"/>
  <c r="P19" i="114"/>
  <c r="O19" i="114"/>
  <c r="N19" i="114"/>
  <c r="M19" i="114"/>
  <c r="C19" i="114"/>
  <c r="P18" i="114"/>
  <c r="O18" i="114"/>
  <c r="M18" i="114"/>
  <c r="E18" i="114"/>
  <c r="N18" i="114" s="1"/>
  <c r="C18" i="114"/>
  <c r="P17" i="114"/>
  <c r="O17" i="114"/>
  <c r="M17" i="114"/>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Q76" i="114" s="1"/>
  <c r="G75" i="114"/>
  <c r="Q75" i="114" s="1"/>
  <c r="G74" i="114"/>
  <c r="G73" i="114"/>
  <c r="G72" i="114"/>
  <c r="Q72" i="114" s="1"/>
  <c r="G71" i="114"/>
  <c r="Q71" i="114" s="1"/>
  <c r="G70" i="114"/>
  <c r="G69" i="114"/>
  <c r="Q69" i="114" s="1"/>
  <c r="G68" i="114"/>
  <c r="Q68" i="114" s="1"/>
  <c r="G67" i="114"/>
  <c r="Q67" i="114" s="1"/>
  <c r="G66" i="114"/>
  <c r="G65" i="114"/>
  <c r="G64" i="114"/>
  <c r="Q64" i="114" s="1"/>
  <c r="G63" i="114"/>
  <c r="Q63" i="114" s="1"/>
  <c r="G62" i="114"/>
  <c r="Q62" i="114" s="1"/>
  <c r="G61" i="114"/>
  <c r="Q61" i="114" s="1"/>
  <c r="G60" i="114"/>
  <c r="Q60" i="114" s="1"/>
  <c r="S76" i="114"/>
  <c r="R76" i="114"/>
  <c r="P76" i="114"/>
  <c r="S75" i="114"/>
  <c r="R75" i="114"/>
  <c r="P75" i="114"/>
  <c r="S74" i="114"/>
  <c r="R74" i="114"/>
  <c r="Q74" i="114"/>
  <c r="P74" i="114"/>
  <c r="S73" i="114"/>
  <c r="R73" i="114"/>
  <c r="Q73" i="114"/>
  <c r="P73" i="114"/>
  <c r="U73" i="114" s="1"/>
  <c r="O73" i="114" s="1"/>
  <c r="S72" i="114"/>
  <c r="R72" i="114"/>
  <c r="P72" i="114"/>
  <c r="S71" i="114"/>
  <c r="R71" i="114"/>
  <c r="P71" i="114"/>
  <c r="S70" i="114"/>
  <c r="R70" i="114"/>
  <c r="Q70" i="114"/>
  <c r="P70" i="114"/>
  <c r="S69" i="114"/>
  <c r="R69" i="114"/>
  <c r="P69" i="114"/>
  <c r="S68" i="114"/>
  <c r="R68" i="114"/>
  <c r="P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U69" i="114" l="1"/>
  <c r="O69" i="114" s="1"/>
  <c r="Q17" i="114"/>
  <c r="R21" i="114"/>
  <c r="S21" i="114" s="1"/>
  <c r="U70" i="114"/>
  <c r="U75" i="114"/>
  <c r="P15" i="136"/>
  <c r="O23" i="136"/>
  <c r="R32" i="114"/>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V60" i="114" s="1"/>
  <c r="T74" i="114"/>
  <c r="W74" i="114" s="1"/>
  <c r="R26" i="114"/>
  <c r="Q29" i="114"/>
  <c r="K29" i="114" s="1"/>
  <c r="Q11" i="114"/>
  <c r="K11" i="114" s="1"/>
  <c r="R12" i="114"/>
  <c r="L12" i="114" s="1"/>
  <c r="R19" i="114"/>
  <c r="S22" i="118"/>
  <c r="R23" i="118"/>
  <c r="S10" i="114"/>
  <c r="R17" i="114"/>
  <c r="T11" i="114"/>
  <c r="T12" i="114"/>
  <c r="S11" i="114"/>
  <c r="Q16" i="114"/>
  <c r="R18" i="114"/>
  <c r="R13" i="114"/>
  <c r="R14" i="114"/>
  <c r="V65" i="114"/>
  <c r="O65" i="114"/>
  <c r="W66" i="114"/>
  <c r="N66" i="114"/>
  <c r="Q30" i="114"/>
  <c r="K30" i="114" s="1"/>
  <c r="R30" i="114"/>
  <c r="O60" i="114"/>
  <c r="V70" i="114"/>
  <c r="O70"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S36" i="114"/>
  <c r="K31" i="114"/>
  <c r="T32" i="114"/>
  <c r="T30" i="114"/>
  <c r="R29" i="114"/>
  <c r="S27" i="114"/>
  <c r="Q27" i="114"/>
  <c r="S26" i="114"/>
  <c r="L26" i="114"/>
  <c r="R25" i="114"/>
  <c r="L25" i="114" s="1"/>
  <c r="Q25" i="114"/>
  <c r="K25" i="114" s="1"/>
  <c r="U88" i="114"/>
  <c r="V88" i="114" s="1"/>
  <c r="U89" i="114"/>
  <c r="O89" i="114" s="1"/>
  <c r="U87" i="114"/>
  <c r="O87" i="114" s="1"/>
  <c r="U90" i="114"/>
  <c r="O90" i="114" s="1"/>
  <c r="T90" i="114"/>
  <c r="W90" i="114" s="1"/>
  <c r="T87" i="114"/>
  <c r="N87" i="114" s="1"/>
  <c r="T89" i="114"/>
  <c r="N89" i="114" s="1"/>
  <c r="O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O30" i="113" s="1"/>
  <c r="N7" i="113"/>
  <c r="O7" i="113" s="1"/>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W88" i="114" l="1"/>
  <c r="Q15" i="136"/>
  <c r="P23" i="136"/>
  <c r="L32" i="114"/>
  <c r="N74" i="114"/>
  <c r="U32" i="114"/>
  <c r="S12" i="114"/>
  <c r="K17" i="114"/>
  <c r="T17" i="114"/>
  <c r="T35" i="114"/>
  <c r="AD5" i="11"/>
  <c r="AD6" i="11" s="1"/>
  <c r="AD7" i="11" s="1"/>
  <c r="AD8" i="11" s="1"/>
  <c r="AD9" i="11" s="1"/>
  <c r="AD10" i="11" s="1"/>
  <c r="AD11" i="11" s="1"/>
  <c r="S14" i="114"/>
  <c r="L14" i="114"/>
  <c r="K13" i="114"/>
  <c r="T13" i="114"/>
  <c r="K28" i="114"/>
  <c r="U28" i="114"/>
  <c r="V61" i="114"/>
  <c r="W68" i="114"/>
  <c r="T16" i="114"/>
  <c r="K16" i="114"/>
  <c r="K19" i="114"/>
  <c r="T19" i="114"/>
  <c r="U19" i="114" s="1"/>
  <c r="T14" i="114"/>
  <c r="U14" i="114" s="1"/>
  <c r="K14" i="114"/>
  <c r="T18" i="114"/>
  <c r="K18" i="114"/>
  <c r="L15" i="112"/>
  <c r="M15" i="112" s="1"/>
  <c r="N15" i="112" s="1"/>
  <c r="O15" i="112" s="1"/>
  <c r="P15" i="112" s="1"/>
  <c r="Q15" i="112" s="1"/>
  <c r="R15" i="112" s="1"/>
  <c r="S15" i="112" s="1"/>
  <c r="D15" i="118" s="1"/>
  <c r="T29" i="114"/>
  <c r="U34" i="114"/>
  <c r="L13" i="114"/>
  <c r="S13" i="114"/>
  <c r="L19" i="114"/>
  <c r="S19" i="114"/>
  <c r="S16" i="114"/>
  <c r="L16" i="114"/>
  <c r="N14" i="113"/>
  <c r="O14" i="113" s="1"/>
  <c r="V86" i="114"/>
  <c r="V90" i="114"/>
  <c r="T26" i="114"/>
  <c r="U26" i="114" s="1"/>
  <c r="S18" i="114"/>
  <c r="L18" i="114"/>
  <c r="T10" i="114"/>
  <c r="L17" i="114"/>
  <c r="S17" i="114"/>
  <c r="K21" i="114"/>
  <c r="T21" i="114"/>
  <c r="U21" i="114" s="1"/>
  <c r="S20" i="114"/>
  <c r="U20" i="114" s="1"/>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K33" i="114"/>
  <c r="L35" i="114"/>
  <c r="U10" i="114"/>
  <c r="U18" i="114"/>
  <c r="U16" i="114"/>
  <c r="S33"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T25" i="114"/>
  <c r="S25" i="114"/>
  <c r="V89" i="114"/>
  <c r="N90" i="114"/>
  <c r="X88" i="114"/>
  <c r="V87" i="114"/>
  <c r="W87" i="114"/>
  <c r="W89" i="114"/>
  <c r="X90" i="114"/>
  <c r="V83" i="114"/>
  <c r="O83" i="114"/>
  <c r="W85" i="114"/>
  <c r="X85" i="114" s="1"/>
  <c r="N86" i="114"/>
  <c r="W86" i="114"/>
  <c r="X86" i="114" s="1"/>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S7" i="114" l="1"/>
  <c r="S22" i="114"/>
  <c r="U13" i="114"/>
  <c r="X76" i="114"/>
  <c r="X68" i="114"/>
  <c r="R15" i="136"/>
  <c r="Q23" i="136"/>
  <c r="D23" i="118"/>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S15" i="136" l="1"/>
  <c r="R23" i="136"/>
  <c r="V27" i="118"/>
  <c r="V26" i="118"/>
  <c r="V23" i="118"/>
  <c r="V30" i="118"/>
  <c r="V24" i="118"/>
  <c r="V29" i="118"/>
  <c r="V28" i="118"/>
  <c r="V31" i="118"/>
  <c r="V25" i="118"/>
  <c r="F30" i="113"/>
  <c r="F19" i="119"/>
  <c r="F22" i="29"/>
  <c r="F26" i="29" s="1"/>
  <c r="F23" i="29"/>
  <c r="F27" i="29" s="1"/>
  <c r="F25" i="29"/>
  <c r="F29" i="29" s="1"/>
  <c r="I36" i="112"/>
  <c r="H27" i="112"/>
  <c r="H28" i="112" s="1"/>
  <c r="G30" i="112"/>
  <c r="G31" i="112" s="1"/>
  <c r="N56" i="108"/>
  <c r="S23" i="136" l="1"/>
  <c r="C23" i="136" s="1"/>
  <c r="C15" i="136"/>
  <c r="V34" i="118"/>
  <c r="G22" i="29"/>
  <c r="G23" i="29"/>
  <c r="G25" i="29"/>
  <c r="N27" i="112"/>
  <c r="N28" i="112" s="1"/>
  <c r="H30" i="112"/>
  <c r="H31" i="112" s="1"/>
  <c r="I27" i="112"/>
  <c r="I28" i="112" s="1"/>
  <c r="I23" i="112"/>
  <c r="H23" i="112"/>
  <c r="F6" i="107"/>
  <c r="N40" i="108"/>
  <c r="F8" i="107"/>
  <c r="N5" i="108"/>
  <c r="E8" i="107"/>
  <c r="N39" i="108"/>
  <c r="N61" i="108"/>
  <c r="F25" i="137" l="1"/>
  <c r="V24" i="136"/>
  <c r="U35" i="136"/>
  <c r="V23" i="136"/>
  <c r="V30" i="136"/>
  <c r="V25" i="136"/>
  <c r="V31" i="136"/>
  <c r="V27" i="136"/>
  <c r="V28" i="136"/>
  <c r="V26" i="136"/>
  <c r="V29" i="136"/>
  <c r="H22" i="29"/>
  <c r="H26" i="29" s="1"/>
  <c r="H23" i="29"/>
  <c r="H27" i="29" s="1"/>
  <c r="H25" i="29"/>
  <c r="H29" i="29" s="1"/>
  <c r="O27" i="112"/>
  <c r="O28" i="112" s="1"/>
  <c r="J27" i="112"/>
  <c r="J28" i="112" s="1"/>
  <c r="I30" i="112"/>
  <c r="I31" i="112" s="1"/>
  <c r="J23" i="112"/>
  <c r="N51" i="108"/>
  <c r="N69" i="108"/>
  <c r="N62" i="108"/>
  <c r="N74" i="108"/>
  <c r="V34" i="136" l="1"/>
  <c r="F23" i="137"/>
  <c r="I22" i="29"/>
  <c r="I23" i="29"/>
  <c r="I25" i="29"/>
  <c r="Q14" i="112"/>
  <c r="P27" i="112"/>
  <c r="P28" i="112" s="1"/>
  <c r="J30" i="112"/>
  <c r="J31" i="112" s="1"/>
  <c r="K27" i="112"/>
  <c r="K28" i="112" s="1"/>
  <c r="O5" i="108"/>
  <c r="P5" i="108"/>
  <c r="P14" i="108"/>
  <c r="O14" i="108"/>
  <c r="S10" i="103"/>
  <c r="P39" i="104"/>
  <c r="N41" i="104"/>
  <c r="F17" i="137" l="1"/>
  <c r="F33" i="137"/>
  <c r="J22" i="29"/>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F11" i="137" l="1"/>
  <c r="K22" i="29"/>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Q29" i="103"/>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F16" i="101" s="1"/>
  <c r="P41" i="10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L3" i="102" s="1"/>
  <c r="K4" i="102"/>
  <c r="K5" i="102"/>
  <c r="K6" i="102"/>
  <c r="K7" i="102"/>
  <c r="K8" i="102"/>
  <c r="K2" i="102"/>
  <c r="J8" i="102"/>
  <c r="I8" i="102"/>
  <c r="J7" i="102"/>
  <c r="I7" i="102"/>
  <c r="L7" i="102" s="1"/>
  <c r="J6" i="102"/>
  <c r="M6" i="102" s="1"/>
  <c r="I6" i="102"/>
  <c r="J5" i="102"/>
  <c r="I5" i="102"/>
  <c r="J4" i="102"/>
  <c r="I4"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26" i="100" s="1"/>
  <c r="D13" i="100"/>
  <c r="D17" i="100"/>
  <c r="D29" i="100"/>
  <c r="D30" i="100"/>
  <c r="D31" i="100" s="1"/>
  <c r="F21"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Q31" i="103" l="1"/>
  <c r="R31" i="103"/>
  <c r="L8" i="102"/>
  <c r="C15" i="101"/>
  <c r="M7" i="102"/>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U26" i="104" l="1"/>
  <c r="K17" i="103"/>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I24" i="96" s="1"/>
  <c r="H23" i="96"/>
  <c r="I23" i="96" s="1"/>
  <c r="H22" i="96"/>
  <c r="I22" i="96" s="1"/>
  <c r="H19" i="96"/>
  <c r="I19" i="96" s="1"/>
  <c r="H21" i="96"/>
  <c r="I21" i="96" s="1"/>
  <c r="H18" i="96"/>
  <c r="I18" i="96" s="1"/>
  <c r="H20" i="96"/>
  <c r="I20" i="96" s="1"/>
  <c r="G17" i="96"/>
  <c r="B14" i="96"/>
  <c r="D12" i="96" s="1"/>
  <c r="E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0" i="96" s="1"/>
  <c r="E16" i="89"/>
  <c r="H40" i="25"/>
  <c r="H44" i="25"/>
  <c r="H48" i="25"/>
  <c r="H18" i="25"/>
  <c r="H21" i="25"/>
  <c r="H28" i="25"/>
  <c r="H32" i="25"/>
  <c r="D6" i="96"/>
  <c r="E6" i="96" s="1"/>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E3" i="96" s="1"/>
  <c r="D7" i="96"/>
  <c r="E7" i="96" s="1"/>
  <c r="D11" i="96"/>
  <c r="E11" i="96" s="1"/>
  <c r="E6" i="89"/>
  <c r="F17" i="89"/>
  <c r="H5" i="25"/>
  <c r="H9" i="25"/>
  <c r="H13" i="25"/>
  <c r="H17" i="25"/>
  <c r="H27" i="25"/>
  <c r="H31" i="25"/>
  <c r="H35" i="25"/>
  <c r="H39" i="25"/>
  <c r="H43" i="25"/>
  <c r="H47" i="25"/>
  <c r="F16" i="89"/>
  <c r="H10" i="89"/>
  <c r="G14" i="89"/>
  <c r="D5" i="96"/>
  <c r="E5" i="96" s="1"/>
  <c r="D9" i="96"/>
  <c r="E9" i="96" s="1"/>
  <c r="D13" i="96"/>
  <c r="E13" i="96" s="1"/>
  <c r="H3" i="25"/>
  <c r="H7" i="25"/>
  <c r="H11" i="25"/>
  <c r="H15" i="25"/>
  <c r="H19" i="25"/>
  <c r="H25" i="25"/>
  <c r="H29" i="25"/>
  <c r="H33" i="25"/>
  <c r="H37" i="25"/>
  <c r="H41" i="25"/>
  <c r="H45" i="25"/>
  <c r="H49" i="25"/>
  <c r="D4" i="96"/>
  <c r="E4" i="96" s="1"/>
  <c r="D8" i="96"/>
  <c r="E8" i="96" s="1"/>
  <c r="G20" i="96"/>
  <c r="B24" i="25"/>
  <c r="H23" i="25" s="1"/>
  <c r="F12" i="17"/>
  <c r="M23" i="9"/>
  <c r="M22" i="9"/>
  <c r="O22" i="9" s="1"/>
  <c r="M21" i="9"/>
  <c r="O21" i="9" s="1"/>
  <c r="M20" i="9"/>
  <c r="O20" i="9" s="1"/>
  <c r="O19" i="9"/>
  <c r="M19" i="9"/>
  <c r="M18" i="9"/>
  <c r="O18" i="9" s="1"/>
  <c r="M17" i="9"/>
  <c r="O17" i="9" s="1"/>
  <c r="M16" i="9"/>
  <c r="O16" i="9" s="1"/>
  <c r="O15" i="9"/>
  <c r="M15" i="9"/>
  <c r="M14" i="9"/>
  <c r="O14" i="9" s="1"/>
  <c r="M13" i="9"/>
  <c r="O13" i="9" s="1"/>
  <c r="M12" i="9"/>
  <c r="M11" i="9"/>
  <c r="M10" i="9"/>
  <c r="M9" i="9"/>
  <c r="M8" i="9"/>
  <c r="M38" i="9" s="1"/>
  <c r="M7" i="9"/>
  <c r="M6" i="9"/>
  <c r="M40" i="9" s="1"/>
  <c r="M5" i="9"/>
  <c r="M41" i="9" s="1"/>
  <c r="I5" i="9"/>
  <c r="D5" i="9"/>
  <c r="M4" i="9"/>
  <c r="M42" i="9" s="1"/>
  <c r="M3" i="9"/>
  <c r="M43" i="9" s="1"/>
  <c r="Q20" i="22"/>
  <c r="P20" i="22"/>
  <c r="Q19" i="22"/>
  <c r="P19" i="22"/>
  <c r="R16" i="22" s="1"/>
  <c r="Q16" i="22"/>
  <c r="P16" i="22"/>
  <c r="Q15" i="22"/>
  <c r="P15" i="22"/>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6" i="9" l="1"/>
  <c r="R14" i="22"/>
  <c r="O10" i="9"/>
  <c r="O42" i="9"/>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B3" i="29"/>
  <c r="P2" i="29"/>
  <c r="P13" i="29" s="1"/>
  <c r="L6" i="29" s="1"/>
  <c r="L8" i="29" s="1"/>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B20" i="29" l="1"/>
  <c r="C20" i="29"/>
  <c r="D20" i="29"/>
  <c r="E20" i="29"/>
  <c r="F20" i="29"/>
  <c r="F24" i="29" s="1"/>
  <c r="F28" i="29" s="1"/>
  <c r="G20" i="29"/>
  <c r="H20" i="29"/>
  <c r="H24" i="29" s="1"/>
  <c r="H28" i="29" s="1"/>
  <c r="I20" i="29"/>
  <c r="I24" i="29" s="1"/>
  <c r="J20" i="29"/>
  <c r="K20" i="29"/>
  <c r="L20" i="29"/>
  <c r="M20" i="29"/>
  <c r="N20" i="29"/>
  <c r="N24" i="29" s="1"/>
  <c r="N28" i="29" s="1"/>
  <c r="O20" i="29"/>
  <c r="P20" i="29"/>
  <c r="P24" i="29" s="1"/>
  <c r="P28" i="29" s="1"/>
  <c r="Q20" i="29"/>
  <c r="Q24" i="29" s="1"/>
  <c r="R20" i="29"/>
  <c r="S20" i="29"/>
  <c r="T20" i="29"/>
  <c r="U20" i="29"/>
  <c r="V20" i="29"/>
  <c r="W20" i="29"/>
  <c r="X20" i="29"/>
  <c r="Y20" i="29"/>
  <c r="Z20" i="29"/>
  <c r="AA20" i="29"/>
  <c r="AB20" i="29"/>
  <c r="AC20" i="29"/>
  <c r="AD20" i="29"/>
  <c r="C24" i="29"/>
  <c r="D24" i="29"/>
  <c r="D28" i="29" s="1"/>
  <c r="E24" i="29"/>
  <c r="G24" i="29"/>
  <c r="J24" i="29"/>
  <c r="J28" i="29" s="1"/>
  <c r="K24" i="29"/>
  <c r="L24" i="29"/>
  <c r="L28" i="29" s="1"/>
  <c r="M24" i="29"/>
  <c r="O24" i="29"/>
  <c r="R24" i="29"/>
  <c r="R28" i="29" s="1"/>
  <c r="S24" i="29"/>
  <c r="T24" i="29"/>
  <c r="T28" i="29" s="1"/>
  <c r="U22" i="29"/>
  <c r="U23" i="29"/>
  <c r="U24"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C9" i="29"/>
  <c r="C10" i="29"/>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T5" i="99"/>
  <c r="Q5" i="99"/>
  <c r="C13" i="99"/>
  <c r="G17" i="29"/>
  <c r="Z11" i="103" l="1"/>
  <c r="Z13" i="103" s="1"/>
  <c r="Y14" i="103"/>
  <c r="Z6" i="103"/>
  <c r="Z12" i="103"/>
  <c r="Z7" i="103"/>
  <c r="Z8" i="103"/>
  <c r="Z10" i="103"/>
  <c r="S13" i="107"/>
  <c r="C13" i="107" s="1"/>
  <c r="C11" i="107"/>
  <c r="S26" i="107"/>
  <c r="S28" i="107" s="1"/>
  <c r="AA22" i="29"/>
  <c r="AA23" i="29"/>
  <c r="AA24" i="29"/>
  <c r="AA25" i="29"/>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N29" i="74"/>
  <c r="P28" i="74"/>
  <c r="O28" i="74"/>
  <c r="P27" i="74"/>
  <c r="N27" i="74"/>
  <c r="O27" i="74" s="1"/>
  <c r="T27" i="74" s="1"/>
  <c r="P26" i="74"/>
  <c r="O26" i="74"/>
  <c r="O29" i="74" l="1"/>
  <c r="T29" i="74" s="1"/>
  <c r="O32" i="74"/>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N7" i="74"/>
  <c r="P6" i="74"/>
  <c r="O6" i="74"/>
  <c r="P5" i="74"/>
  <c r="N5" i="74"/>
  <c r="C19" i="74" s="1"/>
  <c r="C17" i="74" s="1"/>
  <c r="P4" i="74"/>
  <c r="O4" i="74"/>
  <c r="J36" i="72"/>
  <c r="E36" i="72"/>
  <c r="D36" i="72"/>
  <c r="O7" i="74" l="1"/>
  <c r="T7" i="74" s="1"/>
  <c r="Q7" i="74" s="1"/>
  <c r="O5" i="74"/>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B18" i="72"/>
  <c r="C19" i="72" l="1"/>
  <c r="W17" i="29"/>
  <c r="M17" i="72"/>
  <c r="X17" i="29" l="1"/>
  <c r="Y17" i="29" l="1"/>
  <c r="J17" i="72"/>
  <c r="K17" i="72" s="1"/>
  <c r="Z17" i="29" l="1"/>
  <c r="H17" i="72"/>
  <c r="AA17" i="29" l="1"/>
  <c r="C17" i="72"/>
  <c r="F26" i="74" s="1"/>
  <c r="B17" i="72"/>
  <c r="D16" i="72"/>
  <c r="R15" i="72"/>
  <c r="B15" i="72"/>
  <c r="C14" i="72"/>
  <c r="F24" i="74" s="1"/>
  <c r="B14" i="72"/>
  <c r="P13" i="72"/>
  <c r="F13" i="72"/>
  <c r="D13" i="72"/>
  <c r="S12" i="72"/>
  <c r="S29" i="72" s="1"/>
  <c r="S11" i="72"/>
  <c r="H11" i="72"/>
  <c r="H26" i="72" s="1"/>
  <c r="I10" i="72"/>
  <c r="I29" i="72" s="1"/>
  <c r="O9" i="72"/>
  <c r="O29" i="72" s="1"/>
  <c r="R8" i="72"/>
  <c r="R29" i="72" s="1"/>
  <c r="G8" i="72"/>
  <c r="G29" i="72" s="1"/>
  <c r="E8" i="72"/>
  <c r="E29" i="72" s="1"/>
  <c r="O7" i="72"/>
  <c r="C7" i="72"/>
  <c r="C26" i="74" s="1"/>
  <c r="T25" i="74" s="1"/>
  <c r="Q6" i="72"/>
  <c r="Q26" i="72" s="1"/>
  <c r="O6" i="72"/>
  <c r="N6" i="72"/>
  <c r="L6" i="72"/>
  <c r="J6" i="72"/>
  <c r="J26" i="72" s="1"/>
  <c r="G6" i="72"/>
  <c r="G26" i="72" s="1"/>
  <c r="E6" i="72"/>
  <c r="E26" i="72" s="1"/>
  <c r="G13" i="72" l="1"/>
  <c r="C10" i="72"/>
  <c r="C27" i="74" s="1"/>
  <c r="J13" i="72"/>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N34" i="67"/>
  <c r="P33" i="67"/>
  <c r="O33" i="67"/>
  <c r="O34" i="67" l="1"/>
  <c r="C25" i="74"/>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N9" i="67"/>
  <c r="O9" i="67" s="1"/>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B18" i="68"/>
  <c r="C19" i="68" l="1"/>
  <c r="Q17" i="68"/>
  <c r="R17" i="68" s="1"/>
  <c r="O17" i="68" l="1"/>
  <c r="J17" i="68" l="1"/>
  <c r="K17" i="68" s="1"/>
  <c r="L17" i="68" s="1"/>
  <c r="G17" i="68" l="1"/>
  <c r="H17" i="68" s="1"/>
  <c r="E17" i="68"/>
  <c r="B17" i="68"/>
  <c r="E16" i="68"/>
  <c r="B15" i="68"/>
  <c r="P14" i="68"/>
  <c r="C14" i="68" s="1"/>
  <c r="F22" i="67" s="1"/>
  <c r="B14" i="68"/>
  <c r="O13" i="68"/>
  <c r="N13" i="68"/>
  <c r="M13" i="68"/>
  <c r="K13" i="68"/>
  <c r="J13" i="68"/>
  <c r="I13" i="68"/>
  <c r="G13" i="68"/>
  <c r="E13" i="68"/>
  <c r="D13" i="68"/>
  <c r="S12" i="68"/>
  <c r="S29" i="68" s="1"/>
  <c r="S11" i="68"/>
  <c r="S26" i="68" s="1"/>
  <c r="Q11" i="68"/>
  <c r="Q26" i="68" s="1"/>
  <c r="P11" i="68"/>
  <c r="C10" i="68"/>
  <c r="H8" i="68"/>
  <c r="H29" i="68" s="1"/>
  <c r="F8" i="68"/>
  <c r="F29" i="68" s="1"/>
  <c r="R7" i="68"/>
  <c r="R26" i="68" s="1"/>
  <c r="P7" i="68"/>
  <c r="P6" i="68"/>
  <c r="F13" i="68" l="1"/>
  <c r="P26" i="68"/>
  <c r="C7" i="68"/>
  <c r="C25" i="67" s="1"/>
  <c r="C11" i="68"/>
  <c r="C17" i="68"/>
  <c r="F24" i="67" s="1"/>
  <c r="P13" i="68"/>
  <c r="C12" i="68"/>
  <c r="S13" i="68"/>
  <c r="C6" i="68"/>
  <c r="R13" i="68"/>
  <c r="H13" i="68"/>
  <c r="Q13" i="68"/>
  <c r="D4" i="68"/>
  <c r="E2" i="68"/>
  <c r="P54" i="61"/>
  <c r="O54" i="61"/>
  <c r="P53" i="61"/>
  <c r="O53" i="61"/>
  <c r="P52" i="61"/>
  <c r="O52" i="61"/>
  <c r="P51" i="61"/>
  <c r="O51" i="61"/>
  <c r="P50" i="61"/>
  <c r="O50" i="61"/>
  <c r="P49" i="61"/>
  <c r="O49" i="61"/>
  <c r="P48" i="61"/>
  <c r="P47" i="61"/>
  <c r="N47" i="61"/>
  <c r="O47" i="61" s="1"/>
  <c r="P46" i="61"/>
  <c r="N46" i="6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C18" i="61" l="1"/>
  <c r="C26" i="68"/>
  <c r="F11" i="6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F26" i="58" l="1"/>
  <c r="C8" i="58"/>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s="1"/>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K3" i="11" s="1"/>
  <c r="K4" i="11" s="1"/>
  <c r="AA5" i="11"/>
  <c r="AA6" i="11" s="1"/>
  <c r="E33" i="11"/>
  <c r="F33" i="11" s="1"/>
  <c r="G33" i="11" s="1"/>
  <c r="L29" i="68"/>
  <c r="D11" i="1"/>
  <c r="E26" i="1"/>
  <c r="E28" i="1" s="1"/>
  <c r="C11" i="74"/>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s="1"/>
  <c r="E5" i="1" s="1"/>
  <c r="F17" i="1"/>
  <c r="G17" i="1" s="1"/>
  <c r="F18" i="1"/>
  <c r="G18" i="1"/>
  <c r="H18" i="1" s="1"/>
  <c r="I18" i="1" s="1"/>
  <c r="J18" i="1" s="1"/>
  <c r="J15" i="1"/>
  <c r="K15" i="1" s="1"/>
  <c r="M18" i="1"/>
  <c r="N18" i="1" s="1"/>
  <c r="P4" i="1"/>
  <c r="O11" i="1"/>
  <c r="O13" i="1" s="1"/>
  <c r="Q4" i="1"/>
  <c r="P11" i="1" s="1"/>
  <c r="Q17" i="1"/>
  <c r="R17" i="1" s="1"/>
  <c r="S17" i="1" s="1"/>
  <c r="E15" i="58"/>
  <c r="F15" i="58" s="1"/>
  <c r="I16" i="58"/>
  <c r="J15" i="58"/>
  <c r="K15" i="58" s="1"/>
  <c r="K27" i="58" s="1"/>
  <c r="K28" i="58" s="1"/>
  <c r="L16" i="58"/>
  <c r="M16" i="58"/>
  <c r="N16" i="58" s="1"/>
  <c r="M17" i="58"/>
  <c r="N17" i="58" s="1"/>
  <c r="O15" i="58"/>
  <c r="P15" i="58" s="1"/>
  <c r="Q15" i="58" s="1"/>
  <c r="F15" i="68"/>
  <c r="G15" i="68" s="1"/>
  <c r="F16" i="68"/>
  <c r="G16" i="68" s="1"/>
  <c r="F15" i="72"/>
  <c r="G15" i="72" s="1"/>
  <c r="I11" i="72"/>
  <c r="I13" i="72"/>
  <c r="K11" i="72"/>
  <c r="L11" i="72" s="1"/>
  <c r="K13" i="72"/>
  <c r="P16" i="72"/>
  <c r="Q16" i="72" s="1"/>
  <c r="R16" i="72" s="1"/>
  <c r="AA11" i="11"/>
  <c r="AA12" i="11" s="1"/>
  <c r="AA13" i="11" s="1"/>
  <c r="AA14" i="11" s="1"/>
  <c r="AA15" i="11" s="1"/>
  <c r="AA16" i="11" s="1"/>
  <c r="AA17" i="11" s="1"/>
  <c r="AA18" i="11" s="1"/>
  <c r="K11" i="11"/>
  <c r="K33" i="11"/>
  <c r="L33" i="11" s="1"/>
  <c r="D18" i="11"/>
  <c r="D19" i="11" s="1"/>
  <c r="D20" i="11" s="1"/>
  <c r="D21" i="11" s="1"/>
  <c r="D22" i="11" s="1"/>
  <c r="D23" i="11" s="1"/>
  <c r="D24" i="11" s="1"/>
  <c r="D25" i="11" s="1"/>
  <c r="D32" i="11"/>
  <c r="E32" i="11" s="1"/>
  <c r="M7" i="11" s="1"/>
  <c r="L38" i="11"/>
  <c r="M38" i="11" s="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68"/>
  <c r="F28" i="68" s="1"/>
  <c r="I26" i="72"/>
  <c r="M27" i="58"/>
  <c r="M28" i="58" s="1"/>
  <c r="E25" i="1"/>
  <c r="F25" i="1" s="1"/>
  <c r="G25" i="1" s="1"/>
  <c r="H25" i="1" s="1"/>
  <c r="I25" i="1" s="1"/>
  <c r="J25" i="1" s="1"/>
  <c r="K25" i="1" s="1"/>
  <c r="L25" i="1" s="1"/>
  <c r="M25" i="1" s="1"/>
  <c r="N25" i="1" s="1"/>
  <c r="O25" i="1" s="1"/>
  <c r="P25" i="1" s="1"/>
  <c r="Q25" i="1" s="1"/>
  <c r="R25" i="1" s="1"/>
  <c r="S25" i="1" s="1"/>
  <c r="O26" i="1"/>
  <c r="D30" i="1"/>
  <c r="D31" i="1" s="1"/>
  <c r="F2" i="58"/>
  <c r="G2" i="58" s="1"/>
  <c r="H2" i="58"/>
  <c r="I2" i="58"/>
  <c r="J2" i="58" s="1"/>
  <c r="K2" i="58" s="1"/>
  <c r="L2" i="58" s="1"/>
  <c r="M2" i="58" s="1"/>
  <c r="N2" i="58" s="1"/>
  <c r="O2" i="58" s="1"/>
  <c r="P2" i="58" s="1"/>
  <c r="Q2" i="58" s="1"/>
  <c r="R2" i="58" s="1"/>
  <c r="S2" i="58" s="1"/>
  <c r="F2" i="68"/>
  <c r="G2" i="68" s="1"/>
  <c r="H2" i="68" s="1"/>
  <c r="I2" i="68" s="1"/>
  <c r="J2" i="68" s="1"/>
  <c r="K2" i="68" s="1"/>
  <c r="L2" i="68" s="1"/>
  <c r="M2" i="68" s="1"/>
  <c r="N2" i="68" s="1"/>
  <c r="O2" i="68" s="1"/>
  <c r="P2" i="68" s="1"/>
  <c r="Q2" i="68" s="1"/>
  <c r="R2" i="68" s="1"/>
  <c r="S2" i="68" s="1"/>
  <c r="F4" i="72"/>
  <c r="G4" i="72" s="1"/>
  <c r="H4" i="72" s="1"/>
  <c r="I4" i="72" s="1"/>
  <c r="J4" i="72" s="1"/>
  <c r="K4" i="72" s="1"/>
  <c r="L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L26" i="72" l="1"/>
  <c r="L13" i="72"/>
  <c r="M11" i="72"/>
  <c r="G27" i="1"/>
  <c r="G28" i="1" s="1"/>
  <c r="H17" i="1"/>
  <c r="M4" i="72"/>
  <c r="N4" i="72" s="1"/>
  <c r="F27" i="1"/>
  <c r="F28" i="1" s="1"/>
  <c r="F27" i="72"/>
  <c r="F28" i="72" s="1"/>
  <c r="H15" i="72"/>
  <c r="G27" i="72"/>
  <c r="G28" i="72" s="1"/>
  <c r="O18" i="1"/>
  <c r="P18" i="1" s="1"/>
  <c r="Q18" i="1" s="1"/>
  <c r="R18" i="1" s="1"/>
  <c r="C18" i="1"/>
  <c r="L15" i="1"/>
  <c r="S16" i="72"/>
  <c r="C16" i="72" s="1"/>
  <c r="F32" i="74" s="1"/>
  <c r="F31" i="74" s="1"/>
  <c r="H16" i="68"/>
  <c r="I16" i="68" s="1"/>
  <c r="J16" i="68" s="1"/>
  <c r="K16" i="68" s="1"/>
  <c r="L16" i="68" s="1"/>
  <c r="M16" i="68" s="1"/>
  <c r="N16" i="68" s="1"/>
  <c r="O16" i="68" s="1"/>
  <c r="P16" i="68" s="1"/>
  <c r="Q16" i="68" s="1"/>
  <c r="N27" i="58"/>
  <c r="N28" i="58" s="1"/>
  <c r="O17" i="58"/>
  <c r="P26" i="1"/>
  <c r="P13" i="1"/>
  <c r="E22" i="1"/>
  <c r="K20" i="68"/>
  <c r="L20" i="68" s="1"/>
  <c r="H15" i="68"/>
  <c r="G27" i="68"/>
  <c r="G28" i="68" s="1"/>
  <c r="O16" i="58"/>
  <c r="P16" i="58" s="1"/>
  <c r="Q16" i="58" s="1"/>
  <c r="F27" i="58"/>
  <c r="F28" i="58" s="1"/>
  <c r="G15" i="58"/>
  <c r="R15" i="58"/>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I17" i="1" l="1"/>
  <c r="H27" i="1"/>
  <c r="H28" i="1" s="1"/>
  <c r="M26" i="72"/>
  <c r="M13" i="72"/>
  <c r="N11" i="72"/>
  <c r="S15" i="58"/>
  <c r="S27" i="58" s="1"/>
  <c r="S28" i="58" s="1"/>
  <c r="H15" i="58"/>
  <c r="G27" i="58"/>
  <c r="G28" i="58" s="1"/>
  <c r="E23" i="1"/>
  <c r="E30" i="1"/>
  <c r="E31" i="1" s="1"/>
  <c r="P17" i="58"/>
  <c r="O27" i="58"/>
  <c r="O28" i="58" s="1"/>
  <c r="M15" i="1"/>
  <c r="C20" i="68"/>
  <c r="I15" i="72"/>
  <c r="H27" i="72"/>
  <c r="H28" i="72" s="1"/>
  <c r="Q13" i="1"/>
  <c r="C13" i="1" s="1"/>
  <c r="Q26" i="1"/>
  <c r="C11" i="1"/>
  <c r="F25" i="60"/>
  <c r="C16" i="58"/>
  <c r="H27" i="68"/>
  <c r="H28" i="68" s="1"/>
  <c r="I15" i="68"/>
  <c r="C16" i="68"/>
  <c r="F30" i="67" s="1"/>
  <c r="F29" i="67"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N13" i="72" l="1"/>
  <c r="N26" i="72"/>
  <c r="O11" i="72"/>
  <c r="O4" i="72"/>
  <c r="P4" i="72" s="1"/>
  <c r="Q4" i="72" s="1"/>
  <c r="R4" i="72" s="1"/>
  <c r="S4" i="72" s="1"/>
  <c r="J17" i="1"/>
  <c r="I27" i="1"/>
  <c r="I28" i="1" s="1"/>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K17" i="1" l="1"/>
  <c r="J27" i="1"/>
  <c r="J28" i="1" s="1"/>
  <c r="O26" i="72"/>
  <c r="O13" i="72"/>
  <c r="C13" i="72" s="1"/>
  <c r="C11" i="72"/>
  <c r="F22" i="1"/>
  <c r="C8" i="99"/>
  <c r="C9" i="99"/>
  <c r="C8" i="101" s="1"/>
  <c r="C8" i="104" s="1"/>
  <c r="C8" i="108" s="1"/>
  <c r="C8" i="113" s="1"/>
  <c r="C8"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5" i="119" l="1"/>
  <c r="C8" i="123"/>
  <c r="C26" i="72"/>
  <c r="C23" i="74"/>
  <c r="C22" i="74" s="1"/>
  <c r="Z11" i="72"/>
  <c r="Z12" i="72"/>
  <c r="Z10" i="72"/>
  <c r="Z7" i="72"/>
  <c r="Z8" i="72"/>
  <c r="Y14" i="72"/>
  <c r="Z9" i="72"/>
  <c r="Z6" i="72"/>
  <c r="L17" i="1"/>
  <c r="K27" i="1"/>
  <c r="K28" i="1" s="1"/>
  <c r="W10" i="119"/>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D2" i="122" s="1"/>
  <c r="C27" i="58"/>
  <c r="C28" i="58" s="1"/>
  <c r="L15" i="72"/>
  <c r="K27" i="72"/>
  <c r="K28" i="72" s="1"/>
  <c r="F23" i="1"/>
  <c r="F30" i="1"/>
  <c r="F31" i="1" s="1"/>
  <c r="P15" i="1"/>
  <c r="O27" i="1"/>
  <c r="O28" i="1" s="1"/>
  <c r="C29" i="60"/>
  <c r="D19" i="60" s="1"/>
  <c r="C6" i="74"/>
  <c r="C7" i="99"/>
  <c r="M23" i="11"/>
  <c r="N25" i="11"/>
  <c r="F15" i="41"/>
  <c r="D16" i="41"/>
  <c r="J20" i="72"/>
  <c r="C17" i="1" l="1"/>
  <c r="F24" i="60" s="1"/>
  <c r="L27" i="1"/>
  <c r="L28" i="1" s="1"/>
  <c r="Z13" i="72"/>
  <c r="E2" i="122"/>
  <c r="F2" i="122" s="1"/>
  <c r="D25" i="122"/>
  <c r="E25" i="122" s="1"/>
  <c r="F25" i="122" s="1"/>
  <c r="C8" i="133"/>
  <c r="F24" i="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G25" i="122" l="1"/>
  <c r="H25" i="122" s="1"/>
  <c r="I25" i="122" s="1"/>
  <c r="J25" i="122" s="1"/>
  <c r="K25" i="122" s="1"/>
  <c r="L25" i="122" s="1"/>
  <c r="M25" i="122" s="1"/>
  <c r="N25" i="122" s="1"/>
  <c r="O25" i="122" s="1"/>
  <c r="P25" i="122" s="1"/>
  <c r="Q25" i="122" s="1"/>
  <c r="R25" i="122" s="1"/>
  <c r="S25" i="122" s="1"/>
  <c r="G2" i="122"/>
  <c r="H2" i="122" s="1"/>
  <c r="I2" i="122" s="1"/>
  <c r="J2" i="122" s="1"/>
  <c r="K2" i="122" s="1"/>
  <c r="L2" i="122" s="1"/>
  <c r="M2" i="122" s="1"/>
  <c r="N2" i="122" s="1"/>
  <c r="O2" i="122" s="1"/>
  <c r="P2" i="122" s="1"/>
  <c r="Q2" i="122" s="1"/>
  <c r="R2" i="122" s="1"/>
  <c r="S2" i="122" s="1"/>
  <c r="D2" i="134" s="1"/>
  <c r="C8" i="137"/>
  <c r="M27" i="68"/>
  <c r="M28" i="68" s="1"/>
  <c r="N15" i="68"/>
  <c r="M27" i="72"/>
  <c r="M28" i="72" s="1"/>
  <c r="N15" i="72"/>
  <c r="C7" i="104"/>
  <c r="C6" i="101"/>
  <c r="R15" i="1"/>
  <c r="Q27" i="1"/>
  <c r="Q28" i="1" s="1"/>
  <c r="G22" i="1"/>
  <c r="P25" i="11"/>
  <c r="O23" i="11"/>
  <c r="L20" i="72"/>
  <c r="D25" i="134" l="1"/>
  <c r="E25" i="134" s="1"/>
  <c r="F25" i="134" s="1"/>
  <c r="G25" i="134" s="1"/>
  <c r="H25" i="134" s="1"/>
  <c r="I25" i="134" s="1"/>
  <c r="J25" i="134" s="1"/>
  <c r="K25" i="134" s="1"/>
  <c r="L25" i="134" s="1"/>
  <c r="M25" i="134" s="1"/>
  <c r="N25" i="134" s="1"/>
  <c r="O25" i="134" s="1"/>
  <c r="P25" i="134" s="1"/>
  <c r="Q25" i="134" s="1"/>
  <c r="R25" i="134" s="1"/>
  <c r="S25" i="134" s="1"/>
  <c r="E2" i="134"/>
  <c r="F2" i="134" s="1"/>
  <c r="G2" i="134" s="1"/>
  <c r="H2" i="134" s="1"/>
  <c r="I2" i="134" s="1"/>
  <c r="J2" i="134" s="1"/>
  <c r="K2" i="134" s="1"/>
  <c r="L2" i="134" s="1"/>
  <c r="M2" i="134" s="1"/>
  <c r="N2" i="134" s="1"/>
  <c r="O2" i="134" s="1"/>
  <c r="P2" i="134" s="1"/>
  <c r="Q2" i="134" s="1"/>
  <c r="R2" i="134" s="1"/>
  <c r="S2" i="134" s="1"/>
  <c r="D2" i="136" s="1"/>
  <c r="C8" i="140"/>
  <c r="R27" i="1"/>
  <c r="R28" i="1" s="1"/>
  <c r="S15" i="1"/>
  <c r="C15" i="1"/>
  <c r="G30" i="1"/>
  <c r="G31" i="1" s="1"/>
  <c r="G23" i="1"/>
  <c r="C7" i="108"/>
  <c r="C6" i="104"/>
  <c r="N27" i="68"/>
  <c r="N28" i="68" s="1"/>
  <c r="O15" i="68"/>
  <c r="O15" i="72"/>
  <c r="N27" i="72"/>
  <c r="N28" i="72" s="1"/>
  <c r="P23" i="11"/>
  <c r="Q25" i="11"/>
  <c r="M20" i="72"/>
  <c r="C8" i="142" l="1"/>
  <c r="E2" i="136"/>
  <c r="F2" i="136" s="1"/>
  <c r="G2" i="136" s="1"/>
  <c r="H2" i="136" s="1"/>
  <c r="I2" i="136" s="1"/>
  <c r="J2" i="136" s="1"/>
  <c r="K2" i="136" s="1"/>
  <c r="L2" i="136" s="1"/>
  <c r="M2" i="136" s="1"/>
  <c r="N2" i="136" s="1"/>
  <c r="O2" i="136" s="1"/>
  <c r="P2" i="136" s="1"/>
  <c r="Q2" i="136" s="1"/>
  <c r="R2" i="136" s="1"/>
  <c r="S2" i="136" s="1"/>
  <c r="D2" i="139" s="1"/>
  <c r="D25" i="136"/>
  <c r="E25" i="136" s="1"/>
  <c r="F25" i="136" s="1"/>
  <c r="G25" i="136" s="1"/>
  <c r="H25" i="136" s="1"/>
  <c r="I25" i="136" s="1"/>
  <c r="J25" i="136" s="1"/>
  <c r="K25" i="136" s="1"/>
  <c r="L25" i="136" s="1"/>
  <c r="M25" i="136" s="1"/>
  <c r="N25" i="136" s="1"/>
  <c r="O25" i="136" s="1"/>
  <c r="P25" i="136" s="1"/>
  <c r="Q25" i="136" s="1"/>
  <c r="R25" i="136" s="1"/>
  <c r="S25" i="136" s="1"/>
  <c r="C7" i="113"/>
  <c r="C6" i="108"/>
  <c r="F23" i="60"/>
  <c r="C27" i="1"/>
  <c r="C28" i="1" s="1"/>
  <c r="P15" i="72"/>
  <c r="O27" i="72"/>
  <c r="O28" i="72" s="1"/>
  <c r="P15" i="68"/>
  <c r="O27" i="68"/>
  <c r="O28" i="68" s="1"/>
  <c r="S27" i="1"/>
  <c r="S28" i="1" s="1"/>
  <c r="G24" i="1"/>
  <c r="H5" i="1" s="1"/>
  <c r="Q23" i="11"/>
  <c r="R25" i="11"/>
  <c r="N20" i="72"/>
  <c r="D25" i="139" l="1"/>
  <c r="E25" i="139" s="1"/>
  <c r="F25" i="139" s="1"/>
  <c r="G25" i="139" s="1"/>
  <c r="H25" i="139" s="1"/>
  <c r="I25" i="139" s="1"/>
  <c r="J25" i="139" s="1"/>
  <c r="K25" i="139" s="1"/>
  <c r="L25" i="139" s="1"/>
  <c r="M25" i="139" s="1"/>
  <c r="E2" i="139"/>
  <c r="F2" i="139" s="1"/>
  <c r="G2" i="139" s="1"/>
  <c r="H2" i="139" s="1"/>
  <c r="I2" i="139" s="1"/>
  <c r="J2" i="139" s="1"/>
  <c r="K2" i="139" s="1"/>
  <c r="L2" i="139" s="1"/>
  <c r="M2" i="139" s="1"/>
  <c r="C8" i="145"/>
  <c r="P27" i="68"/>
  <c r="P28" i="68" s="1"/>
  <c r="Q15" i="68"/>
  <c r="P27" i="72"/>
  <c r="P28" i="72" s="1"/>
  <c r="C15" i="72"/>
  <c r="H22" i="1"/>
  <c r="C6" i="113"/>
  <c r="C7" i="119"/>
  <c r="R23" i="11"/>
  <c r="S25" i="11"/>
  <c r="O20" i="72"/>
  <c r="N2" i="139" l="1"/>
  <c r="O2" i="139" s="1"/>
  <c r="P2" i="139" s="1"/>
  <c r="Q2" i="139" s="1"/>
  <c r="R2" i="139" s="1"/>
  <c r="S2" i="139" s="1"/>
  <c r="D2" i="141" s="1"/>
  <c r="C6" i="119"/>
  <c r="C7" i="123"/>
  <c r="N25" i="139"/>
  <c r="O25" i="139" s="1"/>
  <c r="P25" i="139" s="1"/>
  <c r="Q25" i="139" s="1"/>
  <c r="R25" i="139" s="1"/>
  <c r="S25" i="139" s="1"/>
  <c r="H23" i="1"/>
  <c r="H30" i="1"/>
  <c r="H31" i="1" s="1"/>
  <c r="F25" i="74"/>
  <c r="C27" i="72"/>
  <c r="C28" i="72" s="1"/>
  <c r="R15" i="68"/>
  <c r="Q27" i="68"/>
  <c r="Q28" i="68" s="1"/>
  <c r="T25" i="11"/>
  <c r="S23" i="11"/>
  <c r="P20" i="72"/>
  <c r="D25" i="141" l="1"/>
  <c r="E25" i="141" s="1"/>
  <c r="F25" i="141" s="1"/>
  <c r="G25" i="141" s="1"/>
  <c r="H25" i="141" s="1"/>
  <c r="I25" i="141" s="1"/>
  <c r="J25" i="141" s="1"/>
  <c r="K25" i="141" s="1"/>
  <c r="L25" i="141" s="1"/>
  <c r="M25" i="141" s="1"/>
  <c r="N25" i="141" s="1"/>
  <c r="O25" i="141" s="1"/>
  <c r="P25" i="141" s="1"/>
  <c r="Q25" i="141" s="1"/>
  <c r="R25" i="141" s="1"/>
  <c r="S25" i="141" s="1"/>
  <c r="E2" i="141"/>
  <c r="F2" i="141" s="1"/>
  <c r="G2" i="141" s="1"/>
  <c r="H2" i="141" s="1"/>
  <c r="I2" i="141" s="1"/>
  <c r="J2" i="141" s="1"/>
  <c r="K2" i="141" s="1"/>
  <c r="L2" i="141" s="1"/>
  <c r="M2" i="141" s="1"/>
  <c r="N2" i="141" s="1"/>
  <c r="O2" i="141" s="1"/>
  <c r="P2" i="141" s="1"/>
  <c r="Q2" i="141" s="1"/>
  <c r="R2" i="141" s="1"/>
  <c r="S2" i="141" s="1"/>
  <c r="D2" i="144" s="1"/>
  <c r="C7" i="133"/>
  <c r="C6" i="123"/>
  <c r="T23" i="11"/>
  <c r="U25" i="11"/>
  <c r="S15" i="68"/>
  <c r="R27" i="68"/>
  <c r="R28" i="68" s="1"/>
  <c r="H24" i="1"/>
  <c r="I5" i="1" s="1"/>
  <c r="Q20" i="72"/>
  <c r="C7" i="137" l="1"/>
  <c r="C6" i="133"/>
  <c r="D25" i="144"/>
  <c r="E25" i="144" s="1"/>
  <c r="F25" i="144" s="1"/>
  <c r="G25" i="144" s="1"/>
  <c r="H25" i="144" s="1"/>
  <c r="I25" i="144" s="1"/>
  <c r="J25" i="144" s="1"/>
  <c r="K25" i="144" s="1"/>
  <c r="E2" i="144"/>
  <c r="F2" i="144" s="1"/>
  <c r="G2" i="144" s="1"/>
  <c r="H2" i="144" s="1"/>
  <c r="I2" i="144" s="1"/>
  <c r="J2" i="144" s="1"/>
  <c r="K2" i="144" s="1"/>
  <c r="U23" i="11"/>
  <c r="V25" i="11"/>
  <c r="I22" i="1"/>
  <c r="S27" i="68"/>
  <c r="S28" i="68" s="1"/>
  <c r="C15" i="68"/>
  <c r="R20" i="72"/>
  <c r="L25" i="144" l="1"/>
  <c r="M25" i="144" s="1"/>
  <c r="N25" i="144" s="1"/>
  <c r="O25" i="144" s="1"/>
  <c r="P25" i="144" s="1"/>
  <c r="Q25" i="144" s="1"/>
  <c r="R25" i="144" s="1"/>
  <c r="S25" i="144" s="1"/>
  <c r="L2" i="144"/>
  <c r="M2" i="144" s="1"/>
  <c r="N2" i="144" s="1"/>
  <c r="O2" i="144" s="1"/>
  <c r="P2" i="144" s="1"/>
  <c r="Q2" i="144" s="1"/>
  <c r="R2" i="144" s="1"/>
  <c r="S2" i="144" s="1"/>
  <c r="C7" i="140"/>
  <c r="C6" i="137"/>
  <c r="W25" i="11"/>
  <c r="V23" i="11"/>
  <c r="F23" i="67"/>
  <c r="C27" i="68"/>
  <c r="C28" i="68" s="1"/>
  <c r="I30" i="1"/>
  <c r="I31" i="1" s="1"/>
  <c r="I23" i="1"/>
  <c r="S20" i="72"/>
  <c r="C7" i="142" l="1"/>
  <c r="C6" i="140"/>
  <c r="X25" i="11"/>
  <c r="W23" i="11"/>
  <c r="I24" i="1"/>
  <c r="J5" i="1" s="1"/>
  <c r="C20" i="72"/>
  <c r="C6" i="142" l="1"/>
  <c r="C7" i="145"/>
  <c r="Y25" i="11"/>
  <c r="X23" i="11"/>
  <c r="J22" i="1"/>
  <c r="F20" i="74"/>
  <c r="C6" i="145" l="1"/>
  <c r="Y23" i="1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I22" i="72"/>
  <c r="H23" i="72"/>
  <c r="H24" i="72" s="1"/>
  <c r="I5" i="72" s="1"/>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l="1"/>
  <c r="M30" i="72"/>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s="1"/>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F35" i="99" l="1"/>
  <c r="D23" i="99"/>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C29" i="113"/>
  <c r="C34" i="113" s="1"/>
  <c r="D22" i="113" s="1"/>
  <c r="C5" i="118"/>
  <c r="D17" i="113"/>
  <c r="D13" i="113"/>
  <c r="D14" i="113"/>
  <c r="D8"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F6" i="119" l="1"/>
  <c r="F8" i="123"/>
  <c r="D29" i="113"/>
  <c r="D15" i="113"/>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4" i="118"/>
  <c r="D18" i="113"/>
  <c r="D19" i="113"/>
  <c r="D23" i="113"/>
  <c r="D34" i="113"/>
  <c r="D24" i="113"/>
  <c r="F35" i="113"/>
  <c r="D25" i="113"/>
  <c r="D26" i="113"/>
  <c r="D9" i="113"/>
  <c r="D12" i="113"/>
  <c r="C29" i="119" l="1"/>
  <c r="C34" i="119" s="1"/>
  <c r="D12" i="119" s="1"/>
  <c r="C5" i="122"/>
  <c r="F17" i="119"/>
  <c r="F11" i="119" s="1"/>
  <c r="F9" i="123" s="1"/>
  <c r="D14" i="119"/>
  <c r="D19" i="119"/>
  <c r="D34" i="119"/>
  <c r="D15" i="119"/>
  <c r="D13" i="119"/>
  <c r="D18" i="119"/>
  <c r="D27" i="119"/>
  <c r="D25" i="119"/>
  <c r="D6" i="119"/>
  <c r="D23" i="119"/>
  <c r="D22" i="119"/>
  <c r="D5" i="122" l="1"/>
  <c r="D24" i="122" s="1"/>
  <c r="E5" i="122" s="1"/>
  <c r="E24" i="122" s="1"/>
  <c r="F5" i="122" s="1"/>
  <c r="F24" i="122" s="1"/>
  <c r="G5" i="122" s="1"/>
  <c r="G24" i="122" s="1"/>
  <c r="H5" i="122" s="1"/>
  <c r="H24" i="122" s="1"/>
  <c r="I5" i="122" s="1"/>
  <c r="I24" i="122" s="1"/>
  <c r="J5" i="122" s="1"/>
  <c r="J24" i="122" s="1"/>
  <c r="K5" i="122" s="1"/>
  <c r="K24" i="122" s="1"/>
  <c r="L5" i="122" s="1"/>
  <c r="L24" i="122" s="1"/>
  <c r="M5" i="122" s="1"/>
  <c r="M24" i="122" s="1"/>
  <c r="N5" i="122" s="1"/>
  <c r="N24" i="122" s="1"/>
  <c r="O5" i="122" s="1"/>
  <c r="O24" i="122" s="1"/>
  <c r="P5" i="122" s="1"/>
  <c r="P24" i="122" s="1"/>
  <c r="Q5" i="122" s="1"/>
  <c r="Q24" i="122" s="1"/>
  <c r="R5" i="122" s="1"/>
  <c r="R24" i="122" s="1"/>
  <c r="S5" i="122" s="1"/>
  <c r="S24" i="122" s="1"/>
  <c r="C24" i="122"/>
  <c r="D26" i="119"/>
  <c r="D11" i="119"/>
  <c r="F8" i="133"/>
  <c r="D7" i="119"/>
  <c r="D9" i="119"/>
  <c r="D24" i="119"/>
  <c r="D17" i="119"/>
  <c r="D29" i="119"/>
  <c r="D8" i="119"/>
  <c r="F6" i="123"/>
  <c r="F34" i="119"/>
  <c r="F17" i="123" l="1"/>
  <c r="F11" i="123" s="1"/>
  <c r="C5" i="134"/>
  <c r="C29" i="123"/>
  <c r="C34" i="123" s="1"/>
  <c r="G17" i="119"/>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 r="F9" i="133" l="1"/>
  <c r="G11" i="123"/>
  <c r="F34" i="123"/>
  <c r="C24" i="134"/>
  <c r="F17" i="133" s="1"/>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N5" i="134" s="1"/>
  <c r="N24" i="134" s="1"/>
  <c r="O5" i="134" s="1"/>
  <c r="O24" i="134" s="1"/>
  <c r="P5" i="134" s="1"/>
  <c r="P24" i="134" s="1"/>
  <c r="Q5" i="134" s="1"/>
  <c r="Q24" i="134" s="1"/>
  <c r="R5" i="134" s="1"/>
  <c r="R24" i="134" s="1"/>
  <c r="S5" i="134" s="1"/>
  <c r="S24" i="134" s="1"/>
  <c r="D29" i="123"/>
  <c r="D24" i="123"/>
  <c r="D17" i="123"/>
  <c r="D18" i="123"/>
  <c r="D14" i="123"/>
  <c r="D11" i="123"/>
  <c r="D34" i="123"/>
  <c r="D27" i="123"/>
  <c r="D15" i="123"/>
  <c r="D26" i="123"/>
  <c r="D12" i="123"/>
  <c r="D19" i="123"/>
  <c r="D9" i="123"/>
  <c r="D23" i="123"/>
  <c r="D25" i="123"/>
  <c r="D13" i="123"/>
  <c r="D22" i="123"/>
  <c r="D8" i="123"/>
  <c r="D7" i="123"/>
  <c r="D6" i="123"/>
  <c r="F11" i="133" l="1"/>
  <c r="G17" i="123"/>
  <c r="G23" i="123"/>
  <c r="G12" i="123"/>
  <c r="G31" i="123"/>
  <c r="G32" i="123"/>
  <c r="G20" i="123"/>
  <c r="G14" i="123"/>
  <c r="G33" i="123"/>
  <c r="G21" i="123"/>
  <c r="G7" i="123"/>
  <c r="G15" i="123"/>
  <c r="G34" i="123"/>
  <c r="G13" i="123"/>
  <c r="G19" i="123"/>
  <c r="F35" i="123"/>
  <c r="G24" i="123"/>
  <c r="G28" i="123"/>
  <c r="G25" i="123"/>
  <c r="G29" i="123"/>
  <c r="G16" i="123"/>
  <c r="G30" i="123"/>
  <c r="G27" i="123"/>
  <c r="G8" i="123"/>
  <c r="G9" i="123"/>
  <c r="G6" i="123"/>
  <c r="C29" i="133"/>
  <c r="C5" i="136"/>
  <c r="F8" i="137"/>
  <c r="F6" i="133"/>
  <c r="F6" i="137" l="1"/>
  <c r="C34" i="133"/>
  <c r="D29" i="133"/>
  <c r="C21" i="137"/>
  <c r="C24" i="136"/>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5" i="139" s="1"/>
  <c r="F9" i="137"/>
  <c r="G11" i="133"/>
  <c r="F34" i="133"/>
  <c r="C33" i="137" l="1"/>
  <c r="C34" i="137" s="1"/>
  <c r="F9" i="140"/>
  <c r="C38" i="137"/>
  <c r="C30" i="137"/>
  <c r="D22" i="133"/>
  <c r="D24" i="133"/>
  <c r="D9" i="133"/>
  <c r="D23" i="133"/>
  <c r="D27" i="133"/>
  <c r="D14" i="133"/>
  <c r="D17" i="133"/>
  <c r="D34" i="133"/>
  <c r="D15" i="133"/>
  <c r="D18" i="133"/>
  <c r="D12" i="133"/>
  <c r="D19" i="133"/>
  <c r="D26" i="133"/>
  <c r="D13" i="133"/>
  <c r="D25" i="133"/>
  <c r="D11" i="133"/>
  <c r="D8" i="133"/>
  <c r="D7" i="133"/>
  <c r="D6" i="133"/>
  <c r="G30" i="133"/>
  <c r="G19" i="133"/>
  <c r="G31" i="133"/>
  <c r="G33" i="133"/>
  <c r="G16" i="133"/>
  <c r="G34" i="133"/>
  <c r="G21" i="133"/>
  <c r="G15" i="133"/>
  <c r="G20" i="133"/>
  <c r="G12" i="133"/>
  <c r="G7" i="133"/>
  <c r="G28" i="133"/>
  <c r="G32" i="133"/>
  <c r="G14" i="133"/>
  <c r="G13" i="133"/>
  <c r="F35" i="133"/>
  <c r="G29" i="133"/>
  <c r="G27" i="133"/>
  <c r="G8" i="133"/>
  <c r="G9" i="133"/>
  <c r="G17" i="133"/>
  <c r="F30" i="137"/>
  <c r="C21" i="140"/>
  <c r="D5" i="139"/>
  <c r="D24" i="139" s="1"/>
  <c r="E5" i="139" s="1"/>
  <c r="E24" i="139" s="1"/>
  <c r="F5" i="139" s="1"/>
  <c r="F24" i="139" s="1"/>
  <c r="G5" i="139" s="1"/>
  <c r="G24" i="139" s="1"/>
  <c r="H5" i="139" s="1"/>
  <c r="H24" i="139" s="1"/>
  <c r="I5" i="139" s="1"/>
  <c r="I24" i="139" s="1"/>
  <c r="J5" i="139" s="1"/>
  <c r="J24" i="139" s="1"/>
  <c r="K5" i="139" s="1"/>
  <c r="K24" i="139" s="1"/>
  <c r="L5" i="139" s="1"/>
  <c r="L24" i="139" s="1"/>
  <c r="M5" i="139" s="1"/>
  <c r="M24" i="139" s="1"/>
  <c r="C24" i="139"/>
  <c r="F8" i="140"/>
  <c r="G6" i="133"/>
  <c r="G28" i="137" l="1"/>
  <c r="G7" i="137"/>
  <c r="G21" i="137"/>
  <c r="G14" i="137"/>
  <c r="G12" i="137"/>
  <c r="G19" i="137"/>
  <c r="G27" i="137"/>
  <c r="G30" i="137"/>
  <c r="G29" i="137"/>
  <c r="F31" i="137"/>
  <c r="G15" i="137"/>
  <c r="G24" i="137"/>
  <c r="G13" i="137"/>
  <c r="G20" i="137"/>
  <c r="G16" i="137"/>
  <c r="G26" i="137"/>
  <c r="G25" i="137"/>
  <c r="G23" i="137"/>
  <c r="G17" i="137"/>
  <c r="G11" i="137"/>
  <c r="G8" i="137"/>
  <c r="G6" i="137"/>
  <c r="N5" i="139"/>
  <c r="N24" i="139" s="1"/>
  <c r="O5" i="139" s="1"/>
  <c r="O24" i="139" s="1"/>
  <c r="P5" i="139" s="1"/>
  <c r="P24" i="139" s="1"/>
  <c r="Q5" i="139" s="1"/>
  <c r="Q24" i="139" s="1"/>
  <c r="R5" i="139" s="1"/>
  <c r="R24" i="139" s="1"/>
  <c r="S5" i="139" s="1"/>
  <c r="S24" i="139" s="1"/>
  <c r="C5" i="141" s="1"/>
  <c r="D21" i="137"/>
  <c r="D30" i="137"/>
  <c r="D13" i="137"/>
  <c r="D25" i="137"/>
  <c r="D19" i="137"/>
  <c r="D27" i="137"/>
  <c r="D14" i="137"/>
  <c r="D23" i="137"/>
  <c r="D26" i="137"/>
  <c r="D9" i="137"/>
  <c r="D17" i="137"/>
  <c r="D15" i="137"/>
  <c r="D28" i="137"/>
  <c r="D12" i="137"/>
  <c r="D18" i="137"/>
  <c r="D11" i="137"/>
  <c r="D24" i="137"/>
  <c r="D8" i="137"/>
  <c r="D7" i="137"/>
  <c r="D6" i="137"/>
  <c r="G9" i="137"/>
  <c r="F6" i="140"/>
  <c r="F8" i="142"/>
  <c r="C30" i="140"/>
  <c r="D21" i="140"/>
  <c r="C33" i="140"/>
  <c r="C34" i="140" s="1"/>
  <c r="C33" i="145"/>
  <c r="C33" i="142"/>
  <c r="D5" i="141" l="1"/>
  <c r="D24" i="141" s="1"/>
  <c r="E5" i="141" s="1"/>
  <c r="E24" i="141" s="1"/>
  <c r="F5" i="141" s="1"/>
  <c r="F24" i="141" s="1"/>
  <c r="G5" i="141" s="1"/>
  <c r="G24" i="141" s="1"/>
  <c r="H5" i="141" s="1"/>
  <c r="H24" i="141" s="1"/>
  <c r="I5" i="141" s="1"/>
  <c r="I24" i="141" s="1"/>
  <c r="J5" i="141" s="1"/>
  <c r="J24" i="141" s="1"/>
  <c r="K5" i="141" s="1"/>
  <c r="K24" i="141" s="1"/>
  <c r="L5" i="141" s="1"/>
  <c r="L24" i="141" s="1"/>
  <c r="M5" i="141" s="1"/>
  <c r="M24" i="141" s="1"/>
  <c r="N5" i="141" s="1"/>
  <c r="N24" i="141" s="1"/>
  <c r="O5" i="141" s="1"/>
  <c r="O24" i="141" s="1"/>
  <c r="P5" i="141" s="1"/>
  <c r="P24" i="141" s="1"/>
  <c r="Q5" i="141" s="1"/>
  <c r="Q24" i="141" s="1"/>
  <c r="R5" i="141" s="1"/>
  <c r="R24" i="141" s="1"/>
  <c r="S5" i="141" s="1"/>
  <c r="S24" i="141" s="1"/>
  <c r="C5" i="144" s="1"/>
  <c r="C21" i="142"/>
  <c r="C24" i="141"/>
  <c r="F30" i="140"/>
  <c r="G6" i="140"/>
  <c r="C34" i="142"/>
  <c r="F6" i="142"/>
  <c r="F8" i="145"/>
  <c r="D18" i="140"/>
  <c r="D14" i="140"/>
  <c r="D17" i="140"/>
  <c r="D9" i="140"/>
  <c r="D30" i="140"/>
  <c r="D25" i="140"/>
  <c r="D27" i="140"/>
  <c r="D28" i="140"/>
  <c r="D23" i="140"/>
  <c r="D12" i="140"/>
  <c r="D11" i="140"/>
  <c r="D24" i="140"/>
  <c r="D15" i="140"/>
  <c r="D19" i="140"/>
  <c r="D26" i="140"/>
  <c r="D13" i="140"/>
  <c r="D8" i="140"/>
  <c r="D7" i="140"/>
  <c r="D6" i="140"/>
  <c r="F30" i="142" l="1"/>
  <c r="F6" i="145"/>
  <c r="G29" i="140"/>
  <c r="G20" i="140"/>
  <c r="G23" i="140"/>
  <c r="G12" i="140"/>
  <c r="G26" i="140"/>
  <c r="G17" i="140"/>
  <c r="G11" i="140"/>
  <c r="G28" i="140"/>
  <c r="G27" i="140"/>
  <c r="G16" i="140"/>
  <c r="G25" i="140"/>
  <c r="G24" i="140"/>
  <c r="G13" i="140"/>
  <c r="F31" i="140"/>
  <c r="G14" i="140"/>
  <c r="G19" i="140"/>
  <c r="G21" i="140"/>
  <c r="G30" i="140"/>
  <c r="G7" i="140"/>
  <c r="G15" i="140"/>
  <c r="G9" i="140"/>
  <c r="G8" i="140"/>
  <c r="C30" i="142"/>
  <c r="D21" i="142" s="1"/>
  <c r="D5" i="144"/>
  <c r="D24" i="144" s="1"/>
  <c r="E5" i="144" s="1"/>
  <c r="E24" i="144" s="1"/>
  <c r="F5" i="144" s="1"/>
  <c r="F24" i="144" s="1"/>
  <c r="G5" i="144" s="1"/>
  <c r="G24" i="144" s="1"/>
  <c r="H5" i="144" s="1"/>
  <c r="H24" i="144" s="1"/>
  <c r="I5" i="144" s="1"/>
  <c r="I24" i="144" s="1"/>
  <c r="J5" i="144" s="1"/>
  <c r="J24" i="144" s="1"/>
  <c r="K5" i="144" s="1"/>
  <c r="K24" i="144" s="1"/>
  <c r="L5" i="144" s="1"/>
  <c r="L24" i="144" s="1"/>
  <c r="M5" i="144" s="1"/>
  <c r="M24" i="144" s="1"/>
  <c r="N5" i="144" s="1"/>
  <c r="N24" i="144" s="1"/>
  <c r="O5" i="144" s="1"/>
  <c r="O24" i="144" s="1"/>
  <c r="P5" i="144" s="1"/>
  <c r="P24" i="144" s="1"/>
  <c r="Q5" i="144" s="1"/>
  <c r="Q24" i="144" s="1"/>
  <c r="R5" i="144" s="1"/>
  <c r="R24" i="144" s="1"/>
  <c r="S5" i="144" s="1"/>
  <c r="S24" i="144" s="1"/>
  <c r="C21" i="145"/>
  <c r="C24" i="144"/>
  <c r="D23" i="142" l="1"/>
  <c r="D11" i="142"/>
  <c r="D9" i="142"/>
  <c r="D26" i="142"/>
  <c r="D24" i="142"/>
  <c r="D14" i="142"/>
  <c r="D25" i="142"/>
  <c r="D15" i="142"/>
  <c r="D13" i="142"/>
  <c r="D27" i="142"/>
  <c r="D18" i="142"/>
  <c r="D28" i="142"/>
  <c r="D12" i="142"/>
  <c r="D30" i="142"/>
  <c r="D17" i="142"/>
  <c r="D19" i="142"/>
  <c r="D8" i="142"/>
  <c r="D7" i="142"/>
  <c r="D6" i="142"/>
  <c r="F30" i="145"/>
  <c r="C30" i="145"/>
  <c r="D21" i="145" s="1"/>
  <c r="C34" i="145"/>
  <c r="G11" i="142"/>
  <c r="G29" i="142"/>
  <c r="G26" i="142"/>
  <c r="G19" i="142"/>
  <c r="G27" i="142"/>
  <c r="G20" i="142"/>
  <c r="G12" i="142"/>
  <c r="G16" i="142"/>
  <c r="G28" i="142"/>
  <c r="G13" i="142"/>
  <c r="G7" i="142"/>
  <c r="G24" i="142"/>
  <c r="G30" i="142"/>
  <c r="F31" i="142"/>
  <c r="G15" i="142"/>
  <c r="G21" i="142"/>
  <c r="G14" i="142"/>
  <c r="G9" i="142"/>
  <c r="G25" i="142"/>
  <c r="G23" i="142"/>
  <c r="G17" i="142"/>
  <c r="G8" i="142"/>
  <c r="G6" i="142"/>
  <c r="G17" i="145" l="1"/>
  <c r="F31" i="145"/>
  <c r="G19" i="145"/>
  <c r="G14" i="145"/>
  <c r="G30" i="145"/>
  <c r="G28" i="145"/>
  <c r="G12" i="145"/>
  <c r="G13" i="145"/>
  <c r="G26" i="145"/>
  <c r="G27" i="145"/>
  <c r="G15" i="145"/>
  <c r="G20" i="145"/>
  <c r="G7" i="145"/>
  <c r="G24" i="145"/>
  <c r="G16" i="145"/>
  <c r="G29" i="145"/>
  <c r="G21" i="145"/>
  <c r="G9" i="145"/>
  <c r="G25" i="145"/>
  <c r="G23" i="145"/>
  <c r="G11" i="145"/>
  <c r="G8" i="145"/>
  <c r="G6" i="145"/>
  <c r="D11" i="145"/>
  <c r="D9" i="145"/>
  <c r="D28" i="145"/>
  <c r="D26" i="145"/>
  <c r="D19" i="145"/>
  <c r="D15" i="145"/>
  <c r="D25" i="145"/>
  <c r="D17" i="145"/>
  <c r="D14" i="145"/>
  <c r="D23" i="145"/>
  <c r="D27" i="145"/>
  <c r="D18" i="145"/>
  <c r="D12" i="145"/>
  <c r="D13" i="145"/>
  <c r="D30" i="145"/>
  <c r="D24" i="145"/>
  <c r="D8" i="145"/>
  <c r="D7" i="145"/>
  <c r="D6" i="1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1" authorId="0" shapeId="0" xr:uid="{00000000-0006-0000-0300-000001000000}">
      <text>
        <r>
          <rPr>
            <b/>
            <sz val="8"/>
            <color indexed="81"/>
            <rFont val="Tahoma"/>
            <family val="2"/>
          </rPr>
          <t>Sacado del manual no escrito, no se sabe que son estos valores</t>
        </r>
      </text>
    </comment>
    <comment ref="D1" authorId="0" shapeId="0" xr:uid="{00000000-0006-0000-0300-000002000000}">
      <text>
        <r>
          <rPr>
            <b/>
            <sz val="8"/>
            <color indexed="81"/>
            <rFont val="Tahoma"/>
            <family val="2"/>
          </rPr>
          <t>En partidos de Torneo con el predictor
-Campo neutral
-Espiritu: Ilusionats (6)
-Confiança: Alta (7)
Entrenador NEUTRO</t>
        </r>
      </text>
    </comment>
    <comment ref="B9" authorId="0" shapeId="0" xr:uid="{00000000-0006-0000-0300-000003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xr:uid="{00000000-0006-0000-0300-000004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xr:uid="{00000000-0006-0000-0300-000005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xr:uid="{00000000-0006-0000-0300-000006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xr:uid="{00000000-0006-0000-0300-000007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600-000001000000}">
      <text>
        <r>
          <rPr>
            <b/>
            <sz val="8"/>
            <color indexed="81"/>
            <rFont val="Tahoma"/>
            <family val="2"/>
          </rPr>
          <t>Autor:</t>
        </r>
        <r>
          <rPr>
            <sz val="8"/>
            <color indexed="81"/>
            <rFont val="Tahoma"/>
            <family val="2"/>
          </rPr>
          <t xml:space="preserve">
amistoso POTEITOR</t>
        </r>
      </text>
    </comment>
    <comment ref="E8" authorId="0" shapeId="0" xr:uid="{00000000-0006-0000-0600-000002000000}">
      <text>
        <r>
          <rPr>
            <b/>
            <sz val="8"/>
            <color indexed="81"/>
            <rFont val="Tahoma"/>
            <family val="2"/>
          </rPr>
          <t>Autor:</t>
        </r>
        <r>
          <rPr>
            <sz val="8"/>
            <color indexed="81"/>
            <rFont val="Tahoma"/>
            <family val="2"/>
          </rPr>
          <t xml:space="preserve">
Rubianes+Sava+Mercadeo1</t>
        </r>
      </text>
    </comment>
    <comment ref="E9" authorId="0" shapeId="0" xr:uid="{00000000-0006-0000-0600-000003000000}">
      <text>
        <r>
          <rPr>
            <b/>
            <sz val="8"/>
            <color indexed="81"/>
            <rFont val="Tahoma"/>
            <family val="2"/>
          </rPr>
          <t>Autor:</t>
        </r>
        <r>
          <rPr>
            <sz val="8"/>
            <color indexed="81"/>
            <rFont val="Tahoma"/>
            <family val="2"/>
          </rPr>
          <t xml:space="preserve">
R.Chua</t>
        </r>
      </text>
    </comment>
    <comment ref="H10" authorId="0" shapeId="0" xr:uid="{00000000-0006-0000-0600-000004000000}">
      <text>
        <r>
          <rPr>
            <b/>
            <sz val="8"/>
            <color indexed="81"/>
            <rFont val="Tahoma"/>
            <family val="2"/>
          </rPr>
          <t>Autor:</t>
        </r>
        <r>
          <rPr>
            <sz val="8"/>
            <color indexed="81"/>
            <rFont val="Tahoma"/>
            <family val="2"/>
          </rPr>
          <t xml:space="preserve">
club origen de RUBIANES</t>
        </r>
      </text>
    </comment>
    <comment ref="E19" authorId="0" shapeId="0" xr:uid="{00000000-0006-0000-0600-00000500000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E16" authorId="0" shapeId="0" xr:uid="{00000000-0006-0000-0700-000001000000}">
      <text>
        <r>
          <rPr>
            <b/>
            <sz val="8"/>
            <color indexed="81"/>
            <rFont val="Tahoma"/>
            <family val="2"/>
          </rPr>
          <t>Autor:</t>
        </r>
        <r>
          <rPr>
            <sz val="8"/>
            <color indexed="81"/>
            <rFont val="Tahoma"/>
            <family val="2"/>
          </rPr>
          <t xml:space="preserve">
Ingresos anuales - Pagos anuales + Caja</t>
        </r>
      </text>
    </comment>
    <comment ref="C17" authorId="0" shapeId="0" xr:uid="{00000000-0006-0000-0700-000002000000}">
      <text>
        <r>
          <rPr>
            <b/>
            <sz val="8"/>
            <color indexed="81"/>
            <rFont val="Tahoma"/>
            <family val="2"/>
          </rPr>
          <t>Autor:</t>
        </r>
        <r>
          <rPr>
            <sz val="8"/>
            <color indexed="81"/>
            <rFont val="Tahoma"/>
            <family val="2"/>
          </rPr>
          <t xml:space="preserve">
precio total venta, comisiones va a ByP
</t>
        </r>
      </text>
    </comment>
    <comment ref="F19" authorId="0" shapeId="0" xr:uid="{00000000-0006-0000-0700-00000300000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800-000001000000}">
      <text>
        <r>
          <rPr>
            <b/>
            <sz val="8"/>
            <color indexed="81"/>
            <rFont val="Tahoma"/>
            <family val="2"/>
          </rPr>
          <t>Autor:</t>
        </r>
        <r>
          <rPr>
            <sz val="8"/>
            <color indexed="81"/>
            <rFont val="Tahoma"/>
            <family val="2"/>
          </rPr>
          <t xml:space="preserve">
amistoso POTEITOR</t>
        </r>
      </text>
    </comment>
    <comment ref="E6" authorId="0" shapeId="0" xr:uid="{00000000-0006-0000-0800-000002000000}">
      <text>
        <r>
          <rPr>
            <b/>
            <sz val="8"/>
            <color indexed="81"/>
            <rFont val="Tahoma"/>
            <family val="2"/>
          </rPr>
          <t>Autor:</t>
        </r>
        <r>
          <rPr>
            <sz val="8"/>
            <color indexed="81"/>
            <rFont val="Tahoma"/>
            <family val="2"/>
          </rPr>
          <t xml:space="preserve">
amistoso POTEITOR</t>
        </r>
      </text>
    </comment>
    <comment ref="G6" authorId="0" shapeId="0" xr:uid="{00000000-0006-0000-0800-000003000000}">
      <text>
        <r>
          <rPr>
            <b/>
            <sz val="8"/>
            <color indexed="81"/>
            <rFont val="Tahoma"/>
            <family val="2"/>
          </rPr>
          <t>Autor:</t>
        </r>
        <r>
          <rPr>
            <sz val="8"/>
            <color indexed="81"/>
            <rFont val="Tahoma"/>
            <family val="2"/>
          </rPr>
          <t xml:space="preserve">
amistoso POTEITOR</t>
        </r>
      </text>
    </comment>
    <comment ref="J6" authorId="0" shapeId="0" xr:uid="{00000000-0006-0000-0800-000004000000}">
      <text>
        <r>
          <rPr>
            <b/>
            <sz val="8"/>
            <color indexed="81"/>
            <rFont val="Tahoma"/>
            <family val="2"/>
          </rPr>
          <t>Autor:</t>
        </r>
        <r>
          <rPr>
            <sz val="8"/>
            <color indexed="81"/>
            <rFont val="Tahoma"/>
            <family val="2"/>
          </rPr>
          <t xml:space="preserve">
amistoso POTEITOR</t>
        </r>
      </text>
    </comment>
    <comment ref="L6" authorId="0" shapeId="0" xr:uid="{00000000-0006-0000-0800-000005000000}">
      <text>
        <r>
          <rPr>
            <b/>
            <sz val="8"/>
            <color indexed="81"/>
            <rFont val="Tahoma"/>
            <family val="2"/>
          </rPr>
          <t>Autor:</t>
        </r>
        <r>
          <rPr>
            <sz val="8"/>
            <color indexed="81"/>
            <rFont val="Tahoma"/>
            <family val="2"/>
          </rPr>
          <t xml:space="preserve">
amistoso POTEITOR</t>
        </r>
      </text>
    </comment>
    <comment ref="N6" authorId="0" shapeId="0" xr:uid="{00000000-0006-0000-0800-000006000000}">
      <text>
        <r>
          <rPr>
            <b/>
            <sz val="8"/>
            <color indexed="81"/>
            <rFont val="Tahoma"/>
            <family val="2"/>
          </rPr>
          <t>Autor:</t>
        </r>
        <r>
          <rPr>
            <sz val="8"/>
            <color indexed="81"/>
            <rFont val="Tahoma"/>
            <family val="2"/>
          </rPr>
          <t xml:space="preserve">
amistoso POTEITOR</t>
        </r>
      </text>
    </comment>
    <comment ref="Q6" authorId="0" shapeId="0" xr:uid="{00000000-0006-0000-0800-000007000000}">
      <text>
        <r>
          <rPr>
            <b/>
            <sz val="8"/>
            <color indexed="81"/>
            <rFont val="Tahoma"/>
            <family val="2"/>
          </rPr>
          <t>Autor:</t>
        </r>
        <r>
          <rPr>
            <sz val="8"/>
            <color indexed="81"/>
            <rFont val="Tahoma"/>
            <family val="2"/>
          </rPr>
          <t xml:space="preserve">
amistoso POTEITOR</t>
        </r>
      </text>
    </comment>
    <comment ref="E19" authorId="0" shapeId="0" xr:uid="{00000000-0006-0000-0800-00000800000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2" authorId="0" shapeId="0" xr:uid="{00000000-0006-0000-0900-000001000000}">
      <text>
        <r>
          <rPr>
            <b/>
            <sz val="8"/>
            <color indexed="81"/>
            <rFont val="Tahoma"/>
            <family val="2"/>
          </rPr>
          <t>Autor:</t>
        </r>
        <r>
          <rPr>
            <sz val="8"/>
            <color indexed="81"/>
            <rFont val="Tahoma"/>
            <family val="2"/>
          </rPr>
          <t xml:space="preserve">
Compra+Primer sueldo</t>
        </r>
      </text>
    </comment>
    <comment ref="E8" authorId="0" shapeId="0" xr:uid="{00000000-0006-0000-0900-000002000000}">
      <text>
        <r>
          <rPr>
            <b/>
            <sz val="8"/>
            <color indexed="81"/>
            <rFont val="Tahoma"/>
            <family val="2"/>
          </rPr>
          <t>Autor:</t>
        </r>
        <r>
          <rPr>
            <sz val="8"/>
            <color indexed="81"/>
            <rFont val="Tahoma"/>
            <family val="2"/>
          </rPr>
          <t xml:space="preserve">
Jugadores+Inmobilizado-Capital (año anterior todo)</t>
        </r>
      </text>
    </comment>
    <comment ref="F10" authorId="0" shapeId="0" xr:uid="{00000000-0006-0000-09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xr:uid="{00000000-0006-0000-0900-000004000000}">
      <text>
        <r>
          <rPr>
            <b/>
            <sz val="8"/>
            <color indexed="81"/>
            <rFont val="Tahoma"/>
            <family val="2"/>
          </rPr>
          <t>Autor:</t>
        </r>
        <r>
          <rPr>
            <sz val="8"/>
            <color indexed="81"/>
            <rFont val="Tahoma"/>
            <family val="2"/>
          </rPr>
          <t xml:space="preserve">
Ingresos anuales - Pagos anuales + Caja</t>
        </r>
      </text>
    </comment>
    <comment ref="C17" authorId="0" shapeId="0" xr:uid="{00000000-0006-0000-0900-000005000000}">
      <text>
        <r>
          <rPr>
            <b/>
            <sz val="8"/>
            <color indexed="81"/>
            <rFont val="Tahoma"/>
            <family val="2"/>
          </rPr>
          <t>Venta sin Comisiones</t>
        </r>
      </text>
    </comment>
    <comment ref="F18" authorId="0" shapeId="0" xr:uid="{00000000-0006-0000-0900-00000600000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A00-000001000000}">
      <text>
        <r>
          <rPr>
            <b/>
            <sz val="8"/>
            <color indexed="81"/>
            <rFont val="Tahoma"/>
            <family val="2"/>
          </rPr>
          <t>Autor:</t>
        </r>
        <r>
          <rPr>
            <sz val="8"/>
            <color indexed="81"/>
            <rFont val="Tahoma"/>
            <family val="2"/>
          </rPr>
          <t xml:space="preserve">
CopaR1</t>
        </r>
      </text>
    </comment>
    <comment ref="G6" authorId="0" shapeId="0" xr:uid="{00000000-0006-0000-0A00-000002000000}">
      <text>
        <r>
          <rPr>
            <b/>
            <sz val="8"/>
            <color indexed="81"/>
            <rFont val="Tahoma"/>
            <family val="2"/>
          </rPr>
          <t>Autor:</t>
        </r>
        <r>
          <rPr>
            <sz val="8"/>
            <color indexed="81"/>
            <rFont val="Tahoma"/>
            <family val="2"/>
          </rPr>
          <t xml:space="preserve">
amistoso POTEITOR</t>
        </r>
      </text>
    </comment>
    <comment ref="J6" authorId="0" shapeId="0" xr:uid="{00000000-0006-0000-0A00-000003000000}">
      <text>
        <r>
          <rPr>
            <b/>
            <sz val="8"/>
            <color indexed="81"/>
            <rFont val="Tahoma"/>
            <family val="2"/>
          </rPr>
          <t>Autor:</t>
        </r>
        <r>
          <rPr>
            <sz val="8"/>
            <color indexed="81"/>
            <rFont val="Tahoma"/>
            <family val="2"/>
          </rPr>
          <t xml:space="preserve">
amistoso POTEITOR</t>
        </r>
      </text>
    </comment>
    <comment ref="K6" authorId="0" shapeId="0" xr:uid="{00000000-0006-0000-0A00-000004000000}">
      <text>
        <r>
          <rPr>
            <b/>
            <sz val="8"/>
            <color indexed="81"/>
            <rFont val="Tahoma"/>
            <family val="2"/>
          </rPr>
          <t>Autor:</t>
        </r>
        <r>
          <rPr>
            <sz val="8"/>
            <color indexed="81"/>
            <rFont val="Tahoma"/>
            <family val="2"/>
          </rPr>
          <t xml:space="preserve">
amistoso POTEITOR</t>
        </r>
      </text>
    </comment>
    <comment ref="M6" authorId="0" shapeId="0" xr:uid="{00000000-0006-0000-0A00-000005000000}">
      <text>
        <r>
          <rPr>
            <b/>
            <sz val="8"/>
            <color indexed="81"/>
            <rFont val="Tahoma"/>
            <family val="2"/>
          </rPr>
          <t>Autor:</t>
        </r>
        <r>
          <rPr>
            <sz val="8"/>
            <color indexed="81"/>
            <rFont val="Tahoma"/>
            <family val="2"/>
          </rPr>
          <t xml:space="preserve">
amistoso POTEITOR</t>
        </r>
      </text>
    </comment>
    <comment ref="P6" authorId="0" shapeId="0" xr:uid="{00000000-0006-0000-0A00-000006000000}">
      <text>
        <r>
          <rPr>
            <b/>
            <sz val="8"/>
            <color indexed="81"/>
            <rFont val="Tahoma"/>
            <family val="2"/>
          </rPr>
          <t>Autor:</t>
        </r>
        <r>
          <rPr>
            <sz val="8"/>
            <color indexed="81"/>
            <rFont val="Tahoma"/>
            <family val="2"/>
          </rPr>
          <t xml:space="preserve">
amistoso POTEITOR</t>
        </r>
      </text>
    </comment>
    <comment ref="E19" authorId="0" shapeId="0" xr:uid="{00000000-0006-0000-0A00-00000700000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2" authorId="0" shapeId="0" xr:uid="{00000000-0006-0000-0B00-000001000000}">
      <text>
        <r>
          <rPr>
            <b/>
            <sz val="8"/>
            <color indexed="81"/>
            <rFont val="Tahoma"/>
            <family val="2"/>
          </rPr>
          <t>Autor:</t>
        </r>
        <r>
          <rPr>
            <sz val="8"/>
            <color indexed="81"/>
            <rFont val="Tahoma"/>
            <family val="2"/>
          </rPr>
          <t xml:space="preserve">
Compra+Primer sueldo</t>
        </r>
      </text>
    </comment>
    <comment ref="E8" authorId="0" shapeId="0" xr:uid="{00000000-0006-0000-0B00-000002000000}">
      <text>
        <r>
          <rPr>
            <b/>
            <sz val="8"/>
            <color indexed="81"/>
            <rFont val="Tahoma"/>
            <family val="2"/>
          </rPr>
          <t>Autor:</t>
        </r>
        <r>
          <rPr>
            <sz val="8"/>
            <color indexed="81"/>
            <rFont val="Tahoma"/>
            <family val="2"/>
          </rPr>
          <t xml:space="preserve">
Jugadores+Inmobilizado-Capital (año anterior todo)</t>
        </r>
      </text>
    </comment>
    <comment ref="F10" authorId="0" shapeId="0" xr:uid="{00000000-0006-0000-0B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xr:uid="{00000000-0006-0000-0B00-000004000000}">
      <text>
        <r>
          <rPr>
            <b/>
            <sz val="8"/>
            <color indexed="81"/>
            <rFont val="Tahoma"/>
            <family val="2"/>
          </rPr>
          <t>Autor:</t>
        </r>
        <r>
          <rPr>
            <sz val="8"/>
            <color indexed="81"/>
            <rFont val="Tahoma"/>
            <family val="2"/>
          </rPr>
          <t xml:space="preserve">
Ingresos anuales - Pagos anuales + Caja</t>
        </r>
      </text>
    </comment>
    <comment ref="C17" authorId="0" shapeId="0" xr:uid="{00000000-0006-0000-0B00-000005000000}">
      <text>
        <r>
          <rPr>
            <b/>
            <sz val="8"/>
            <color indexed="81"/>
            <rFont val="Tahoma"/>
            <family val="2"/>
          </rPr>
          <t>Venta sin Comisiones</t>
        </r>
      </text>
    </comment>
    <comment ref="F18" authorId="0" shapeId="0" xr:uid="{00000000-0006-0000-0B00-00000600000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C00-000001000000}">
      <text>
        <r>
          <rPr>
            <b/>
            <sz val="8"/>
            <color indexed="81"/>
            <rFont val="Tahoma"/>
            <family val="2"/>
          </rPr>
          <t>Autor:</t>
        </r>
        <r>
          <rPr>
            <sz val="8"/>
            <color indexed="81"/>
            <rFont val="Tahoma"/>
            <family val="2"/>
          </rPr>
          <t xml:space="preserve">
CopaR1</t>
        </r>
      </text>
    </comment>
    <comment ref="E19" authorId="0" shapeId="0" xr:uid="{00000000-0006-0000-0C00-00000200000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0D00-000001000000}">
      <text>
        <r>
          <rPr>
            <b/>
            <sz val="8"/>
            <color indexed="81"/>
            <rFont val="Tahoma"/>
            <family val="2"/>
          </rPr>
          <t>Autor:</t>
        </r>
        <r>
          <rPr>
            <sz val="8"/>
            <color indexed="81"/>
            <rFont val="Tahoma"/>
            <family val="2"/>
          </rPr>
          <t xml:space="preserve">
Compra+Primer sueldo</t>
        </r>
      </text>
    </comment>
    <comment ref="E9" authorId="0" shapeId="0" xr:uid="{00000000-0006-0000-0D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0D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0D00-000004000000}">
      <text>
        <r>
          <rPr>
            <b/>
            <sz val="8"/>
            <color indexed="81"/>
            <rFont val="Tahoma"/>
            <family val="2"/>
          </rPr>
          <t>Autor:</t>
        </r>
        <r>
          <rPr>
            <sz val="8"/>
            <color indexed="81"/>
            <rFont val="Tahoma"/>
            <family val="2"/>
          </rPr>
          <t xml:space="preserve">
Ingresos anuales - Pagos anuales</t>
        </r>
      </text>
    </comment>
    <comment ref="C18" authorId="0" shapeId="0" xr:uid="{00000000-0006-0000-0D00-000005000000}">
      <text>
        <r>
          <rPr>
            <b/>
            <sz val="8"/>
            <color indexed="81"/>
            <rFont val="Tahoma"/>
            <family val="2"/>
          </rPr>
          <t>Venta sin Comisiones</t>
        </r>
      </text>
    </comment>
    <comment ref="F20" authorId="0" shapeId="0" xr:uid="{00000000-0006-0000-0D00-000006000000}">
      <text>
        <r>
          <rPr>
            <b/>
            <sz val="8"/>
            <color indexed="81"/>
            <rFont val="Tahoma"/>
            <family val="2"/>
          </rPr>
          <t>Autor:</t>
        </r>
        <r>
          <rPr>
            <sz val="8"/>
            <color indexed="81"/>
            <rFont val="Tahoma"/>
            <family val="2"/>
          </rPr>
          <t xml:space="preserve">
incluye sueldo primera semana</t>
        </r>
      </text>
    </comment>
    <comment ref="E32" authorId="0" shapeId="0" xr:uid="{00000000-0006-0000-0D00-00000700000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E00-000001000000}">
      <text>
        <r>
          <rPr>
            <b/>
            <sz val="8"/>
            <color indexed="81"/>
            <rFont val="Tahoma"/>
            <family val="2"/>
          </rPr>
          <t>Autor:</t>
        </r>
        <r>
          <rPr>
            <sz val="8"/>
            <color indexed="81"/>
            <rFont val="Tahoma"/>
            <family val="2"/>
          </rPr>
          <t xml:space="preserve">
CopaR1</t>
        </r>
      </text>
    </comment>
    <comment ref="E19" authorId="0" shapeId="0" xr:uid="{00000000-0006-0000-0E00-00000200000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0F00-000001000000}">
      <text>
        <r>
          <rPr>
            <b/>
            <sz val="8"/>
            <color indexed="81"/>
            <rFont val="Tahoma"/>
            <family val="2"/>
          </rPr>
          <t>Autor:</t>
        </r>
        <r>
          <rPr>
            <sz val="8"/>
            <color indexed="81"/>
            <rFont val="Tahoma"/>
            <family val="2"/>
          </rPr>
          <t xml:space="preserve">
Compra+Primer sueldo</t>
        </r>
      </text>
    </comment>
    <comment ref="E9" authorId="0" shapeId="0" xr:uid="{00000000-0006-0000-0F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0F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0F00-000004000000}">
      <text>
        <r>
          <rPr>
            <b/>
            <sz val="8"/>
            <color indexed="81"/>
            <rFont val="Tahoma"/>
            <family val="2"/>
          </rPr>
          <t>Autor:</t>
        </r>
        <r>
          <rPr>
            <sz val="8"/>
            <color indexed="81"/>
            <rFont val="Tahoma"/>
            <family val="2"/>
          </rPr>
          <t xml:space="preserve">
Ingresos anuales - Pagos anuales</t>
        </r>
      </text>
    </comment>
    <comment ref="C18" authorId="0" shapeId="0" xr:uid="{00000000-0006-0000-0F00-000005000000}">
      <text>
        <r>
          <rPr>
            <b/>
            <sz val="8"/>
            <color indexed="81"/>
            <rFont val="Tahoma"/>
            <family val="2"/>
          </rPr>
          <t>Venta sin Comisiones</t>
        </r>
      </text>
    </comment>
    <comment ref="F20" authorId="0" shapeId="0" xr:uid="{00000000-0006-0000-0F00-00000600000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000-00000100000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100-000001000000}">
      <text>
        <r>
          <rPr>
            <b/>
            <sz val="8"/>
            <color indexed="81"/>
            <rFont val="Tahoma"/>
            <family val="2"/>
          </rPr>
          <t>Autor:</t>
        </r>
        <r>
          <rPr>
            <sz val="8"/>
            <color indexed="81"/>
            <rFont val="Tahoma"/>
            <family val="2"/>
          </rPr>
          <t xml:space="preserve">
Compra+Primer sueldo</t>
        </r>
      </text>
    </comment>
    <comment ref="E9" authorId="0" shapeId="0" xr:uid="{00000000-0006-0000-11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1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100-000004000000}">
      <text>
        <r>
          <rPr>
            <b/>
            <sz val="8"/>
            <color indexed="81"/>
            <rFont val="Tahoma"/>
            <family val="2"/>
          </rPr>
          <t>Autor:</t>
        </r>
        <r>
          <rPr>
            <sz val="8"/>
            <color indexed="81"/>
            <rFont val="Tahoma"/>
            <family val="2"/>
          </rPr>
          <t xml:space="preserve">
Ingresos anuales - Pagos anuales</t>
        </r>
      </text>
    </comment>
    <comment ref="C18" authorId="0" shapeId="0" xr:uid="{00000000-0006-0000-1100-000005000000}">
      <text>
        <r>
          <rPr>
            <b/>
            <sz val="8"/>
            <color indexed="81"/>
            <rFont val="Tahoma"/>
            <family val="2"/>
          </rPr>
          <t>Venta sin Comisiones</t>
        </r>
      </text>
    </comment>
    <comment ref="F20" authorId="0" shapeId="0" xr:uid="{00000000-0006-0000-1100-00000600000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200-000001000000}">
      <text>
        <r>
          <rPr>
            <b/>
            <sz val="8"/>
            <color indexed="81"/>
            <rFont val="Tahoma"/>
            <family val="2"/>
          </rPr>
          <t>Autor:</t>
        </r>
        <r>
          <rPr>
            <sz val="8"/>
            <color indexed="81"/>
            <rFont val="Tahoma"/>
            <family val="2"/>
          </rPr>
          <t xml:space="preserve">
CopaR1</t>
        </r>
      </text>
    </comment>
    <comment ref="F6" authorId="0" shapeId="0" xr:uid="{00000000-0006-0000-1200-000002000000}">
      <text>
        <r>
          <rPr>
            <b/>
            <sz val="8"/>
            <color indexed="81"/>
            <rFont val="Tahoma"/>
            <family val="2"/>
          </rPr>
          <t>Autor:</t>
        </r>
        <r>
          <rPr>
            <sz val="8"/>
            <color indexed="81"/>
            <rFont val="Tahoma"/>
            <family val="2"/>
          </rPr>
          <t xml:space="preserve">
CopaR1</t>
        </r>
      </text>
    </comment>
    <comment ref="H6" authorId="0" shapeId="0" xr:uid="{00000000-0006-0000-1200-000003000000}">
      <text>
        <r>
          <rPr>
            <b/>
            <sz val="8"/>
            <color indexed="81"/>
            <rFont val="Tahoma"/>
            <family val="2"/>
          </rPr>
          <t>Autor:</t>
        </r>
        <r>
          <rPr>
            <sz val="8"/>
            <color indexed="81"/>
            <rFont val="Tahoma"/>
            <family val="2"/>
          </rPr>
          <t xml:space="preserve">
CopaR1</t>
        </r>
      </text>
    </comment>
    <comment ref="L6" authorId="0" shapeId="0" xr:uid="{00000000-0006-0000-1200-000004000000}">
      <text>
        <r>
          <rPr>
            <b/>
            <sz val="8"/>
            <color indexed="81"/>
            <rFont val="Tahoma"/>
            <family val="2"/>
          </rPr>
          <t>Autor:</t>
        </r>
        <r>
          <rPr>
            <sz val="8"/>
            <color indexed="81"/>
            <rFont val="Tahoma"/>
            <family val="2"/>
          </rPr>
          <t xml:space="preserve">
CopaR1</t>
        </r>
      </text>
    </comment>
    <comment ref="N6" authorId="0" shapeId="0" xr:uid="{00000000-0006-0000-1200-000005000000}">
      <text>
        <r>
          <rPr>
            <b/>
            <sz val="8"/>
            <color indexed="81"/>
            <rFont val="Tahoma"/>
            <family val="2"/>
          </rPr>
          <t>Autor:</t>
        </r>
        <r>
          <rPr>
            <sz val="8"/>
            <color indexed="81"/>
            <rFont val="Tahoma"/>
            <family val="2"/>
          </rPr>
          <t xml:space="preserve">
CopaR1</t>
        </r>
      </text>
    </comment>
    <comment ref="O6" authorId="0" shapeId="0" xr:uid="{00000000-0006-0000-1200-000006000000}">
      <text>
        <r>
          <rPr>
            <b/>
            <sz val="8"/>
            <color indexed="81"/>
            <rFont val="Tahoma"/>
            <family val="2"/>
          </rPr>
          <t>Autor:</t>
        </r>
        <r>
          <rPr>
            <sz val="8"/>
            <color indexed="81"/>
            <rFont val="Tahoma"/>
            <family val="2"/>
          </rPr>
          <t xml:space="preserve">
CopaR1</t>
        </r>
      </text>
    </comment>
    <comment ref="P6" authorId="0" shapeId="0" xr:uid="{00000000-0006-0000-1200-000007000000}">
      <text>
        <r>
          <rPr>
            <b/>
            <sz val="8"/>
            <color indexed="81"/>
            <rFont val="Tahoma"/>
            <family val="2"/>
          </rPr>
          <t>Autor:</t>
        </r>
        <r>
          <rPr>
            <sz val="8"/>
            <color indexed="81"/>
            <rFont val="Tahoma"/>
            <family val="2"/>
          </rPr>
          <t xml:space="preserve">
CopaR1</t>
        </r>
      </text>
    </comment>
    <comment ref="Q6" authorId="0" shapeId="0" xr:uid="{00000000-0006-0000-1200-00000800000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Q3" authorId="0" shapeId="0" xr:uid="{00000000-0006-0000-1300-000001000000}">
      <text>
        <r>
          <rPr>
            <b/>
            <sz val="8"/>
            <color indexed="81"/>
            <rFont val="Tahoma"/>
            <family val="2"/>
          </rPr>
          <t>Autor:</t>
        </r>
        <r>
          <rPr>
            <sz val="8"/>
            <color indexed="81"/>
            <rFont val="Tahoma"/>
            <family val="2"/>
          </rPr>
          <t xml:space="preserve">
Compra+Primer sueldo</t>
        </r>
      </text>
    </comment>
    <comment ref="E9" authorId="0" shapeId="0" xr:uid="{00000000-0006-0000-13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3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300-000004000000}">
      <text>
        <r>
          <rPr>
            <b/>
            <sz val="8"/>
            <color indexed="81"/>
            <rFont val="Tahoma"/>
            <family val="2"/>
          </rPr>
          <t>Autor:</t>
        </r>
        <r>
          <rPr>
            <sz val="8"/>
            <color indexed="81"/>
            <rFont val="Tahoma"/>
            <family val="2"/>
          </rPr>
          <t xml:space="preserve">
Ingresos anuales - Pagos anuales</t>
        </r>
      </text>
    </comment>
    <comment ref="C18" authorId="0" shapeId="0" xr:uid="{00000000-0006-0000-1300-000005000000}">
      <text>
        <r>
          <rPr>
            <b/>
            <sz val="8"/>
            <color indexed="81"/>
            <rFont val="Tahoma"/>
            <family val="2"/>
          </rPr>
          <t>Venta sin Comisiones</t>
        </r>
      </text>
    </comment>
    <comment ref="F20" authorId="0" shapeId="0" xr:uid="{00000000-0006-0000-1300-00000600000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400-000001000000}">
      <text>
        <r>
          <rPr>
            <b/>
            <sz val="8"/>
            <color indexed="81"/>
            <rFont val="Tahoma"/>
            <family val="2"/>
          </rPr>
          <t>Autor:</t>
        </r>
        <r>
          <rPr>
            <sz val="8"/>
            <color indexed="81"/>
            <rFont val="Tahoma"/>
            <family val="2"/>
          </rPr>
          <t xml:space="preserve">
CopaR1</t>
        </r>
      </text>
    </comment>
    <comment ref="F6" authorId="0" shapeId="0" xr:uid="{00000000-0006-0000-1400-000002000000}">
      <text>
        <r>
          <rPr>
            <b/>
            <sz val="8"/>
            <color indexed="81"/>
            <rFont val="Tahoma"/>
            <family val="2"/>
          </rPr>
          <t>Autor:</t>
        </r>
        <r>
          <rPr>
            <sz val="8"/>
            <color indexed="81"/>
            <rFont val="Tahoma"/>
            <family val="2"/>
          </rPr>
          <t xml:space="preserve">
CopaR1</t>
        </r>
      </text>
    </comment>
    <comment ref="H6" authorId="0" shapeId="0" xr:uid="{00000000-0006-0000-1400-000003000000}">
      <text>
        <r>
          <rPr>
            <b/>
            <sz val="8"/>
            <color indexed="81"/>
            <rFont val="Tahoma"/>
            <family val="2"/>
          </rPr>
          <t>Autor:</t>
        </r>
        <r>
          <rPr>
            <sz val="8"/>
            <color indexed="81"/>
            <rFont val="Tahoma"/>
            <family val="2"/>
          </rPr>
          <t xml:space="preserve">
CopaR1</t>
        </r>
      </text>
    </comment>
    <comment ref="L6" authorId="0" shapeId="0" xr:uid="{00000000-0006-0000-1400-000004000000}">
      <text>
        <r>
          <rPr>
            <b/>
            <sz val="8"/>
            <color indexed="81"/>
            <rFont val="Tahoma"/>
            <family val="2"/>
          </rPr>
          <t>Autor:</t>
        </r>
        <r>
          <rPr>
            <sz val="8"/>
            <color indexed="81"/>
            <rFont val="Tahoma"/>
            <family val="2"/>
          </rPr>
          <t xml:space="preserve">
CopaR1</t>
        </r>
      </text>
    </comment>
    <comment ref="O6" authorId="0" shapeId="0" xr:uid="{00000000-0006-0000-1400-00000500000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500-000001000000}">
      <text>
        <r>
          <rPr>
            <b/>
            <sz val="8"/>
            <color indexed="81"/>
            <rFont val="Tahoma"/>
            <family val="2"/>
          </rPr>
          <t>Autor:</t>
        </r>
        <r>
          <rPr>
            <sz val="8"/>
            <color indexed="81"/>
            <rFont val="Tahoma"/>
            <family val="2"/>
          </rPr>
          <t xml:space="preserve">
Compra+Primer sueldo</t>
        </r>
      </text>
    </comment>
    <comment ref="E9" authorId="0" shapeId="0" xr:uid="{00000000-0006-0000-15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5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500-000004000000}">
      <text>
        <r>
          <rPr>
            <b/>
            <sz val="8"/>
            <color indexed="81"/>
            <rFont val="Tahoma"/>
            <family val="2"/>
          </rPr>
          <t>Autor:</t>
        </r>
        <r>
          <rPr>
            <sz val="8"/>
            <color indexed="81"/>
            <rFont val="Tahoma"/>
            <family val="2"/>
          </rPr>
          <t xml:space="preserve">
Ingresos anuales - Pagos anuales</t>
        </r>
      </text>
    </comment>
    <comment ref="C18" authorId="0" shapeId="0" xr:uid="{00000000-0006-0000-1500-000005000000}">
      <text>
        <r>
          <rPr>
            <b/>
            <sz val="8"/>
            <color indexed="81"/>
            <rFont val="Tahoma"/>
            <family val="2"/>
          </rPr>
          <t>Venta sin Comisiones</t>
        </r>
      </text>
    </comment>
    <comment ref="F20" authorId="0" shapeId="0" xr:uid="{00000000-0006-0000-1500-00000600000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600-000001000000}">
      <text>
        <r>
          <rPr>
            <b/>
            <sz val="8"/>
            <color indexed="81"/>
            <rFont val="Tahoma"/>
            <family val="2"/>
          </rPr>
          <t>Autor:</t>
        </r>
        <r>
          <rPr>
            <sz val="8"/>
            <color indexed="81"/>
            <rFont val="Tahoma"/>
            <family val="2"/>
          </rPr>
          <t xml:space="preserve">
CopaR1</t>
        </r>
      </text>
    </comment>
    <comment ref="F6" authorId="0" shapeId="0" xr:uid="{00000000-0006-0000-1600-000002000000}">
      <text>
        <r>
          <rPr>
            <b/>
            <sz val="8"/>
            <color indexed="81"/>
            <rFont val="Tahoma"/>
            <family val="2"/>
          </rPr>
          <t>Autor:</t>
        </r>
        <r>
          <rPr>
            <sz val="8"/>
            <color indexed="81"/>
            <rFont val="Tahoma"/>
            <family val="2"/>
          </rPr>
          <t xml:space="preserve">
CopaR1</t>
        </r>
      </text>
    </comment>
    <comment ref="H6" authorId="0" shapeId="0" xr:uid="{00000000-0006-0000-1600-000003000000}">
      <text>
        <r>
          <rPr>
            <b/>
            <sz val="8"/>
            <color indexed="81"/>
            <rFont val="Tahoma"/>
            <family val="2"/>
          </rPr>
          <t>Autor:</t>
        </r>
        <r>
          <rPr>
            <sz val="8"/>
            <color indexed="81"/>
            <rFont val="Tahoma"/>
            <family val="2"/>
          </rPr>
          <t xml:space="preserve">
CopaR1</t>
        </r>
      </text>
    </comment>
    <comment ref="O6" authorId="0" shapeId="0" xr:uid="{00000000-0006-0000-1600-00000400000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700-000001000000}">
      <text>
        <r>
          <rPr>
            <b/>
            <sz val="8"/>
            <color indexed="81"/>
            <rFont val="Tahoma"/>
            <family val="2"/>
          </rPr>
          <t>Autor:</t>
        </r>
        <r>
          <rPr>
            <sz val="8"/>
            <color indexed="81"/>
            <rFont val="Tahoma"/>
            <family val="2"/>
          </rPr>
          <t xml:space="preserve">
Compra+Primer sueldo</t>
        </r>
      </text>
    </comment>
    <comment ref="E9" authorId="0" shapeId="0" xr:uid="{00000000-0006-0000-17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7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700-000004000000}">
      <text>
        <r>
          <rPr>
            <b/>
            <sz val="8"/>
            <color indexed="81"/>
            <rFont val="Tahoma"/>
            <family val="2"/>
          </rPr>
          <t>Autor:</t>
        </r>
        <r>
          <rPr>
            <sz val="8"/>
            <color indexed="81"/>
            <rFont val="Tahoma"/>
            <family val="2"/>
          </rPr>
          <t xml:space="preserve">
Ingresos anuales - Pagos anuales</t>
        </r>
      </text>
    </comment>
    <comment ref="C18" authorId="0" shapeId="0" xr:uid="{00000000-0006-0000-1700-000005000000}">
      <text>
        <r>
          <rPr>
            <b/>
            <sz val="8"/>
            <color indexed="81"/>
            <rFont val="Tahoma"/>
            <family val="2"/>
          </rPr>
          <t>Venta sin Comisiones</t>
        </r>
      </text>
    </comment>
    <comment ref="F20" authorId="0" shapeId="0" xr:uid="{00000000-0006-0000-1700-00000600000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L6" authorId="0" shapeId="0" xr:uid="{00000000-0006-0000-1800-000001000000}">
      <text>
        <r>
          <rPr>
            <b/>
            <sz val="8"/>
            <color indexed="81"/>
            <rFont val="Tahoma"/>
            <family val="2"/>
          </rPr>
          <t>Autor:</t>
        </r>
        <r>
          <rPr>
            <sz val="8"/>
            <color indexed="81"/>
            <rFont val="Tahoma"/>
            <family val="2"/>
          </rPr>
          <t xml:space="preserve">
CopaZafiro R6</t>
        </r>
      </text>
    </comment>
    <comment ref="N6" authorId="0" shapeId="0" xr:uid="{00000000-0006-0000-1800-000002000000}">
      <text>
        <r>
          <rPr>
            <b/>
            <sz val="8"/>
            <color indexed="81"/>
            <rFont val="Tahoma"/>
            <family val="2"/>
          </rPr>
          <t>Autor:</t>
        </r>
        <r>
          <rPr>
            <sz val="8"/>
            <color indexed="81"/>
            <rFont val="Tahoma"/>
            <family val="2"/>
          </rPr>
          <t xml:space="preserve">
CopaR1</t>
        </r>
      </text>
    </comment>
    <comment ref="P6" authorId="0" shapeId="0" xr:uid="{00000000-0006-0000-1800-000003000000}">
      <text>
        <r>
          <rPr>
            <b/>
            <sz val="8"/>
            <color indexed="81"/>
            <rFont val="Tahoma"/>
            <family val="2"/>
          </rPr>
          <t>Autor:</t>
        </r>
        <r>
          <rPr>
            <sz val="8"/>
            <color indexed="81"/>
            <rFont val="Tahoma"/>
            <family val="2"/>
          </rPr>
          <t xml:space="preserve">
CopaR1</t>
        </r>
      </text>
    </comment>
    <comment ref="R6" authorId="0" shapeId="0" xr:uid="{00000000-0006-0000-1800-00000400000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900-000001000000}">
      <text>
        <r>
          <rPr>
            <b/>
            <sz val="8"/>
            <color indexed="81"/>
            <rFont val="Tahoma"/>
            <family val="2"/>
          </rPr>
          <t>Autor:</t>
        </r>
        <r>
          <rPr>
            <sz val="8"/>
            <color indexed="81"/>
            <rFont val="Tahoma"/>
            <family val="2"/>
          </rPr>
          <t xml:space="preserve">
Compra+Primer sueldo</t>
        </r>
      </text>
    </comment>
    <comment ref="E9" authorId="0" shapeId="0" xr:uid="{00000000-0006-0000-19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9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900-000004000000}">
      <text>
        <r>
          <rPr>
            <b/>
            <sz val="8"/>
            <color indexed="81"/>
            <rFont val="Tahoma"/>
            <family val="2"/>
          </rPr>
          <t>Autor:</t>
        </r>
        <r>
          <rPr>
            <sz val="8"/>
            <color indexed="81"/>
            <rFont val="Tahoma"/>
            <family val="2"/>
          </rPr>
          <t xml:space="preserve">
Ingresos anuales - Pagos anuales</t>
        </r>
      </text>
    </comment>
    <comment ref="C18" authorId="0" shapeId="0" xr:uid="{00000000-0006-0000-1900-000005000000}">
      <text>
        <r>
          <rPr>
            <b/>
            <sz val="8"/>
            <color indexed="81"/>
            <rFont val="Tahoma"/>
            <family val="2"/>
          </rPr>
          <t>Venta sin Comisiones</t>
        </r>
      </text>
    </comment>
    <comment ref="F20" authorId="0" shapeId="0" xr:uid="{00000000-0006-0000-1900-00000600000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L6" authorId="0" shapeId="0" xr:uid="{00000000-0006-0000-1A00-000001000000}">
      <text>
        <r>
          <rPr>
            <b/>
            <sz val="8"/>
            <color indexed="81"/>
            <rFont val="Tahoma"/>
            <family val="2"/>
          </rPr>
          <t>Autor:</t>
        </r>
        <r>
          <rPr>
            <sz val="8"/>
            <color indexed="81"/>
            <rFont val="Tahoma"/>
            <family val="2"/>
          </rPr>
          <t xml:space="preserve">
CopaZafiro R6</t>
        </r>
      </text>
    </comment>
    <comment ref="N6" authorId="0" shapeId="0" xr:uid="{00000000-0006-0000-1A00-000002000000}">
      <text>
        <r>
          <rPr>
            <b/>
            <sz val="8"/>
            <color indexed="81"/>
            <rFont val="Tahoma"/>
            <family val="2"/>
          </rPr>
          <t>Autor:</t>
        </r>
        <r>
          <rPr>
            <sz val="8"/>
            <color indexed="81"/>
            <rFont val="Tahoma"/>
            <family val="2"/>
          </rPr>
          <t xml:space="preserve">
CopaZafiro R6</t>
        </r>
      </text>
    </comment>
    <comment ref="P6" authorId="0" shapeId="0" xr:uid="{00000000-0006-0000-1A00-000003000000}">
      <text>
        <r>
          <rPr>
            <b/>
            <sz val="8"/>
            <color indexed="81"/>
            <rFont val="Tahoma"/>
            <family val="2"/>
          </rPr>
          <t>Autor:</t>
        </r>
        <r>
          <rPr>
            <sz val="8"/>
            <color indexed="81"/>
            <rFont val="Tahoma"/>
            <family val="2"/>
          </rPr>
          <t xml:space="preserve">
CopaZafiro R6</t>
        </r>
      </text>
    </comment>
    <comment ref="R6" authorId="0" shapeId="0" xr:uid="{00000000-0006-0000-1A00-00000400000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B00-000001000000}">
      <text>
        <r>
          <rPr>
            <b/>
            <sz val="8"/>
            <color indexed="81"/>
            <rFont val="Tahoma"/>
            <family val="2"/>
          </rPr>
          <t>Autor:</t>
        </r>
        <r>
          <rPr>
            <sz val="8"/>
            <color indexed="81"/>
            <rFont val="Tahoma"/>
            <family val="2"/>
          </rPr>
          <t xml:space="preserve">
Compra+Primer sueldo</t>
        </r>
      </text>
    </comment>
    <comment ref="E9" authorId="0" shapeId="0" xr:uid="{00000000-0006-0000-1B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B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B00-000004000000}">
      <text>
        <r>
          <rPr>
            <b/>
            <sz val="8"/>
            <color indexed="81"/>
            <rFont val="Tahoma"/>
            <family val="2"/>
          </rPr>
          <t>Autor:</t>
        </r>
        <r>
          <rPr>
            <sz val="8"/>
            <color indexed="81"/>
            <rFont val="Tahoma"/>
            <family val="2"/>
          </rPr>
          <t xml:space="preserve">
Ingresos anuales - Pagos anuales</t>
        </r>
      </text>
    </comment>
    <comment ref="C18" authorId="0" shapeId="0" xr:uid="{00000000-0006-0000-1B00-000005000000}">
      <text>
        <r>
          <rPr>
            <b/>
            <sz val="8"/>
            <color indexed="81"/>
            <rFont val="Tahoma"/>
            <family val="2"/>
          </rPr>
          <t>Venta sin Comisiones</t>
        </r>
      </text>
    </comment>
    <comment ref="F20" authorId="0" shapeId="0" xr:uid="{00000000-0006-0000-1B00-00000600000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1C00-00000100000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D00-000001000000}">
      <text>
        <r>
          <rPr>
            <b/>
            <sz val="8"/>
            <color indexed="81"/>
            <rFont val="Tahoma"/>
            <family val="2"/>
          </rPr>
          <t>Autor:</t>
        </r>
        <r>
          <rPr>
            <sz val="8"/>
            <color indexed="81"/>
            <rFont val="Tahoma"/>
            <family val="2"/>
          </rPr>
          <t xml:space="preserve">
Compra+Primer sueldo</t>
        </r>
      </text>
    </comment>
    <comment ref="E9" authorId="0" shapeId="0" xr:uid="{00000000-0006-0000-1D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D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D00-000004000000}">
      <text>
        <r>
          <rPr>
            <b/>
            <sz val="8"/>
            <color indexed="81"/>
            <rFont val="Tahoma"/>
            <family val="2"/>
          </rPr>
          <t>Autor:</t>
        </r>
        <r>
          <rPr>
            <sz val="8"/>
            <color indexed="81"/>
            <rFont val="Tahoma"/>
            <family val="2"/>
          </rPr>
          <t xml:space="preserve">
Ingresos anuales - Pagos anuales</t>
        </r>
      </text>
    </comment>
    <comment ref="C18" authorId="0" shapeId="0" xr:uid="{00000000-0006-0000-1D00-000005000000}">
      <text>
        <r>
          <rPr>
            <b/>
            <sz val="8"/>
            <color indexed="81"/>
            <rFont val="Tahoma"/>
            <family val="2"/>
          </rPr>
          <t>Venta sin Comisiones</t>
        </r>
      </text>
    </comment>
    <comment ref="F20" authorId="0" shapeId="0" xr:uid="{00000000-0006-0000-1D00-00000600000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1E00-00000100000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F00-000001000000}">
      <text>
        <r>
          <rPr>
            <b/>
            <sz val="8"/>
            <color indexed="81"/>
            <rFont val="Tahoma"/>
            <family val="2"/>
          </rPr>
          <t>Autor:</t>
        </r>
        <r>
          <rPr>
            <sz val="8"/>
            <color indexed="81"/>
            <rFont val="Tahoma"/>
            <family val="2"/>
          </rPr>
          <t xml:space="preserve">
Compra+Primer sueldo</t>
        </r>
      </text>
    </comment>
    <comment ref="E9" authorId="0" shapeId="0" xr:uid="{00000000-0006-0000-1F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F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F00-000004000000}">
      <text>
        <r>
          <rPr>
            <b/>
            <sz val="8"/>
            <color indexed="81"/>
            <rFont val="Tahoma"/>
            <family val="2"/>
          </rPr>
          <t>Autor:</t>
        </r>
        <r>
          <rPr>
            <sz val="8"/>
            <color indexed="81"/>
            <rFont val="Tahoma"/>
            <family val="2"/>
          </rPr>
          <t xml:space="preserve">
Ingresos anuales - Pagos anuales</t>
        </r>
      </text>
    </comment>
    <comment ref="C18" authorId="0" shapeId="0" xr:uid="{00000000-0006-0000-1F00-000005000000}">
      <text>
        <r>
          <rPr>
            <b/>
            <sz val="8"/>
            <color indexed="81"/>
            <rFont val="Tahoma"/>
            <family val="2"/>
          </rPr>
          <t>Venta sin Comisiones</t>
        </r>
      </text>
    </comment>
    <comment ref="F20" authorId="0" shapeId="0" xr:uid="{00000000-0006-0000-1F00-00000600000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000-00000100000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100-000001000000}">
      <text>
        <r>
          <rPr>
            <b/>
            <sz val="8"/>
            <color indexed="81"/>
            <rFont val="Tahoma"/>
            <family val="2"/>
          </rPr>
          <t>Autor:</t>
        </r>
        <r>
          <rPr>
            <sz val="8"/>
            <color indexed="81"/>
            <rFont val="Tahoma"/>
            <family val="2"/>
          </rPr>
          <t xml:space="preserve">
Compra+Primer sueldo</t>
        </r>
      </text>
    </comment>
    <comment ref="E9" authorId="0" shapeId="0" xr:uid="{00000000-0006-0000-21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1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100-000004000000}">
      <text>
        <r>
          <rPr>
            <b/>
            <sz val="8"/>
            <color indexed="81"/>
            <rFont val="Tahoma"/>
            <family val="2"/>
          </rPr>
          <t>Autor:</t>
        </r>
        <r>
          <rPr>
            <sz val="8"/>
            <color indexed="81"/>
            <rFont val="Tahoma"/>
            <family val="2"/>
          </rPr>
          <t xml:space="preserve">
Ingresos anuales - Pagos anuales</t>
        </r>
      </text>
    </comment>
    <comment ref="C18" authorId="0" shapeId="0" xr:uid="{00000000-0006-0000-2100-000005000000}">
      <text>
        <r>
          <rPr>
            <b/>
            <sz val="8"/>
            <color indexed="81"/>
            <rFont val="Tahoma"/>
            <family val="2"/>
          </rPr>
          <t>Venta sin Comisiones</t>
        </r>
      </text>
    </comment>
    <comment ref="F20" authorId="0" shapeId="0" xr:uid="{00000000-0006-0000-2100-00000600000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200-00000100000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300-000001000000}">
      <text>
        <r>
          <rPr>
            <b/>
            <sz val="8"/>
            <color indexed="81"/>
            <rFont val="Tahoma"/>
            <family val="2"/>
          </rPr>
          <t>Autor:</t>
        </r>
        <r>
          <rPr>
            <sz val="8"/>
            <color indexed="81"/>
            <rFont val="Tahoma"/>
            <family val="2"/>
          </rPr>
          <t xml:space="preserve">
Compra+Primer sueldo</t>
        </r>
      </text>
    </comment>
    <comment ref="E9" authorId="0" shapeId="0" xr:uid="{00000000-0006-0000-23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3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300-000004000000}">
      <text>
        <r>
          <rPr>
            <b/>
            <sz val="8"/>
            <color indexed="81"/>
            <rFont val="Tahoma"/>
            <family val="2"/>
          </rPr>
          <t>Autor:</t>
        </r>
        <r>
          <rPr>
            <sz val="8"/>
            <color indexed="81"/>
            <rFont val="Tahoma"/>
            <family val="2"/>
          </rPr>
          <t xml:space="preserve">
Ingresos anuales - Pagos anuales</t>
        </r>
      </text>
    </comment>
    <comment ref="C18" authorId="0" shapeId="0" xr:uid="{00000000-0006-0000-2300-000005000000}">
      <text>
        <r>
          <rPr>
            <b/>
            <sz val="8"/>
            <color indexed="81"/>
            <rFont val="Tahoma"/>
            <family val="2"/>
          </rPr>
          <t>Venta sin Comisiones</t>
        </r>
      </text>
    </comment>
    <comment ref="F20" authorId="0" shapeId="0" xr:uid="{00000000-0006-0000-2300-00000600000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400-00000100000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500-000001000000}">
      <text>
        <r>
          <rPr>
            <b/>
            <sz val="8"/>
            <color indexed="81"/>
            <rFont val="Tahoma"/>
            <family val="2"/>
          </rPr>
          <t>Autor:</t>
        </r>
        <r>
          <rPr>
            <sz val="8"/>
            <color indexed="81"/>
            <rFont val="Tahoma"/>
            <family val="2"/>
          </rPr>
          <t xml:space="preserve">
Compra+Primer sueldo</t>
        </r>
      </text>
    </comment>
    <comment ref="E9" authorId="0" shapeId="0" xr:uid="{00000000-0006-0000-25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5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500-000004000000}">
      <text>
        <r>
          <rPr>
            <b/>
            <sz val="8"/>
            <color indexed="81"/>
            <rFont val="Tahoma"/>
            <family val="2"/>
          </rPr>
          <t>Autor:</t>
        </r>
        <r>
          <rPr>
            <sz val="8"/>
            <color indexed="81"/>
            <rFont val="Tahoma"/>
            <family val="2"/>
          </rPr>
          <t xml:space="preserve">
Ingresos anuales - Pagos anuales</t>
        </r>
      </text>
    </comment>
    <comment ref="C18" authorId="0" shapeId="0" xr:uid="{00000000-0006-0000-2500-000005000000}">
      <text>
        <r>
          <rPr>
            <b/>
            <sz val="8"/>
            <color indexed="81"/>
            <rFont val="Tahoma"/>
            <family val="2"/>
          </rPr>
          <t>Venta sin Comisiones</t>
        </r>
      </text>
    </comment>
    <comment ref="F20" authorId="0" shapeId="0" xr:uid="{00000000-0006-0000-2500-00000600000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10" authorId="0" shapeId="0" xr:uid="{00000000-0006-0000-2B00-000001000000}">
      <text>
        <r>
          <rPr>
            <b/>
            <sz val="8"/>
            <color indexed="81"/>
            <rFont val="Tahoma"/>
            <family val="2"/>
          </rPr>
          <t>Autor:</t>
        </r>
        <r>
          <rPr>
            <sz val="8"/>
            <color indexed="81"/>
            <rFont val="Tahoma"/>
            <family val="2"/>
          </rPr>
          <t xml:space="preserve">
Compra+Primer sueldo</t>
        </r>
      </text>
    </comment>
    <comment ref="R16" authorId="0" shapeId="0" xr:uid="{00000000-0006-0000-2B00-000002000000}">
      <text>
        <r>
          <rPr>
            <b/>
            <sz val="8"/>
            <color indexed="81"/>
            <rFont val="Tahoma"/>
            <family val="2"/>
          </rPr>
          <t>Autor:</t>
        </r>
        <r>
          <rPr>
            <sz val="8"/>
            <color indexed="81"/>
            <rFont val="Tahoma"/>
            <family val="2"/>
          </rPr>
          <t xml:space="preserve">
Compra+Primer sueldo</t>
        </r>
      </text>
    </comment>
    <comment ref="R25" authorId="0" shapeId="0" xr:uid="{00000000-0006-0000-2B00-000003000000}">
      <text>
        <r>
          <rPr>
            <b/>
            <sz val="8"/>
            <color indexed="81"/>
            <rFont val="Tahoma"/>
            <family val="2"/>
          </rPr>
          <t>Autor:</t>
        </r>
        <r>
          <rPr>
            <sz val="8"/>
            <color indexed="81"/>
            <rFont val="Tahoma"/>
            <family val="2"/>
          </rPr>
          <t xml:space="preserve">
Compra+Primer sueldo</t>
        </r>
      </text>
    </comment>
    <comment ref="R36" authorId="0" shapeId="0" xr:uid="{00000000-0006-0000-2B00-000004000000}">
      <text>
        <r>
          <rPr>
            <b/>
            <sz val="8"/>
            <color indexed="81"/>
            <rFont val="Tahoma"/>
            <family val="2"/>
          </rPr>
          <t>Autor:</t>
        </r>
        <r>
          <rPr>
            <sz val="8"/>
            <color indexed="81"/>
            <rFont val="Tahoma"/>
            <family val="2"/>
          </rPr>
          <t xml:space="preserve">
Compra+Primer sueldo</t>
        </r>
      </text>
    </comment>
    <comment ref="R45" authorId="0" shapeId="0" xr:uid="{00000000-0006-0000-2B00-000005000000}">
      <text>
        <r>
          <rPr>
            <b/>
            <sz val="8"/>
            <color indexed="81"/>
            <rFont val="Tahoma"/>
            <family val="2"/>
          </rPr>
          <t>Autor:</t>
        </r>
        <r>
          <rPr>
            <sz val="8"/>
            <color indexed="81"/>
            <rFont val="Tahoma"/>
            <family val="2"/>
          </rPr>
          <t xml:space="preserve">
Compra+Primer sueldo</t>
        </r>
      </text>
    </comment>
    <comment ref="S52" authorId="0" shapeId="0" xr:uid="{00000000-0006-0000-2B00-000006000000}">
      <text>
        <r>
          <rPr>
            <b/>
            <sz val="8"/>
            <color indexed="81"/>
            <rFont val="Tahoma"/>
            <family val="2"/>
          </rPr>
          <t>Autor:</t>
        </r>
        <r>
          <rPr>
            <sz val="8"/>
            <color indexed="81"/>
            <rFont val="Tahoma"/>
            <family val="2"/>
          </rPr>
          <t xml:space="preserve">
Compra+Primer sueldo</t>
        </r>
      </text>
    </comment>
    <comment ref="S57" authorId="0" shapeId="0" xr:uid="{00000000-0006-0000-2B00-00000700000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<sst xmlns="http://schemas.openxmlformats.org/spreadsheetml/2006/main" count="7486" uniqueCount="2609">
  <si>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</si>
  <si>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</si>
  <si>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</si>
  <si>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</si>
  <si>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</si>
  <si>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</si>
  <si>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</si>
  <si>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</si>
  <si>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</si>
  <si>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</si>
  <si>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</si>
  <si>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</si>
  <si>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</si>
  <si>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</si>
  <si>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</si>
  <si>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</si>
  <si>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</si>
  <si>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</si>
  <si>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</si>
  <si>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</si>
  <si>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</si>
  <si>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</si>
  <si>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</si>
  <si>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</si>
  <si>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</si>
  <si>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</si>
  <si>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</si>
  <si>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</si>
  <si>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</si>
  <si>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</si>
  <si>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</si>
  <si>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</si>
  <si>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</si>
  <si>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</si>
  <si>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</si>
  <si>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</si>
  <si>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</si>
  <si>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</si>
  <si>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</si>
  <si>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</si>
  <si>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</si>
  <si>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</si>
  <si>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</si>
  <si>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</si>
  <si>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</si>
  <si>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</si>
  <si>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</si>
  <si>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</si>
  <si>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</si>
  <si>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</si>
  <si>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</si>
  <si>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</si>
  <si>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</si>
  <si>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</si>
  <si>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</si>
  <si>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</si>
  <si>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</si>
  <si>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</si>
  <si>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</si>
  <si>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</si>
  <si>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</si>
  <si>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</si>
  <si>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</si>
  <si>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</si>
  <si>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</si>
  <si>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</si>
  <si>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</si>
  <si>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</si>
  <si>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</si>
  <si>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</si>
  <si>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</si>
  <si>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</si>
  <si>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</si>
  <si>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</si>
  <si>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</si>
  <si>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</si>
  <si>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</si>
  <si>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</si>
  <si>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</si>
  <si>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</si>
  <si>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</si>
  <si>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</si>
  <si>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</si>
  <si>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</si>
  <si>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</si>
  <si>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</si>
  <si>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</si>
  <si>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</si>
  <si>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</si>
  <si>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</si>
  <si>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</si>
  <si>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</si>
  <si>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</si>
  <si>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</si>
  <si>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</si>
  <si>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</si>
  <si>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</si>
  <si>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</si>
  <si>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</si>
  <si>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</si>
  <si>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</si>
  <si>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</si>
  <si>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</si>
  <si>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</si>
  <si>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</si>
  <si>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</si>
  <si>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</si>
  <si>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</si>
  <si>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</si>
  <si>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</si>
  <si>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</si>
  <si>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</si>
  <si>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</si>
  <si>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</si>
  <si>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</si>
  <si>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</si>
  <si>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</si>
  <si>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</si>
  <si>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</si>
  <si>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</si>
  <si>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</si>
  <si>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</si>
  <si>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</si>
  <si>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</si>
  <si>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</si>
  <si>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</si>
  <si>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</si>
  <si>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</si>
  <si>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</si>
  <si>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</si>
  <si>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</si>
  <si>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</si>
  <si>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</si>
  <si>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</si>
  <si>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</si>
  <si>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</si>
  <si>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</si>
  <si>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</si>
  <si>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</si>
  <si>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</si>
  <si>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</si>
  <si>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</si>
  <si>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</si>
  <si>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</si>
  <si>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</si>
  <si>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</si>
  <si>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</si>
  <si>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</si>
  <si>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</si>
  <si>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</si>
  <si>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</si>
  <si>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</si>
  <si>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</si>
  <si>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</si>
  <si>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</si>
  <si>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</si>
  <si>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</si>
  <si>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</si>
  <si>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</si>
  <si>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</si>
  <si>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</si>
  <si>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</si>
  <si>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</si>
  <si>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</si>
  <si>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</si>
  <si>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</si>
  <si>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</si>
  <si>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</si>
  <si>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</si>
  <si>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</si>
  <si>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</si>
  <si>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</si>
  <si>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</si>
  <si>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</si>
  <si>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</si>
  <si>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</si>
  <si>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</si>
  <si>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</si>
  <si>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</si>
  <si>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</si>
  <si>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</si>
  <si>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</si>
  <si>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</si>
  <si>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</si>
  <si>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</si>
  <si>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</si>
  <si>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</si>
  <si>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</si>
  <si>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</si>
  <si>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</si>
  <si>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</si>
  <si>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</si>
  <si>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</si>
  <si>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</si>
  <si>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</si>
  <si>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</si>
  <si>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</si>
  <si>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</si>
  <si>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</si>
  <si>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</si>
  <si>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</si>
  <si>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</si>
  <si>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</si>
  <si>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</si>
  <si>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</si>
  <si>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</si>
  <si>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</si>
  <si>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</si>
  <si>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</si>
  <si>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</si>
  <si>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</si>
  <si>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</si>
  <si>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</si>
  <si>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</si>
  <si>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</si>
  <si>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</si>
  <si>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</si>
  <si>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</si>
  <si>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</si>
  <si>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</si>
  <si>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</si>
  <si>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</si>
  <si>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</si>
  <si>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</si>
  <si>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</si>
  <si>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</si>
  <si>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</si>
  <si>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</si>
  <si>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</si>
  <si>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</si>
  <si>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</si>
  <si>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</si>
  <si>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</si>
  <si>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</si>
  <si>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</si>
  <si>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</si>
  <si>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</si>
  <si>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</si>
  <si>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</si>
  <si>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</si>
  <si>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</si>
  <si>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</si>
  <si>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</si>
  <si>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</si>
  <si>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</si>
  <si>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</si>
  <si>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</si>
  <si>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</si>
  <si>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</si>
  <si>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</si>
  <si>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</si>
  <si>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</si>
  <si>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</si>
  <si>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</si>
  <si>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</si>
  <si>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</si>
  <si>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</si>
  <si>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</si>
  <si>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</si>
  <si>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</si>
  <si>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</si>
  <si>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</si>
  <si>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</si>
  <si>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</si>
  <si>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</si>
  <si>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</si>
  <si>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</si>
  <si>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</si>
  <si>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</si>
  <si>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</si>
  <si>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</si>
  <si>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</si>
  <si>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</si>
  <si>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</si>
  <si>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</si>
  <si>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</si>
  <si>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</si>
  <si>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</si>
  <si>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</si>
  <si>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</si>
  <si>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</si>
  <si>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</si>
  <si>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</si>
  <si>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</si>
  <si>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</si>
  <si>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</si>
  <si>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</si>
  <si>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</si>
  <si>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</si>
  <si>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</si>
  <si>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</si>
  <si>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</si>
  <si>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</si>
  <si>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</si>
  <si>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</si>
  <si>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</si>
  <si>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</si>
  <si>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</si>
  <si>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</si>
  <si>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</si>
  <si>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</si>
  <si>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</si>
  <si>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</si>
  <si>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</si>
  <si>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</si>
  <si>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</si>
  <si>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</si>
  <si>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</si>
  <si>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</si>
  <si>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</si>
  <si>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</si>
  <si>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</si>
  <si>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</si>
  <si>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</si>
  <si>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</si>
  <si>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</si>
  <si>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</si>
  <si>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</si>
  <si>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</si>
  <si>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</si>
  <si>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</si>
  <si>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</si>
  <si>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</si>
  <si>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</si>
  <si>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</si>
  <si>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</si>
  <si>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</si>
  <si>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</si>
  <si>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</si>
  <si>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</si>
  <si>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</si>
  <si>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</si>
  <si>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</si>
  <si>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</si>
  <si>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</si>
  <si>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</si>
  <si>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</si>
  <si>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</si>
  <si>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</si>
  <si>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</si>
  <si>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</si>
  <si>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</si>
  <si>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</si>
  <si>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</si>
  <si>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</si>
  <si>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</si>
  <si>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</si>
  <si>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</si>
  <si>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</si>
  <si>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</si>
  <si>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</si>
  <si>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</si>
  <si>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</si>
  <si>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</si>
  <si>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</si>
  <si>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</si>
  <si>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</si>
  <si>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</si>
  <si>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</si>
  <si>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</si>
  <si>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</si>
  <si>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</si>
  <si>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</si>
  <si>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</si>
  <si>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</si>
  <si>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</si>
  <si>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</si>
  <si>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</si>
  <si>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</si>
  <si>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</si>
  <si>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</si>
  <si>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</si>
  <si>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</si>
  <si>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</si>
  <si>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</si>
  <si>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</si>
  <si>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</si>
  <si>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</si>
  <si>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</si>
  <si>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</si>
  <si>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</si>
  <si>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</si>
  <si>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</si>
  <si>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</si>
  <si>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</si>
  <si>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</si>
  <si>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</si>
  <si>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</si>
  <si>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</si>
  <si>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</si>
  <si>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</si>
  <si>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</si>
  <si>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</si>
  <si>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</si>
  <si>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</si>
  <si>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</si>
  <si>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</si>
  <si>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</si>
  <si>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</si>
  <si>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</si>
  <si>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</si>
  <si>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</si>
  <si>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</si>
  <si>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</si>
  <si>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</si>
  <si>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</si>
  <si>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</si>
  <si>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</si>
  <si>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</si>
  <si>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</si>
  <si>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</si>
  <si>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</si>
  <si>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</si>
  <si>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</si>
  <si>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</si>
  <si>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</si>
  <si>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</si>
  <si>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</si>
  <si>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</si>
  <si>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</si>
  <si>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</si>
  <si>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</si>
  <si>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</si>
  <si>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</si>
  <si>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</si>
  <si>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</si>
  <si>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</si>
  <si>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</si>
  <si>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</si>
  <si>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</si>
  <si>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</si>
  <si>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</si>
  <si>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</si>
  <si>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</si>
  <si>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</si>
  <si>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</si>
  <si>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</si>
  <si>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</si>
  <si>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</si>
  <si>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</si>
  <si>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</si>
  <si>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</si>
  <si>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</si>
  <si>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</si>
  <si>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</si>
  <si>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</si>
  <si>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</si>
  <si>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</si>
  <si>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</si>
  <si>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</si>
  <si>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</si>
  <si>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</si>
  <si>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</si>
  <si>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</si>
  <si>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</si>
  <si>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</si>
  <si>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</si>
  <si>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</si>
  <si>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</si>
  <si>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</si>
  <si>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</si>
  <si>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</si>
  <si>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</si>
  <si>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</si>
  <si>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</si>
  <si>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</si>
  <si>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</si>
  <si>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</si>
  <si>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</si>
  <si>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</si>
  <si>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</si>
  <si>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</si>
  <si>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</si>
  <si>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</si>
  <si>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</si>
  <si>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</si>
  <si>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</si>
  <si>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</si>
  <si>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</si>
  <si>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</si>
  <si>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</si>
  <si>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</si>
  <si>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</si>
  <si>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</si>
  <si>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</si>
  <si>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</si>
  <si>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</si>
  <si>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</si>
  <si>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</si>
  <si>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</si>
  <si>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</si>
  <si>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</si>
  <si>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</si>
  <si>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</si>
  <si>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</si>
  <si>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</si>
  <si>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</si>
  <si>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</si>
  <si>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</si>
  <si>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</si>
  <si>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</si>
  <si>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</si>
  <si>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</si>
  <si>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</si>
  <si>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</si>
  <si>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</si>
  <si>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</si>
  <si>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</si>
  <si>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</si>
  <si>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</si>
  <si>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</si>
  <si>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</si>
  <si>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</si>
  <si>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</si>
  <si>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</si>
  <si>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</si>
  <si>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</si>
  <si>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</si>
  <si>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</si>
  <si>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</si>
  <si>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</si>
  <si>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</si>
  <si>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</si>
  <si>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</si>
  <si>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</si>
  <si>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</si>
  <si>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</si>
  <si>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</si>
  <si>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</si>
  <si>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</si>
  <si>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</si>
  <si>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</si>
  <si>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</si>
  <si>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</si>
  <si>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</si>
  <si>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</si>
  <si>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</si>
  <si>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</si>
  <si>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</si>
  <si>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</si>
  <si>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</si>
  <si>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</si>
  <si>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</si>
  <si>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</si>
  <si>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</si>
  <si>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</si>
  <si>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</si>
  <si>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</si>
  <si>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</si>
  <si>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</si>
  <si>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</si>
  <si>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</si>
  <si>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</si>
  <si>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</si>
  <si>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</si>
  <si>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</si>
  <si>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</si>
  <si>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</si>
  <si>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</si>
  <si>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</si>
  <si>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</si>
  <si>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</si>
  <si>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</si>
  <si>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</si>
  <si>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</si>
  <si>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</si>
  <si>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</si>
  <si>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</si>
  <si>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</si>
  <si>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</si>
  <si>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</si>
  <si>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</si>
  <si>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</si>
  <si>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</si>
  <si>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</si>
  <si>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</si>
  <si>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</si>
  <si>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</si>
  <si>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</si>
  <si>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</si>
  <si>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</si>
  <si>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</si>
  <si>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</si>
  <si>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</si>
  <si>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</si>
  <si>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</si>
  <si>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</si>
  <si>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</si>
  <si>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</si>
  <si>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</si>
  <si>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</si>
  <si>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</si>
  <si>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</si>
  <si>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</si>
  <si>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</si>
  <si>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</si>
  <si>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</si>
  <si>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</si>
  <si>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</si>
  <si>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</si>
  <si>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</si>
  <si>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</si>
  <si>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</si>
  <si>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</si>
  <si>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</si>
  <si>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</si>
  <si>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</si>
  <si>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</si>
  <si>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</si>
  <si>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</si>
  <si>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</si>
  <si>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</si>
  <si>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</si>
  <si>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</si>
  <si>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</si>
  <si>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</si>
  <si>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</si>
  <si>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</si>
  <si>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</si>
  <si>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</si>
  <si>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</si>
  <si>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</si>
  <si>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</si>
  <si>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</si>
  <si>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</si>
  <si>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</si>
  <si>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</si>
  <si>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</si>
  <si>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</si>
  <si>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</si>
  <si>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</si>
  <si>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</si>
  <si>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</si>
  <si>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</si>
  <si>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</si>
  <si>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</si>
  <si>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</si>
  <si>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</si>
  <si>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</si>
  <si>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</si>
  <si>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</si>
  <si>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</si>
  <si>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</si>
  <si>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</si>
  <si>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</si>
  <si>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</si>
  <si>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</si>
  <si>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</si>
  <si>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</si>
  <si>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</si>
  <si>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</si>
  <si>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</si>
  <si>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</si>
  <si>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</si>
  <si>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</si>
  <si>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</si>
  <si>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</si>
  <si>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</si>
  <si>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</si>
  <si>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</si>
  <si>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</si>
  <si>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</si>
  <si>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</si>
  <si>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</si>
  <si>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</si>
  <si>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</si>
  <si>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</si>
  <si>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</si>
  <si>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</si>
  <si>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</si>
  <si>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</si>
  <si>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</si>
  <si>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</si>
  <si>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</si>
  <si>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</si>
  <si>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</si>
  <si>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</si>
  <si>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</si>
  <si>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</si>
  <si>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</si>
  <si>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</si>
  <si>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</si>
  <si>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</si>
  <si>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</si>
  <si>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</si>
  <si>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</si>
  <si>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</si>
  <si>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</si>
  <si>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</si>
  <si>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</si>
  <si>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</si>
  <si>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</si>
  <si>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</si>
  <si>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</si>
  <si>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</si>
  <si>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</si>
  <si>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</si>
  <si>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</si>
  <si>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</si>
  <si>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</si>
  <si>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</si>
  <si>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</si>
  <si>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</si>
  <si>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</si>
  <si>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</si>
  <si>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</si>
  <si>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</si>
  <si>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</si>
  <si>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</si>
  <si>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</si>
  <si>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</si>
  <si>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</si>
  <si>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</si>
  <si>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</si>
  <si>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</si>
  <si>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</si>
  <si>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</si>
  <si>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</si>
  <si>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</si>
  <si>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</si>
  <si>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</si>
  <si>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</si>
  <si>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</si>
  <si>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</si>
  <si>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</si>
  <si>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</si>
  <si>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</si>
  <si>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</si>
  <si>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</si>
  <si>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</si>
  <si>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</si>
  <si>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</si>
  <si>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</si>
  <si>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</si>
  <si>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</si>
  <si>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</si>
  <si>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</si>
  <si>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</si>
  <si>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</si>
  <si>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</si>
  <si>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</si>
  <si>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</si>
  <si>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</si>
  <si>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</si>
  <si>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</si>
  <si>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</si>
  <si>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</si>
  <si>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</si>
  <si>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</si>
  <si>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</si>
  <si>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</si>
  <si>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</si>
  <si>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</si>
  <si>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</si>
  <si>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</si>
  <si>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</si>
  <si>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</si>
  <si>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</si>
  <si>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</si>
  <si>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</si>
  <si>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</si>
  <si>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</si>
  <si>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</si>
  <si>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</si>
  <si>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</si>
  <si>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</si>
  <si>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</si>
  <si>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</si>
  <si>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</si>
  <si>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</si>
  <si>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</si>
  <si>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</si>
  <si>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</si>
  <si>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</si>
  <si>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</si>
  <si>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</si>
  <si>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</si>
  <si>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</si>
  <si>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</si>
  <si>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</si>
  <si>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</si>
  <si>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</si>
  <si>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</si>
  <si>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</si>
  <si>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</si>
  <si>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</si>
  <si>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</si>
  <si>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</si>
  <si>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</si>
  <si>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</si>
  <si>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</si>
  <si>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</si>
  <si>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</si>
  <si>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</si>
  <si>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</si>
  <si>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</si>
  <si>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</si>
  <si>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</si>
  <si>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</si>
  <si>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</si>
  <si>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</si>
  <si>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</si>
  <si>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</si>
  <si>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</si>
  <si>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</si>
  <si>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</si>
  <si>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</si>
  <si>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</si>
  <si>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</si>
  <si>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</si>
  <si>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</si>
  <si>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</si>
  <si>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</si>
  <si>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</si>
  <si>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</si>
  <si>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</si>
  <si>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</si>
  <si>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</si>
  <si>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</si>
  <si>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</si>
  <si>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</si>
  <si>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</si>
  <si>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</si>
  <si>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</si>
  <si>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</si>
  <si>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</si>
  <si>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</si>
  <si>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</si>
  <si>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</si>
  <si>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</si>
  <si>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</si>
  <si>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</si>
  <si>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</si>
  <si>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</si>
  <si>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</si>
  <si>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</si>
  <si>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</si>
  <si>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</si>
  <si>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</si>
  <si>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</si>
  <si>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</si>
  <si>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</si>
  <si>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</si>
  <si>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</si>
  <si>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</si>
  <si>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</si>
  <si>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</si>
  <si>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</si>
  <si>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</si>
  <si>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</si>
  <si>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</si>
  <si>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</si>
  <si>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</si>
  <si>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</si>
  <si>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</si>
  <si>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</si>
  <si>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</si>
  <si>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</si>
  <si>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</si>
  <si>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</si>
  <si>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</si>
  <si>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</si>
  <si>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</si>
  <si>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</si>
  <si>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</si>
  <si>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</si>
  <si>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</si>
  <si>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</si>
  <si>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</si>
  <si>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</si>
  <si>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</si>
  <si>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</si>
  <si>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</si>
  <si>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</si>
  <si>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</si>
  <si>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</si>
  <si>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</si>
  <si>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</si>
  <si>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</si>
  <si>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</si>
  <si>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</si>
  <si>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</si>
  <si>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</si>
  <si>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</si>
  <si>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</si>
  <si>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</si>
  <si>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</si>
  <si>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</si>
  <si>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</si>
  <si>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</si>
  <si>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</si>
  <si>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</si>
  <si>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</si>
  <si>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</si>
  <si>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</si>
  <si>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</si>
  <si>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</si>
  <si>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</si>
  <si>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</si>
  <si>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</si>
  <si>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</si>
  <si>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</si>
  <si>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</si>
  <si>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</si>
  <si>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</si>
  <si>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</si>
  <si>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</si>
  <si>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</si>
  <si>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</si>
  <si>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</si>
  <si>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</si>
  <si>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</si>
  <si>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</si>
  <si>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</si>
  <si>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</si>
  <si>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</si>
  <si>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</si>
  <si>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</si>
  <si>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</si>
  <si>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</si>
  <si>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</si>
  <si>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</si>
  <si>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</si>
  <si>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</si>
  <si>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</si>
  <si>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</si>
  <si>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</si>
  <si>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</si>
  <si>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</si>
  <si>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</si>
  <si>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</si>
  <si>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</si>
  <si>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</si>
  <si>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</si>
  <si>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</si>
  <si>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</si>
  <si>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</si>
  <si>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</si>
  <si>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</si>
  <si>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</si>
  <si>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</si>
  <si>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</si>
  <si>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</si>
  <si>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</si>
  <si>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</si>
  <si>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</si>
  <si>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</si>
  <si>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</si>
  <si>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</si>
  <si>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</si>
  <si>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</si>
  <si>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</si>
  <si>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</si>
  <si>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</si>
  <si>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</si>
  <si>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</si>
  <si>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</si>
  <si>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</si>
  <si>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</si>
  <si>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</si>
  <si>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</si>
  <si>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</si>
  <si>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</si>
  <si>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</si>
  <si>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</si>
  <si>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</si>
  <si>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</si>
  <si>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</si>
  <si>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</si>
  <si>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</si>
  <si>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</si>
  <si>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</si>
  <si>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</si>
  <si>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</si>
  <si>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</si>
  <si>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</si>
  <si>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</si>
  <si>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</si>
  <si>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</si>
  <si>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</si>
  <si>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</si>
  <si>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</si>
  <si>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</si>
  <si>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</si>
  <si>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</si>
  <si>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</si>
  <si>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</si>
  <si>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</si>
  <si>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</si>
  <si>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</si>
  <si>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</si>
  <si>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</si>
  <si>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</si>
  <si>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</si>
  <si>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</si>
  <si>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</si>
  <si>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</si>
  <si>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</si>
  <si>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</si>
  <si>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</si>
  <si>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</si>
  <si>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</si>
  <si>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</si>
  <si>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</si>
  <si>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</si>
  <si>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</si>
  <si>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</si>
  <si>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</si>
  <si>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</si>
  <si>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</si>
  <si>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</si>
  <si>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</si>
  <si>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</si>
  <si>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</si>
  <si>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</si>
  <si>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</si>
  <si>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</si>
  <si>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</si>
  <si>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</si>
  <si>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</si>
  <si>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</si>
  <si>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</si>
  <si>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</si>
  <si>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</si>
  <si>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</si>
  <si>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</si>
  <si>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</si>
  <si>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</si>
  <si>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</si>
  <si>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</si>
  <si>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</si>
  <si>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</si>
  <si>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</si>
  <si>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</si>
  <si>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</si>
  <si>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</si>
  <si>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</si>
  <si>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</si>
  <si>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</si>
  <si>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</si>
  <si>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</si>
  <si>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</si>
  <si>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</si>
  <si>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</si>
  <si>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</si>
  <si>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</si>
  <si>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</si>
  <si>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</si>
  <si>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</si>
  <si>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</si>
  <si>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</si>
  <si>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</si>
  <si>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</si>
  <si>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</si>
  <si>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</si>
  <si>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</si>
  <si>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</si>
  <si>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</si>
  <si>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</si>
  <si>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</si>
  <si>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</si>
  <si>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</si>
  <si>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</si>
  <si>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</si>
  <si>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</si>
  <si>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</si>
  <si>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</si>
  <si>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</si>
  <si>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</si>
  <si>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</si>
  <si>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</si>
  <si>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</si>
  <si>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</si>
  <si>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</si>
  <si>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</si>
  <si>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</si>
  <si>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</si>
  <si>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</si>
  <si>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</si>
  <si>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</si>
  <si>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</si>
  <si>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</si>
  <si>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</si>
  <si>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</si>
  <si>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</si>
  <si>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</si>
  <si>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</si>
  <si>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</si>
  <si>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</si>
  <si>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</si>
  <si>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</si>
  <si>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</si>
  <si>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</si>
  <si>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</si>
  <si>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</si>
  <si>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</si>
  <si>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</si>
  <si>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</si>
  <si>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</si>
  <si>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</si>
  <si>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</si>
  <si>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</si>
  <si>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</si>
  <si>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</si>
  <si>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</si>
  <si>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</si>
  <si>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</si>
  <si>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</si>
  <si>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</si>
  <si>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</si>
  <si>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</si>
  <si>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</si>
  <si>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</si>
  <si>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</si>
  <si>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</si>
  <si>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</si>
  <si>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</si>
  <si>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</si>
  <si>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</si>
  <si>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</si>
  <si>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</si>
  <si>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</si>
  <si>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</si>
  <si>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</si>
  <si>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</si>
  <si>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</si>
  <si>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</si>
  <si>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</si>
  <si>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</si>
  <si>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</si>
  <si>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</si>
  <si>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</si>
  <si>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</si>
  <si>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</si>
  <si>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</si>
  <si>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</si>
  <si>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</si>
  <si>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</si>
  <si>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</si>
  <si>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</si>
  <si>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</si>
  <si>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</si>
  <si>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</si>
  <si>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</si>
  <si>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</si>
  <si>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</si>
  <si>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</si>
  <si>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</si>
  <si>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</si>
  <si>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</si>
  <si>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</si>
  <si>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</si>
  <si>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</si>
  <si>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</si>
  <si>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</si>
  <si>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</si>
  <si>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</si>
  <si>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</si>
  <si>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</si>
  <si>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</si>
  <si>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</si>
  <si>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</si>
  <si>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</si>
  <si>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</si>
  <si>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</si>
  <si>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</si>
  <si>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</si>
  <si>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</si>
  <si>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</si>
  <si>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</si>
  <si>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</si>
  <si>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</si>
  <si>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</si>
  <si>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</si>
  <si>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</si>
  <si>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</si>
  <si>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</si>
  <si>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</si>
  <si>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</si>
  <si>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</si>
  <si>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</si>
  <si>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</si>
  <si>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</si>
  <si>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</si>
  <si>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</si>
  <si>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</si>
  <si>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</si>
  <si>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</si>
  <si>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</si>
  <si>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</si>
  <si>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</si>
  <si>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</si>
  <si>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</si>
  <si>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</si>
  <si>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</si>
  <si>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</si>
  <si>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</si>
  <si>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</si>
  <si>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</si>
  <si>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</si>
  <si>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</si>
  <si>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</si>
  <si>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</si>
  <si>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</si>
  <si>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</si>
  <si>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</si>
  <si>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</si>
  <si>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</si>
  <si>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</si>
  <si>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</si>
  <si>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</si>
  <si>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</si>
  <si>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</si>
  <si>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</si>
  <si>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</si>
  <si>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</si>
  <si>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</si>
  <si>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</si>
  <si>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</si>
  <si>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</si>
  <si>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</si>
  <si>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</si>
  <si>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</si>
  <si>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</si>
  <si>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</si>
  <si>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</si>
  <si>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</si>
  <si>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</si>
  <si>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</si>
  <si>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</si>
  <si>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</si>
  <si>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</si>
  <si>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</si>
  <si>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</si>
  <si>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</si>
  <si>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</si>
  <si>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</si>
  <si>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</si>
  <si>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</si>
  <si>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</si>
  <si>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</si>
  <si>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</si>
  <si>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</si>
  <si>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</si>
  <si>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</si>
  <si>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</si>
  <si>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</si>
  <si>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</si>
  <si>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</si>
  <si>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</si>
  <si>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</si>
  <si>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</si>
  <si>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</si>
  <si>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</si>
  <si>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</si>
  <si>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</si>
  <si>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</si>
  <si>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</si>
  <si>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</si>
  <si>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</si>
  <si>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</si>
  <si>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</si>
  <si>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</si>
  <si>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</si>
  <si>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</si>
  <si>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</si>
  <si>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</si>
  <si>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</si>
  <si>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</si>
  <si>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</si>
  <si>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</si>
  <si>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</si>
  <si>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</si>
  <si>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</si>
  <si>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</si>
  <si>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</si>
  <si>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</si>
  <si>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</si>
  <si>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</si>
  <si>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</si>
  <si>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</si>
  <si>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</si>
  <si>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</si>
  <si>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</si>
  <si>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</si>
  <si>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</si>
  <si>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</si>
  <si>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</si>
  <si>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</si>
  <si>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</si>
  <si>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</si>
  <si>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</si>
  <si>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</si>
  <si>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</si>
  <si>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</si>
  <si>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</si>
  <si>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</si>
  <si>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</si>
  <si>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</si>
  <si>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</si>
  <si>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</si>
  <si>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</si>
  <si>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</si>
  <si>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</si>
  <si>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</si>
  <si>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</si>
  <si>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</si>
  <si>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</si>
  <si>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</si>
  <si>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</si>
  <si>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</si>
  <si>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</si>
  <si>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</si>
  <si>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</si>
  <si>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</si>
  <si>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</si>
  <si>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</si>
  <si>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</si>
  <si>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</si>
  <si>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</si>
  <si>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</si>
  <si>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</si>
  <si>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</si>
  <si>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</si>
  <si>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</si>
  <si>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</si>
  <si>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</si>
  <si>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</si>
  <si>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</si>
  <si>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</si>
  <si>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</si>
  <si>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</si>
  <si>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</si>
  <si>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</si>
  <si>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</si>
  <si>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</si>
  <si>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</si>
  <si>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</si>
  <si>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</si>
  <si>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</si>
  <si>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</si>
  <si>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</si>
  <si>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</si>
  <si>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</si>
  <si>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</si>
  <si>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</si>
  <si>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</si>
  <si>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</si>
  <si>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</si>
  <si>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</si>
  <si>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</si>
  <si>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</si>
  <si>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</si>
  <si>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</si>
  <si>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</si>
  <si>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</si>
  <si>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</si>
  <si>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</si>
  <si>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</si>
  <si>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</si>
  <si>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</si>
  <si>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</si>
  <si>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</si>
  <si>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</si>
  <si>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</si>
  <si>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</si>
  <si>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</si>
  <si>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</si>
  <si>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</si>
  <si>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</si>
  <si>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</si>
  <si>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</si>
  <si>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</si>
  <si>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</si>
  <si>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</si>
  <si>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</si>
  <si>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</si>
  <si>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</si>
  <si>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</si>
  <si>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</si>
  <si>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</si>
  <si>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</si>
  <si>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</si>
  <si>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</si>
  <si>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</si>
  <si>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</si>
  <si>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</si>
  <si>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</si>
  <si>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</si>
  <si>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</si>
  <si>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</si>
  <si>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</si>
  <si>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</si>
  <si>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</si>
  <si>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</si>
  <si>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</si>
  <si>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</si>
  <si>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</si>
  <si>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</si>
  <si>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</si>
  <si>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</si>
  <si>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</si>
  <si>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</si>
  <si>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</si>
  <si>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</si>
  <si>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</si>
  <si>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</si>
  <si>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</si>
  <si>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</si>
  <si>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</si>
  <si>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</si>
  <si>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</si>
  <si>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</si>
  <si>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</si>
  <si>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</si>
  <si>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</si>
  <si>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</si>
  <si>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</si>
  <si>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</si>
  <si>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</si>
  <si>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</si>
  <si>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</si>
  <si>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</si>
  <si>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</si>
  <si>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</si>
  <si>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</si>
  <si>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</si>
  <si>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</si>
  <si>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</si>
  <si>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</si>
  <si>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</si>
  <si>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</si>
  <si>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</si>
  <si>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</si>
  <si>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</si>
  <si>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</si>
  <si>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</si>
  <si>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</si>
  <si>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</si>
  <si>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</si>
  <si>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</si>
  <si>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</si>
  <si>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</si>
  <si>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</si>
  <si>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</si>
  <si>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</si>
  <si>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</si>
  <si>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</si>
  <si>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</si>
  <si>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</si>
  <si>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</si>
  <si>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</si>
  <si>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</si>
  <si>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</si>
  <si>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</si>
  <si>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</si>
  <si>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</si>
  <si>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</si>
  <si>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</si>
  <si>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</si>
  <si>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</si>
  <si>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</si>
  <si>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</si>
  <si>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</si>
  <si>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</si>
  <si>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</si>
  <si>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</si>
  <si>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</si>
  <si>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</si>
  <si>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</si>
  <si>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</si>
  <si>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</si>
  <si>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</si>
  <si>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</si>
  <si>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</si>
  <si>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</si>
  <si>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</si>
  <si>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</si>
  <si>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</si>
  <si>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</si>
  <si>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</si>
  <si>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</si>
  <si>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</si>
  <si>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</si>
  <si>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</si>
  <si>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</si>
  <si>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</si>
  <si>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</si>
  <si>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</si>
  <si>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</si>
  <si>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</si>
  <si>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</si>
  <si>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</si>
  <si>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</si>
  <si>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</si>
  <si>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</si>
  <si>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</si>
  <si>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</si>
  <si>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</si>
  <si>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</si>
  <si>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</si>
  <si>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</si>
  <si>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</si>
  <si>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</si>
  <si>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</si>
  <si>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</si>
  <si>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</si>
  <si>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</si>
  <si>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</si>
  <si>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</si>
  <si>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</si>
  <si>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</si>
  <si>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</si>
  <si>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</si>
  <si>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</si>
  <si>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</si>
  <si>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</si>
  <si>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</si>
  <si>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</si>
  <si>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</si>
  <si>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</si>
  <si>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</si>
  <si>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</si>
  <si>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</si>
  <si>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</si>
  <si>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</si>
  <si>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</si>
  <si>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</si>
  <si>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</si>
  <si>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</si>
  <si>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</si>
  <si>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</si>
  <si>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</si>
  <si>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</si>
  <si>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</si>
  <si>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</si>
  <si>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</si>
  <si>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</si>
  <si>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</si>
  <si>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</si>
  <si>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</si>
  <si>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</si>
  <si>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</si>
  <si>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</si>
  <si>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</si>
  <si>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</si>
  <si>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</si>
  <si>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</si>
  <si>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</si>
  <si>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</si>
  <si>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</si>
  <si>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</si>
  <si>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</si>
  <si>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</si>
  <si>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</si>
  <si>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</si>
  <si>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</si>
  <si>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</si>
  <si>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</si>
  <si>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</si>
  <si>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</si>
  <si>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</si>
  <si>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</si>
  <si>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</si>
  <si>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</si>
  <si>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</si>
  <si>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</si>
  <si>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</si>
  <si>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</si>
  <si>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</si>
  <si>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</si>
  <si>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</si>
  <si>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</si>
  <si>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</si>
  <si>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</si>
  <si>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</si>
  <si>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</si>
  <si>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</si>
  <si>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</si>
  <si>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</si>
  <si>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</si>
  <si>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</si>
  <si>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</si>
  <si>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</si>
  <si>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</si>
  <si>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</si>
  <si>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</si>
  <si>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</si>
  <si>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</si>
  <si>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</si>
  <si>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</si>
  <si>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</si>
  <si>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</si>
  <si>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</si>
  <si>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</si>
  <si>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</si>
  <si>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</si>
  <si>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</si>
  <si>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</si>
  <si>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</si>
  <si>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</si>
  <si>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</si>
  <si>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</si>
  <si>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</si>
  <si>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</si>
  <si>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</si>
  <si>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</si>
  <si>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</si>
  <si>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</si>
  <si>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</si>
  <si>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</si>
  <si>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</si>
  <si>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</si>
  <si>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</si>
  <si>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</si>
  <si>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</si>
  <si>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</si>
  <si>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</si>
  <si>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</si>
  <si>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</si>
  <si>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</si>
  <si>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</si>
  <si>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</si>
  <si>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</si>
  <si>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</si>
  <si>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</si>
  <si>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</si>
  <si>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</si>
  <si>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</si>
  <si>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</si>
  <si>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</si>
  <si>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</si>
  <si>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</si>
  <si>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</si>
  <si>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</si>
  <si>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</si>
  <si>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</si>
  <si>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</si>
  <si>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</si>
  <si>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</si>
  <si>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</si>
  <si>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</si>
  <si>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</si>
  <si>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</si>
  <si>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</si>
  <si>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</si>
  <si>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</si>
  <si>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</si>
  <si>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</si>
  <si>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</si>
  <si>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</si>
  <si>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</si>
  <si>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</si>
  <si>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</si>
  <si>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</si>
  <si>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</si>
  <si>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</si>
  <si>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</si>
  <si>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</si>
  <si>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</si>
  <si>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</si>
  <si>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</si>
  <si>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</si>
  <si>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</si>
  <si>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</si>
  <si>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</si>
  <si>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</si>
  <si>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</si>
  <si>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</si>
  <si>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</si>
  <si>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</si>
  <si>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</si>
  <si>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</si>
  <si>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</si>
  <si>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</si>
  <si>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</si>
  <si>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</si>
  <si>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</si>
  <si>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</si>
  <si>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</si>
  <si>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</si>
  <si>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</si>
  <si>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</si>
  <si>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</si>
  <si>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</si>
  <si>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</si>
  <si>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</si>
  <si>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</si>
  <si>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</si>
  <si>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</si>
  <si>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</si>
  <si>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</si>
  <si>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</si>
  <si>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</si>
  <si>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</si>
  <si>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</si>
  <si>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</si>
  <si>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</si>
  <si>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</si>
  <si>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</si>
  <si>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</si>
  <si>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</si>
  <si>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</si>
  <si>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</si>
  <si>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</si>
  <si>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</si>
  <si>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</si>
  <si>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</si>
  <si>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</si>
  <si>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</si>
  <si>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</si>
  <si>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</si>
  <si>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</si>
  <si>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</si>
  <si>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</si>
  <si>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</si>
  <si>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</si>
  <si>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</si>
  <si>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</si>
  <si>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</si>
  <si>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</si>
  <si>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</si>
  <si>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</si>
  <si>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</si>
  <si>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</si>
  <si>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</si>
  <si>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</si>
  <si>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</si>
  <si>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</si>
  <si>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</si>
  <si>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</si>
  <si>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</si>
  <si>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</si>
  <si>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</si>
  <si>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</si>
  <si>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</si>
  <si>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</si>
  <si>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</si>
  <si>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</si>
  <si>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</si>
  <si>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</si>
  <si>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</si>
  <si>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</si>
  <si>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</si>
  <si>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</si>
  <si>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</si>
  <si>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</si>
  <si>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</si>
  <si>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</si>
  <si>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</si>
  <si>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</si>
  <si>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</si>
  <si>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</si>
  <si>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</si>
  <si>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</si>
  <si>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</si>
  <si>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</si>
  <si>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</si>
  <si>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</si>
  <si>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</si>
  <si>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</si>
  <si>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</si>
  <si>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</si>
  <si>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</si>
  <si>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</si>
  <si>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</si>
  <si>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</si>
  <si>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</si>
  <si>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</si>
  <si>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</si>
  <si>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</si>
  <si>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</si>
  <si>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</si>
  <si>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</si>
  <si>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</si>
  <si>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</si>
  <si>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</si>
  <si>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</si>
  <si>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</si>
  <si>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</si>
  <si>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</si>
  <si>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</si>
  <si>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</si>
  <si>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</si>
  <si>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</si>
  <si>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</si>
  <si>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</si>
  <si>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</si>
  <si>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</si>
  <si>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</si>
  <si>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</si>
  <si>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</si>
  <si>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</si>
  <si>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</si>
  <si>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</si>
  <si>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</si>
  <si>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</si>
  <si>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</si>
  <si>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</si>
  <si>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</si>
  <si>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</si>
  <si>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</si>
  <si>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</si>
  <si>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</si>
  <si>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</si>
  <si>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</si>
  <si>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</si>
  <si>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</si>
  <si>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</si>
  <si>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</si>
  <si>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</si>
  <si>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</si>
  <si>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</si>
  <si>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</si>
  <si>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</si>
  <si>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</si>
  <si>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</si>
  <si>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</si>
  <si>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</si>
  <si>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</si>
  <si>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</si>
  <si>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</si>
  <si>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</si>
  <si>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</si>
  <si>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</si>
  <si>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</si>
  <si>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</si>
  <si>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</si>
  <si>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</si>
  <si>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</si>
  <si>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</si>
  <si>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</si>
  <si>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</si>
  <si>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</si>
  <si>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</si>
  <si>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</si>
  <si>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</si>
  <si>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</si>
  <si>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</si>
  <si>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</si>
  <si>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</si>
  <si>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</si>
  <si>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</si>
  <si>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</si>
  <si>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</si>
  <si>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</si>
  <si>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</si>
  <si>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</si>
  <si>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</si>
  <si>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</si>
  <si>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</si>
  <si>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</si>
  <si>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</si>
  <si>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</si>
  <si>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</si>
  <si>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</si>
  <si>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</si>
  <si>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</si>
  <si>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</si>
  <si>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</si>
  <si>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</si>
  <si>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</si>
  <si>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</si>
  <si>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</si>
  <si>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</si>
  <si>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</si>
  <si>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</si>
  <si>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</si>
  <si>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</si>
  <si>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</si>
  <si>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</si>
  <si>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</si>
  <si>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</si>
  <si>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</si>
  <si>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</si>
  <si>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</si>
  <si>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</si>
  <si>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</si>
  <si>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</si>
  <si>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</si>
  <si>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</si>
  <si>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</si>
  <si>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</si>
  <si>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</si>
  <si>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</si>
  <si>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</si>
  <si>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</si>
  <si>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</si>
  <si>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</si>
  <si>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</si>
  <si>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</si>
  <si>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</si>
  <si>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</si>
  <si>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</si>
  <si>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</si>
  <si>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</si>
  <si>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</si>
  <si>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</si>
  <si>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</si>
  <si>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</si>
  <si>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</si>
  <si>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</si>
  <si>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</si>
  <si>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</si>
  <si>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</si>
  <si>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</si>
  <si>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</si>
  <si>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</si>
  <si>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</si>
  <si>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</si>
  <si>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</si>
  <si>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</si>
  <si>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</si>
  <si>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</si>
  <si>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</si>
  <si>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</si>
  <si>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</si>
  <si>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</si>
  <si>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</si>
  <si>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</si>
  <si>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</si>
  <si>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</si>
  <si>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</si>
  <si>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</si>
  <si>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</si>
  <si>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</si>
  <si>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</si>
  <si>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</si>
  <si>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</si>
  <si>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</si>
  <si>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</si>
  <si>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</si>
  <si>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</si>
  <si>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</si>
  <si>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</si>
  <si>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</si>
  <si>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</si>
  <si>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</si>
  <si>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</si>
  <si>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</si>
  <si>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</si>
  <si>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</si>
  <si>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</si>
  <si>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</si>
  <si>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</si>
  <si>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</si>
  <si>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</si>
  <si>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</si>
  <si>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</si>
  <si>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</si>
  <si>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</si>
  <si>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</si>
  <si>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</si>
  <si>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</si>
  <si>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</si>
  <si>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</si>
  <si>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</si>
  <si>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</si>
  <si>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</si>
  <si>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</si>
  <si>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</si>
  <si>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</si>
  <si>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</si>
  <si>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</si>
  <si>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</si>
  <si>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</si>
  <si>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</si>
  <si>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</si>
  <si>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</si>
  <si>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</si>
  <si>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</si>
  <si>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</si>
  <si>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</si>
  <si>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</si>
  <si>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</si>
  <si>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</si>
  <si>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</si>
  <si>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</si>
  <si>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</si>
  <si>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</si>
  <si>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</si>
  <si>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</si>
  <si>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</si>
  <si>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</si>
  <si>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</si>
  <si>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</si>
  <si>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</si>
  <si>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</si>
  <si>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</si>
  <si>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</si>
  <si>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</si>
  <si>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</si>
  <si>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</si>
  <si>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</si>
  <si>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</si>
  <si>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</si>
  <si>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</si>
  <si>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</si>
  <si>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</si>
  <si>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</si>
  <si>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</si>
  <si>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</si>
  <si>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</si>
  <si>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</si>
  <si>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</si>
  <si>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</si>
  <si>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</si>
  <si>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</si>
  <si>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</si>
  <si>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</si>
  <si>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</si>
  <si>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</si>
  <si>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</si>
  <si>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</si>
  <si>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</si>
  <si>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</si>
  <si>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</si>
  <si>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</si>
  <si>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</si>
  <si>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</si>
  <si>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</si>
  <si>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</si>
  <si>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</si>
  <si>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</si>
  <si>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</si>
  <si>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</si>
  <si>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</si>
  <si>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</si>
  <si>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</si>
  <si>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</si>
  <si>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</si>
  <si>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</si>
  <si>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</si>
  <si>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</si>
  <si>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</si>
  <si>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</si>
  <si>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</si>
  <si>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</si>
  <si>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</si>
  <si>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</si>
  <si>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</si>
  <si>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</si>
  <si>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</si>
  <si>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</si>
  <si>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</si>
  <si>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</si>
  <si>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</si>
  <si>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</si>
  <si>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</si>
  <si>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</si>
  <si>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</si>
  <si>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</si>
  <si>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</si>
  <si>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</si>
  <si>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</si>
  <si>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</si>
  <si>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</si>
  <si>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</si>
  <si>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</si>
  <si>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</si>
  <si>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</si>
  <si>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</si>
  <si>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</si>
  <si>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</si>
  <si>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</si>
  <si>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</si>
  <si>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</si>
  <si>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</si>
  <si>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</si>
  <si>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</si>
  <si>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</si>
  <si>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</si>
  <si>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</si>
  <si>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</si>
  <si>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</si>
  <si>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</si>
  <si>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</si>
  <si>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</si>
  <si>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</si>
  <si>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</si>
  <si>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</si>
  <si>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</si>
  <si>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</si>
  <si>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</si>
  <si>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</si>
  <si>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</si>
  <si>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</si>
  <si>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</si>
  <si>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</si>
  <si>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</si>
  <si>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</si>
  <si>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</si>
  <si>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</si>
  <si>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</si>
  <si>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</si>
  <si>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</si>
  <si>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</si>
  <si>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</si>
  <si>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</si>
  <si>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</si>
  <si>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</si>
  <si>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</si>
  <si>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</si>
  <si>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</si>
  <si>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</si>
  <si>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</si>
  <si>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</si>
  <si>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</si>
  <si>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</si>
  <si>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</si>
  <si>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</si>
  <si>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</si>
  <si>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</si>
  <si>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</si>
  <si>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</si>
  <si>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</si>
  <si>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</si>
  <si>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</si>
  <si>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</si>
  <si>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</si>
  <si>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</si>
  <si>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</si>
  <si>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</si>
  <si>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</si>
  <si>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</si>
  <si>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</si>
  <si>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</si>
  <si>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</si>
  <si>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</si>
  <si>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</si>
  <si>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</si>
  <si>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</si>
  <si>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</si>
  <si>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</si>
  <si>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</si>
  <si>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</si>
  <si>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</si>
  <si>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</si>
  <si>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</si>
  <si>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</si>
  <si>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</si>
  <si>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</si>
  <si>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</si>
  <si>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</si>
  <si>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</si>
  <si>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</si>
  <si>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</si>
  <si>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</si>
  <si>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</si>
  <si>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</si>
  <si>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</si>
  <si>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</si>
  <si>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</si>
  <si>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</si>
  <si>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</si>
  <si>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</si>
  <si>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</si>
  <si>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</si>
  <si>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</si>
  <si>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</si>
  <si>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</si>
  <si>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</si>
  <si>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</si>
  <si>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</si>
  <si>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</si>
  <si>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</si>
  <si>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</si>
  <si>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</si>
  <si>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</si>
  <si>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</si>
  <si>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</si>
  <si>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</si>
  <si>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</si>
  <si>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</si>
  <si>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</si>
  <si>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</si>
  <si>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</si>
  <si>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</si>
  <si>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</si>
  <si>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</si>
  <si>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</si>
  <si>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</si>
  <si>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</si>
  <si>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</si>
  <si>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</si>
  <si>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</si>
  <si>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</si>
  <si>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</si>
  <si>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</si>
  <si>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</si>
  <si>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</si>
  <si>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</si>
  <si>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</si>
  <si>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</si>
  <si>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</si>
  <si>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</si>
  <si>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</si>
  <si>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</si>
  <si>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</si>
  <si>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</si>
  <si>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</si>
  <si>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</si>
  <si>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</si>
  <si>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</si>
  <si>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</si>
  <si>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</si>
  <si>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</si>
  <si>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</si>
  <si>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</si>
  <si>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</si>
  <si>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</si>
  <si>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</si>
  <si>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</si>
  <si>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</si>
  <si>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</si>
  <si>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</si>
  <si>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</si>
  <si>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</si>
  <si>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</si>
  <si>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</si>
  <si>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</si>
  <si>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</si>
  <si>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</si>
  <si>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</si>
  <si>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</si>
  <si>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</si>
  <si>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</si>
  <si>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</si>
  <si>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</si>
  <si>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</si>
  <si>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</si>
  <si>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</si>
  <si>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</si>
  <si>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</si>
  <si>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</si>
  <si>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</si>
  <si>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</si>
  <si>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</si>
  <si>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</si>
  <si>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</si>
  <si>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</si>
  <si>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</si>
  <si>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</si>
  <si>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</si>
  <si>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</si>
  <si>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</si>
  <si>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</si>
  <si>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</si>
  <si>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</si>
  <si>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</si>
  <si>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</si>
  <si>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</si>
  <si>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</si>
  <si>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</si>
  <si>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</si>
  <si>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</si>
  <si>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</si>
  <si>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</si>
  <si>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</si>
  <si>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</si>
  <si>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</si>
  <si>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</si>
  <si>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</si>
  <si>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</si>
  <si>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</si>
  <si>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</si>
  <si>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</si>
  <si>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</si>
  <si>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</si>
  <si>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</si>
  <si>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</si>
  <si>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</si>
  <si>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</si>
  <si>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</si>
  <si>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</si>
  <si>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</si>
  <si>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</si>
  <si>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</si>
  <si>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</si>
  <si>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</si>
  <si>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</si>
  <si>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</si>
  <si>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</si>
  <si>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</si>
  <si>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</si>
  <si>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</si>
  <si>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</si>
  <si>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</si>
  <si>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</si>
  <si>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</si>
  <si>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</si>
  <si>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</si>
  <si>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</si>
  <si>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</si>
  <si>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</si>
  <si>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</si>
  <si>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</si>
  <si>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</si>
  <si>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</si>
  <si>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</si>
  <si>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</si>
  <si>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</si>
  <si>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</si>
  <si>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</si>
  <si>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</si>
  <si>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</si>
  <si>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</si>
  <si>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</si>
  <si>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</si>
  <si>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</si>
  <si>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</si>
  <si>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</si>
  <si>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</si>
  <si>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</si>
  <si>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</si>
  <si>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</si>
  <si>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</si>
  <si>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</si>
  <si>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</si>
  <si>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</si>
  <si>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</si>
  <si>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</si>
  <si>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</si>
  <si>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</si>
  <si>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</si>
  <si>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</si>
  <si>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</si>
  <si>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</si>
  <si>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</si>
  <si>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</si>
  <si>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</si>
  <si>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</si>
  <si>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</si>
  <si>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</si>
  <si>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</si>
  <si>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</si>
  <si>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</si>
  <si>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</si>
  <si>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</si>
  <si>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</si>
  <si>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</si>
  <si>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</si>
  <si>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</si>
  <si>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</si>
  <si>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</si>
  <si>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</si>
  <si>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</si>
  <si>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</si>
  <si>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</si>
  <si>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</si>
  <si>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</si>
  <si>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</si>
  <si>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</si>
  <si>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</si>
  <si>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</si>
  <si>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</si>
  <si>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</si>
  <si>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</si>
  <si>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</si>
  <si>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</si>
  <si>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</si>
  <si>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</si>
  <si>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</si>
  <si>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</si>
  <si>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</si>
  <si>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</si>
  <si>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</si>
  <si>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</si>
  <si>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</si>
  <si>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</si>
  <si>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</si>
  <si>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</si>
  <si>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</si>
  <si>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</si>
  <si>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</si>
  <si>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</si>
  <si>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</si>
  <si>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</si>
  <si>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</si>
  <si>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</si>
  <si>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</si>
  <si>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</si>
  <si>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</si>
  <si>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</si>
  <si>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</si>
  <si>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</si>
  <si>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</si>
  <si>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</si>
  <si>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</si>
  <si>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</si>
  <si>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</si>
  <si>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</si>
  <si>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</si>
  <si>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</si>
  <si>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</si>
  <si>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</si>
  <si>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</si>
  <si>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</si>
  <si>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</si>
  <si>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</si>
  <si>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</si>
  <si>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</si>
  <si>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</si>
  <si>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</si>
  <si>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</si>
  <si>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</si>
  <si>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</si>
  <si>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</si>
  <si>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</si>
  <si>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</si>
  <si>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</si>
  <si>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</si>
  <si>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</si>
  <si>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</si>
  <si>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</si>
  <si>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</si>
  <si>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</si>
  <si>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</si>
  <si>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</si>
  <si>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</si>
  <si>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</si>
  <si>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</si>
  <si>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</si>
  <si>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</si>
  <si>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</si>
  <si>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</si>
  <si>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</si>
  <si>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</si>
  <si>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</si>
  <si>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</si>
  <si>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</si>
  <si>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</si>
  <si>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</si>
  <si>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</si>
  <si>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</si>
  <si>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</si>
  <si>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</si>
  <si>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</si>
  <si>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</si>
  <si>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</si>
  <si>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</si>
  <si>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</si>
  <si>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</si>
  <si>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</si>
  <si>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</si>
  <si>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</si>
  <si>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</si>
  <si>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</si>
  <si>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</si>
  <si>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</si>
  <si>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</si>
  <si>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</si>
  <si>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</si>
  <si>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</si>
  <si>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</si>
  <si>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</si>
  <si>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</si>
  <si>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</si>
  <si>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</si>
  <si>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</si>
  <si>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</si>
  <si>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</si>
  <si>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</si>
  <si>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</si>
  <si>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</si>
  <si>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</si>
  <si>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</si>
  <si>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</si>
  <si>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</si>
  <si>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</si>
  <si>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</si>
  <si>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</si>
  <si>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</si>
  <si>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</si>
  <si>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</si>
  <si>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</si>
  <si>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</si>
  <si>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</si>
  <si>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</si>
  <si>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</si>
  <si>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</si>
  <si>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</si>
  <si>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</si>
  <si>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</si>
  <si>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</si>
  <si>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</si>
  <si>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</si>
  <si>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</si>
  <si>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</si>
  <si>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</si>
  <si>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</si>
  <si>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</si>
  <si>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</si>
  <si>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</si>
  <si>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</si>
  <si>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</si>
  <si>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</si>
  <si>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</si>
  <si>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</si>
  <si>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</si>
  <si>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</si>
  <si>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</si>
  <si>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</si>
  <si>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</si>
  <si>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</si>
  <si>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</si>
  <si>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</si>
  <si>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</si>
  <si>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</si>
  <si>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</si>
  <si>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</si>
  <si>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</si>
  <si>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</si>
  <si>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</si>
  <si>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</si>
  <si>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</si>
  <si>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</si>
  <si>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</si>
  <si>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</si>
  <si>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</si>
  <si>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</si>
  <si>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</si>
  <si>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</si>
  <si>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</si>
  <si>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</si>
  <si>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</si>
  <si>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</si>
  <si>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</si>
  <si>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</si>
  <si>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</si>
  <si>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</si>
  <si>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</si>
  <si>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</si>
  <si>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</si>
  <si>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</si>
  <si>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</si>
  <si>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</si>
  <si>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</si>
  <si>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</si>
  <si>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</si>
  <si>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</si>
  <si>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</si>
  <si>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</si>
  <si>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</si>
  <si>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</si>
  <si>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</si>
  <si>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</si>
  <si>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</si>
  <si>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</si>
  <si>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</si>
  <si>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</si>
  <si>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</si>
  <si>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</si>
  <si>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</si>
  <si>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</si>
  <si>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</si>
  <si>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</si>
  <si>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</si>
  <si>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</si>
  <si>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</si>
  <si>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</si>
  <si>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</si>
  <si>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</si>
  <si>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</si>
  <si>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</si>
  <si>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</si>
  <si>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</si>
  <si>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</si>
  <si>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</si>
  <si>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</si>
  <si>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</si>
  <si>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</si>
  <si>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</si>
  <si>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</si>
  <si>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</si>
  <si>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</si>
  <si>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</si>
  <si>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</si>
  <si>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</si>
  <si>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</si>
  <si>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</si>
  <si>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</si>
  <si>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</si>
  <si>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</si>
  <si>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</si>
  <si>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</si>
  <si>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</si>
  <si>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</si>
  <si>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</si>
  <si>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</si>
  <si>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</si>
  <si>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</si>
  <si>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</si>
  <si>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</si>
  <si>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</si>
  <si>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</si>
  <si>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</si>
  <si>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</si>
  <si>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</si>
  <si>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</si>
  <si>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</si>
  <si>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</si>
  <si>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</si>
  <si>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</si>
  <si>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</si>
  <si>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</si>
  <si>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</si>
  <si>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</si>
  <si>
    <t>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</si>
</sst>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7">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 fillId="8" borderId="0" xfId="0" applyFont="1" applyFill="1" applyAlignment="1">
      <alignment horizontal="center"/>
    </xf>
    <xf numFmtId="167" fontId="0" fillId="0" borderId="0" xfId="0" applyNumberFormat="1" applyFill="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2" xfId="0" applyNumberFormat="1" applyBorder="1" applyAlignment="1">
      <alignment horizontal="center"/>
    </xf>
    <xf numFmtId="168" fontId="0" fillId="0" borderId="23"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68" fontId="0" fillId="0" borderId="11" xfId="0" applyNumberFormat="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0" fontId="4" fillId="16" borderId="1" xfId="0" applyFont="1" applyFill="1" applyBorder="1" applyAlignment="1">
      <alignment horizontal="center"/>
    </xf>
    <xf numFmtId="168" fontId="0" fillId="0" borderId="9"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30" xfId="0" applyNumberFormat="1" applyBorder="1" applyAlignment="1">
      <alignment horizontal="center"/>
    </xf>
    <xf numFmtId="168" fontId="0" fillId="0" borderId="1" xfId="0" applyNumberFormat="1" applyBorder="1" applyAlignment="1">
      <alignment horizontal="center"/>
    </xf>
    <xf numFmtId="168" fontId="0" fillId="0" borderId="27"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0" fontId="1" fillId="15" borderId="0" xfId="0" applyFont="1" applyFill="1" applyBorder="1" applyAlignment="1">
      <alignment horizontal="center" vertical="top"/>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cellXfs>
  <cellStyles count="6">
    <cellStyle name="Excel Built-in Normal" xfId="5" xr:uid="{00000000-0005-0000-0000-000000000000}"/>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extLst>
            <c:ext xmlns:c16="http://schemas.microsoft.com/office/drawing/2014/chart" uri="{C3380CC4-5D6E-409C-BE32-E72D297353CC}">
              <c16:uniqueId val="{00000000-1DAC-4AF2-9585-92DC13D8A6E1}"/>
            </c:ext>
          </c:extLst>
        </c:ser>
        <c:dLbls>
          <c:showLegendKey val="0"/>
          <c:showVal val="0"/>
          <c:showCatName val="0"/>
          <c:showSerName val="0"/>
          <c:showPercent val="0"/>
          <c:showBubbleSize val="0"/>
        </c:dLbls>
        <c:marker val="1"/>
        <c:smooth val="0"/>
        <c:axId val="281440448"/>
        <c:axId val="281436136"/>
      </c:lineChart>
      <c:catAx>
        <c:axId val="281440448"/>
        <c:scaling>
          <c:orientation val="minMax"/>
        </c:scaling>
        <c:delete val="0"/>
        <c:axPos val="b"/>
        <c:numFmt formatCode="0%" sourceLinked="1"/>
        <c:majorTickMark val="out"/>
        <c:minorTickMark val="none"/>
        <c:tickLblPos val="nextTo"/>
        <c:crossAx val="281436136"/>
        <c:crosses val="autoZero"/>
        <c:auto val="1"/>
        <c:lblAlgn val="ctr"/>
        <c:lblOffset val="100"/>
        <c:noMultiLvlLbl val="0"/>
      </c:catAx>
      <c:valAx>
        <c:axId val="281436136"/>
        <c:scaling>
          <c:orientation val="minMax"/>
          <c:max val="2"/>
        </c:scaling>
        <c:delete val="1"/>
        <c:axPos val="l"/>
        <c:majorGridlines/>
        <c:numFmt formatCode="General" sourceLinked="1"/>
        <c:majorTickMark val="out"/>
        <c:minorTickMark val="none"/>
        <c:tickLblPos val="none"/>
        <c:crossAx val="28144044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extLst>
            <c:ext xmlns:c16="http://schemas.microsoft.com/office/drawing/2014/chart" uri="{C3380CC4-5D6E-409C-BE32-E72D297353CC}">
              <c16:uniqueId val="{00000000-D5FB-4AFF-9404-5B89E3C1A18D}"/>
            </c:ext>
          </c:extLst>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extLst>
            <c:ext xmlns:c16="http://schemas.microsoft.com/office/drawing/2014/chart" uri="{C3380CC4-5D6E-409C-BE32-E72D297353CC}">
              <c16:uniqueId val="{00000001-D5FB-4AFF-9404-5B89E3C1A18D}"/>
            </c:ext>
          </c:extLst>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extLst>
            <c:ext xmlns:c16="http://schemas.microsoft.com/office/drawing/2014/chart" uri="{C3380CC4-5D6E-409C-BE32-E72D297353CC}">
              <c16:uniqueId val="{00000002-D5FB-4AFF-9404-5B89E3C1A18D}"/>
            </c:ext>
          </c:extLst>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extLst>
            <c:ext xmlns:c16="http://schemas.microsoft.com/office/drawing/2014/chart" uri="{C3380CC4-5D6E-409C-BE32-E72D297353CC}">
              <c16:uniqueId val="{00000003-D5FB-4AFF-9404-5B89E3C1A18D}"/>
            </c:ext>
          </c:extLst>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extLst>
            <c:ext xmlns:c16="http://schemas.microsoft.com/office/drawing/2014/chart" uri="{C3380CC4-5D6E-409C-BE32-E72D297353CC}">
              <c16:uniqueId val="{00000004-D5FB-4AFF-9404-5B89E3C1A18D}"/>
            </c:ext>
          </c:extLst>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extLst>
            <c:ext xmlns:c16="http://schemas.microsoft.com/office/drawing/2014/chart" uri="{C3380CC4-5D6E-409C-BE32-E72D297353CC}">
              <c16:uniqueId val="{00000005-D5FB-4AFF-9404-5B89E3C1A18D}"/>
            </c:ext>
          </c:extLst>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extLst>
            <c:ext xmlns:c16="http://schemas.microsoft.com/office/drawing/2014/chart" uri="{C3380CC4-5D6E-409C-BE32-E72D297353CC}">
              <c16:uniqueId val="{00000006-D5FB-4AFF-9404-5B89E3C1A18D}"/>
            </c:ext>
          </c:extLst>
        </c:ser>
        <c:dLbls>
          <c:showLegendKey val="0"/>
          <c:showVal val="0"/>
          <c:showCatName val="0"/>
          <c:showSerName val="0"/>
          <c:showPercent val="0"/>
          <c:showBubbleSize val="0"/>
        </c:dLbls>
        <c:gapWidth val="150"/>
        <c:overlap val="100"/>
        <c:axId val="281438488"/>
        <c:axId val="281438880"/>
      </c:barChart>
      <c:catAx>
        <c:axId val="281438488"/>
        <c:scaling>
          <c:orientation val="minMax"/>
        </c:scaling>
        <c:delete val="0"/>
        <c:axPos val="b"/>
        <c:numFmt formatCode="General" sourceLinked="0"/>
        <c:majorTickMark val="out"/>
        <c:minorTickMark val="none"/>
        <c:tickLblPos val="nextTo"/>
        <c:crossAx val="281438880"/>
        <c:crosses val="autoZero"/>
        <c:auto val="1"/>
        <c:lblAlgn val="ctr"/>
        <c:lblOffset val="100"/>
        <c:noMultiLvlLbl val="0"/>
      </c:catAx>
      <c:valAx>
        <c:axId val="281438880"/>
        <c:scaling>
          <c:orientation val="minMax"/>
        </c:scaling>
        <c:delete val="0"/>
        <c:axPos val="l"/>
        <c:majorGridlines/>
        <c:numFmt formatCode="_-* #,##0\ [$€-C0A]_-;\-* #,##0\ [$€-C0A]_-;_-* &quot;-&quot;??\ [$€-C0A]_-;_-@_-" sourceLinked="1"/>
        <c:majorTickMark val="out"/>
        <c:minorTickMark val="none"/>
        <c:tickLblPos val="nextTo"/>
        <c:crossAx val="281438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extLst>
            <c:ext xmlns:c16="http://schemas.microsoft.com/office/drawing/2014/chart" uri="{C3380CC4-5D6E-409C-BE32-E72D297353CC}">
              <c16:uniqueId val="{00000000-567A-4A91-B37C-B55B03198142}"/>
            </c:ext>
          </c:extLst>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extLst>
            <c:ext xmlns:c16="http://schemas.microsoft.com/office/drawing/2014/chart" uri="{C3380CC4-5D6E-409C-BE32-E72D297353CC}">
              <c16:uniqueId val="{00000001-567A-4A91-B37C-B55B03198142}"/>
            </c:ext>
          </c:extLst>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extLst>
            <c:ext xmlns:c16="http://schemas.microsoft.com/office/drawing/2014/chart" uri="{C3380CC4-5D6E-409C-BE32-E72D297353CC}">
              <c16:uniqueId val="{00000002-567A-4A91-B37C-B55B03198142}"/>
            </c:ext>
          </c:extLst>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extLst>
            <c:ext xmlns:c16="http://schemas.microsoft.com/office/drawing/2014/chart" uri="{C3380CC4-5D6E-409C-BE32-E72D297353CC}">
              <c16:uniqueId val="{00000003-567A-4A91-B37C-B55B03198142}"/>
            </c:ext>
          </c:extLst>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extLst>
            <c:ext xmlns:c16="http://schemas.microsoft.com/office/drawing/2014/chart" uri="{C3380CC4-5D6E-409C-BE32-E72D297353CC}">
              <c16:uniqueId val="{00000004-567A-4A91-B37C-B55B03198142}"/>
            </c:ext>
          </c:extLst>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extLst>
            <c:ext xmlns:c16="http://schemas.microsoft.com/office/drawing/2014/chart" uri="{C3380CC4-5D6E-409C-BE32-E72D297353CC}">
              <c16:uniqueId val="{00000005-567A-4A91-B37C-B55B03198142}"/>
            </c:ext>
          </c:extLst>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extLst>
            <c:ext xmlns:c16="http://schemas.microsoft.com/office/drawing/2014/chart" uri="{C3380CC4-5D6E-409C-BE32-E72D297353CC}">
              <c16:uniqueId val="{00000006-567A-4A91-B37C-B55B03198142}"/>
            </c:ext>
          </c:extLst>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extLst>
            <c:ext xmlns:c16="http://schemas.microsoft.com/office/drawing/2014/chart" uri="{C3380CC4-5D6E-409C-BE32-E72D297353CC}">
              <c16:uniqueId val="{00000007-567A-4A91-B37C-B55B03198142}"/>
            </c:ext>
          </c:extLst>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extLst>
            <c:ext xmlns:c16="http://schemas.microsoft.com/office/drawing/2014/chart" uri="{C3380CC4-5D6E-409C-BE32-E72D297353CC}">
              <c16:uniqueId val="{00000008-567A-4A91-B37C-B55B03198142}"/>
            </c:ext>
          </c:extLst>
        </c:ser>
        <c:dLbls>
          <c:showLegendKey val="0"/>
          <c:showVal val="0"/>
          <c:showCatName val="0"/>
          <c:showSerName val="0"/>
          <c:showPercent val="0"/>
          <c:showBubbleSize val="0"/>
        </c:dLbls>
        <c:gapWidth val="150"/>
        <c:overlap val="100"/>
        <c:axId val="281439664"/>
        <c:axId val="281434960"/>
      </c:barChart>
      <c:catAx>
        <c:axId val="281439664"/>
        <c:scaling>
          <c:orientation val="minMax"/>
        </c:scaling>
        <c:delete val="0"/>
        <c:axPos val="b"/>
        <c:numFmt formatCode="General" sourceLinked="0"/>
        <c:majorTickMark val="out"/>
        <c:minorTickMark val="none"/>
        <c:tickLblPos val="nextTo"/>
        <c:crossAx val="281434960"/>
        <c:crosses val="autoZero"/>
        <c:auto val="1"/>
        <c:lblAlgn val="ctr"/>
        <c:lblOffset val="100"/>
        <c:noMultiLvlLbl val="0"/>
      </c:catAx>
      <c:valAx>
        <c:axId val="281434960"/>
        <c:scaling>
          <c:orientation val="minMax"/>
        </c:scaling>
        <c:delete val="0"/>
        <c:axPos val="l"/>
        <c:majorGridlines/>
        <c:numFmt formatCode="_-* #,##0\ [$€-C0A]_-;\-* #,##0\ [$€-C0A]_-;_-* &quot;-&quot;??\ [$€-C0A]_-;_-@_-" sourceLinked="1"/>
        <c:majorTickMark val="out"/>
        <c:minorTickMark val="none"/>
        <c:tickLblPos val="nextTo"/>
        <c:crossAx val="2814396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extLst>
            <c:ext xmlns:c16="http://schemas.microsoft.com/office/drawing/2014/chart" uri="{C3380CC4-5D6E-409C-BE32-E72D297353CC}">
              <c16:uniqueId val="{00000000-FE26-4A0C-838D-205C2932DD95}"/>
            </c:ext>
          </c:extLst>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extLst>
            <c:ext xmlns:c16="http://schemas.microsoft.com/office/drawing/2014/chart" uri="{C3380CC4-5D6E-409C-BE32-E72D297353CC}">
              <c16:uniqueId val="{00000001-FE26-4A0C-838D-205C2932DD95}"/>
            </c:ext>
          </c:extLst>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extLst>
            <c:ext xmlns:c16="http://schemas.microsoft.com/office/drawing/2014/chart" uri="{C3380CC4-5D6E-409C-BE32-E72D297353CC}">
              <c16:uniqueId val="{00000002-FE26-4A0C-838D-205C2932DD95}"/>
            </c:ext>
          </c:extLst>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extLst>
            <c:ext xmlns:c16="http://schemas.microsoft.com/office/drawing/2014/chart" uri="{C3380CC4-5D6E-409C-BE32-E72D297353CC}">
              <c16:uniqueId val="{00000003-FE26-4A0C-838D-205C2932DD95}"/>
            </c:ext>
          </c:extLst>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extLst>
            <c:ext xmlns:c16="http://schemas.microsoft.com/office/drawing/2014/chart" uri="{C3380CC4-5D6E-409C-BE32-E72D297353CC}">
              <c16:uniqueId val="{00000004-FE26-4A0C-838D-205C2932DD95}"/>
            </c:ext>
          </c:extLst>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extLst>
            <c:ext xmlns:c16="http://schemas.microsoft.com/office/drawing/2014/chart" uri="{C3380CC4-5D6E-409C-BE32-E72D297353CC}">
              <c16:uniqueId val="{00000005-FE26-4A0C-838D-205C2932DD95}"/>
            </c:ext>
          </c:extLst>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extLst>
            <c:ext xmlns:c16="http://schemas.microsoft.com/office/drawing/2014/chart" uri="{C3380CC4-5D6E-409C-BE32-E72D297353CC}">
              <c16:uniqueId val="{00000006-FE26-4A0C-838D-205C2932DD95}"/>
            </c:ext>
          </c:extLst>
        </c:ser>
        <c:dLbls>
          <c:showLegendKey val="0"/>
          <c:showVal val="0"/>
          <c:showCatName val="0"/>
          <c:showSerName val="0"/>
          <c:showPercent val="0"/>
          <c:showBubbleSize val="0"/>
        </c:dLbls>
        <c:gapWidth val="150"/>
        <c:overlap val="100"/>
        <c:axId val="287100032"/>
        <c:axId val="287097680"/>
      </c:barChart>
      <c:catAx>
        <c:axId val="287100032"/>
        <c:scaling>
          <c:orientation val="minMax"/>
        </c:scaling>
        <c:delete val="0"/>
        <c:axPos val="b"/>
        <c:numFmt formatCode="General" sourceLinked="0"/>
        <c:majorTickMark val="out"/>
        <c:minorTickMark val="none"/>
        <c:tickLblPos val="nextTo"/>
        <c:crossAx val="287097680"/>
        <c:crosses val="autoZero"/>
        <c:auto val="1"/>
        <c:lblAlgn val="ctr"/>
        <c:lblOffset val="100"/>
        <c:noMultiLvlLbl val="0"/>
      </c:catAx>
      <c:valAx>
        <c:axId val="287097680"/>
        <c:scaling>
          <c:orientation val="minMax"/>
        </c:scaling>
        <c:delete val="0"/>
        <c:axPos val="l"/>
        <c:majorGridlines/>
        <c:numFmt formatCode="_-* #,##0\ [$€-C0A]_-;\-* #,##0\ [$€-C0A]_-;_-* &quot;-&quot;??\ [$€-C0A]_-;_-@_-" sourceLinked="1"/>
        <c:majorTickMark val="out"/>
        <c:minorTickMark val="none"/>
        <c:tickLblPos val="nextTo"/>
        <c:crossAx val="2871000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extLst>
            <c:ext xmlns:c16="http://schemas.microsoft.com/office/drawing/2014/chart" uri="{C3380CC4-5D6E-409C-BE32-E72D297353CC}">
              <c16:uniqueId val="{00000000-41D8-4F5A-87CE-0A85AF8B6369}"/>
            </c:ext>
          </c:extLst>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extLst>
            <c:ext xmlns:c16="http://schemas.microsoft.com/office/drawing/2014/chart" uri="{C3380CC4-5D6E-409C-BE32-E72D297353CC}">
              <c16:uniqueId val="{00000001-41D8-4F5A-87CE-0A85AF8B6369}"/>
            </c:ext>
          </c:extLst>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extLst>
            <c:ext xmlns:c16="http://schemas.microsoft.com/office/drawing/2014/chart" uri="{C3380CC4-5D6E-409C-BE32-E72D297353CC}">
              <c16:uniqueId val="{00000002-41D8-4F5A-87CE-0A85AF8B6369}"/>
            </c:ext>
          </c:extLst>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extLst>
            <c:ext xmlns:c16="http://schemas.microsoft.com/office/drawing/2014/chart" uri="{C3380CC4-5D6E-409C-BE32-E72D297353CC}">
              <c16:uniqueId val="{00000003-41D8-4F5A-87CE-0A85AF8B6369}"/>
            </c:ext>
          </c:extLst>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extLst>
            <c:ext xmlns:c16="http://schemas.microsoft.com/office/drawing/2014/chart" uri="{C3380CC4-5D6E-409C-BE32-E72D297353CC}">
              <c16:uniqueId val="{00000004-41D8-4F5A-87CE-0A85AF8B6369}"/>
            </c:ext>
          </c:extLst>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extLst>
            <c:ext xmlns:c16="http://schemas.microsoft.com/office/drawing/2014/chart" uri="{C3380CC4-5D6E-409C-BE32-E72D297353CC}">
              <c16:uniqueId val="{00000005-41D8-4F5A-87CE-0A85AF8B6369}"/>
            </c:ext>
          </c:extLst>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extLst>
            <c:ext xmlns:c16="http://schemas.microsoft.com/office/drawing/2014/chart" uri="{C3380CC4-5D6E-409C-BE32-E72D297353CC}">
              <c16:uniqueId val="{00000006-41D8-4F5A-87CE-0A85AF8B6369}"/>
            </c:ext>
          </c:extLst>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extLst>
            <c:ext xmlns:c16="http://schemas.microsoft.com/office/drawing/2014/chart" uri="{C3380CC4-5D6E-409C-BE32-E72D297353CC}">
              <c16:uniqueId val="{00000007-41D8-4F5A-87CE-0A85AF8B6369}"/>
            </c:ext>
          </c:extLst>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extLst>
            <c:ext xmlns:c16="http://schemas.microsoft.com/office/drawing/2014/chart" uri="{C3380CC4-5D6E-409C-BE32-E72D297353CC}">
              <c16:uniqueId val="{00000008-41D8-4F5A-87CE-0A85AF8B6369}"/>
            </c:ext>
          </c:extLst>
        </c:ser>
        <c:dLbls>
          <c:showLegendKey val="0"/>
          <c:showVal val="0"/>
          <c:showCatName val="0"/>
          <c:showSerName val="0"/>
          <c:showPercent val="0"/>
          <c:showBubbleSize val="0"/>
        </c:dLbls>
        <c:gapWidth val="150"/>
        <c:overlap val="100"/>
        <c:axId val="287099640"/>
        <c:axId val="287100424"/>
      </c:barChart>
      <c:catAx>
        <c:axId val="287099640"/>
        <c:scaling>
          <c:orientation val="minMax"/>
        </c:scaling>
        <c:delete val="0"/>
        <c:axPos val="b"/>
        <c:numFmt formatCode="General" sourceLinked="0"/>
        <c:majorTickMark val="out"/>
        <c:minorTickMark val="none"/>
        <c:tickLblPos val="nextTo"/>
        <c:crossAx val="287100424"/>
        <c:crosses val="autoZero"/>
        <c:auto val="1"/>
        <c:lblAlgn val="ctr"/>
        <c:lblOffset val="100"/>
        <c:noMultiLvlLbl val="0"/>
      </c:catAx>
      <c:valAx>
        <c:axId val="287100424"/>
        <c:scaling>
          <c:orientation val="minMax"/>
        </c:scaling>
        <c:delete val="0"/>
        <c:axPos val="l"/>
        <c:majorGridlines/>
        <c:numFmt formatCode="_-* #,##0\ [$€-C0A]_-;\-* #,##0\ [$€-C0A]_-;_-* &quot;-&quot;??\ [$€-C0A]_-;_-@_-" sourceLinked="1"/>
        <c:majorTickMark val="out"/>
        <c:minorTickMark val="none"/>
        <c:tickLblPos val="nextTo"/>
        <c:crossAx val="28709964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73D0-4565-8763-ABA8EFC5F1F0}"/>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73D0-4565-8763-ABA8EFC5F1F0}"/>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73D0-4565-8763-ABA8EFC5F1F0}"/>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73D0-4565-8763-ABA8EFC5F1F0}"/>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73D0-4565-8763-ABA8EFC5F1F0}"/>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73D0-4565-8763-ABA8EFC5F1F0}"/>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73D0-4565-8763-ABA8EFC5F1F0}"/>
            </c:ext>
          </c:extLst>
        </c:ser>
        <c:dLbls>
          <c:showLegendKey val="0"/>
          <c:showVal val="0"/>
          <c:showCatName val="0"/>
          <c:showSerName val="0"/>
          <c:showPercent val="0"/>
          <c:showBubbleSize val="0"/>
        </c:dLbls>
        <c:gapWidth val="150"/>
        <c:overlap val="100"/>
        <c:axId val="287101600"/>
        <c:axId val="287096504"/>
      </c:barChart>
      <c:catAx>
        <c:axId val="287101600"/>
        <c:scaling>
          <c:orientation val="minMax"/>
        </c:scaling>
        <c:delete val="0"/>
        <c:axPos val="b"/>
        <c:numFmt formatCode="General" sourceLinked="0"/>
        <c:majorTickMark val="out"/>
        <c:minorTickMark val="none"/>
        <c:tickLblPos val="nextTo"/>
        <c:crossAx val="287096504"/>
        <c:crosses val="autoZero"/>
        <c:auto val="1"/>
        <c:lblAlgn val="ctr"/>
        <c:lblOffset val="100"/>
        <c:noMultiLvlLbl val="0"/>
      </c:catAx>
      <c:valAx>
        <c:axId val="287096504"/>
        <c:scaling>
          <c:orientation val="minMax"/>
        </c:scaling>
        <c:delete val="0"/>
        <c:axPos val="l"/>
        <c:majorGridlines/>
        <c:numFmt formatCode="_-* #,##0\ [$€-C0A]_-;\-* #,##0\ [$€-C0A]_-;_-* &quot;-&quot;??\ [$€-C0A]_-;_-@_-" sourceLinked="1"/>
        <c:majorTickMark val="out"/>
        <c:minorTickMark val="none"/>
        <c:tickLblPos val="nextTo"/>
        <c:crossAx val="2871016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B7AE-4232-9372-16FE2868285B}"/>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B7AE-4232-9372-16FE2868285B}"/>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B7AE-4232-9372-16FE2868285B}"/>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B7AE-4232-9372-16FE2868285B}"/>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B7AE-4232-9372-16FE2868285B}"/>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B7AE-4232-9372-16FE2868285B}"/>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B7AE-4232-9372-16FE2868285B}"/>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B7AE-4232-9372-16FE2868285B}"/>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B7AE-4232-9372-16FE2868285B}"/>
            </c:ext>
          </c:extLst>
        </c:ser>
        <c:dLbls>
          <c:showLegendKey val="0"/>
          <c:showVal val="0"/>
          <c:showCatName val="0"/>
          <c:showSerName val="0"/>
          <c:showPercent val="0"/>
          <c:showBubbleSize val="0"/>
        </c:dLbls>
        <c:gapWidth val="150"/>
        <c:overlap val="100"/>
        <c:axId val="287098464"/>
        <c:axId val="287099248"/>
      </c:barChart>
      <c:catAx>
        <c:axId val="287098464"/>
        <c:scaling>
          <c:orientation val="minMax"/>
        </c:scaling>
        <c:delete val="0"/>
        <c:axPos val="b"/>
        <c:numFmt formatCode="General" sourceLinked="0"/>
        <c:majorTickMark val="out"/>
        <c:minorTickMark val="none"/>
        <c:tickLblPos val="nextTo"/>
        <c:crossAx val="287099248"/>
        <c:crosses val="autoZero"/>
        <c:auto val="1"/>
        <c:lblAlgn val="ctr"/>
        <c:lblOffset val="100"/>
        <c:noMultiLvlLbl val="0"/>
      </c:catAx>
      <c:valAx>
        <c:axId val="287099248"/>
        <c:scaling>
          <c:orientation val="minMax"/>
        </c:scaling>
        <c:delete val="0"/>
        <c:axPos val="l"/>
        <c:majorGridlines/>
        <c:numFmt formatCode="_-* #,##0\ [$€-C0A]_-;\-* #,##0\ [$€-C0A]_-;_-* &quot;-&quot;??\ [$€-C0A]_-;_-@_-" sourceLinked="1"/>
        <c:majorTickMark val="out"/>
        <c:minorTickMark val="none"/>
        <c:tickLblPos val="nextTo"/>
        <c:crossAx val="2870984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4AFA-4B1B-8F9F-9EFF81CDD1E0}"/>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4AFA-4B1B-8F9F-9EFF81CDD1E0}"/>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4AFA-4B1B-8F9F-9EFF81CDD1E0}"/>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4AFA-4B1B-8F9F-9EFF81CDD1E0}"/>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4AFA-4B1B-8F9F-9EFF81CDD1E0}"/>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4AFA-4B1B-8F9F-9EFF81CDD1E0}"/>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4AFA-4B1B-8F9F-9EFF81CDD1E0}"/>
            </c:ext>
          </c:extLst>
        </c:ser>
        <c:dLbls>
          <c:showLegendKey val="0"/>
          <c:showVal val="0"/>
          <c:showCatName val="0"/>
          <c:showSerName val="0"/>
          <c:showPercent val="0"/>
          <c:showBubbleSize val="0"/>
        </c:dLbls>
        <c:gapWidth val="150"/>
        <c:overlap val="100"/>
        <c:axId val="287101208"/>
        <c:axId val="287102384"/>
      </c:barChart>
      <c:catAx>
        <c:axId val="287101208"/>
        <c:scaling>
          <c:orientation val="minMax"/>
        </c:scaling>
        <c:delete val="0"/>
        <c:axPos val="b"/>
        <c:numFmt formatCode="General" sourceLinked="0"/>
        <c:majorTickMark val="out"/>
        <c:minorTickMark val="none"/>
        <c:tickLblPos val="nextTo"/>
        <c:crossAx val="287102384"/>
        <c:crosses val="autoZero"/>
        <c:auto val="1"/>
        <c:lblAlgn val="ctr"/>
        <c:lblOffset val="100"/>
        <c:noMultiLvlLbl val="0"/>
      </c:catAx>
      <c:valAx>
        <c:axId val="287102384"/>
        <c:scaling>
          <c:orientation val="minMax"/>
        </c:scaling>
        <c:delete val="0"/>
        <c:axPos val="l"/>
        <c:majorGridlines/>
        <c:numFmt formatCode="_-* #,##0\ [$€-C0A]_-;\-* #,##0\ [$€-C0A]_-;_-* &quot;-&quot;??\ [$€-C0A]_-;_-@_-" sourceLinked="1"/>
        <c:majorTickMark val="out"/>
        <c:minorTickMark val="none"/>
        <c:tickLblPos val="nextTo"/>
        <c:crossAx val="28710120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4432-4783-B58E-780D7F27942E}"/>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4432-4783-B58E-780D7F27942E}"/>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4432-4783-B58E-780D7F27942E}"/>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4432-4783-B58E-780D7F27942E}"/>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4432-4783-B58E-780D7F27942E}"/>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4432-4783-B58E-780D7F27942E}"/>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4432-4783-B58E-780D7F27942E}"/>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4432-4783-B58E-780D7F27942E}"/>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4432-4783-B58E-780D7F27942E}"/>
            </c:ext>
          </c:extLst>
        </c:ser>
        <c:dLbls>
          <c:showLegendKey val="0"/>
          <c:showVal val="0"/>
          <c:showCatName val="0"/>
          <c:showSerName val="0"/>
          <c:showPercent val="0"/>
          <c:showBubbleSize val="0"/>
        </c:dLbls>
        <c:gapWidth val="150"/>
        <c:overlap val="100"/>
        <c:axId val="287102776"/>
        <c:axId val="287095720"/>
      </c:barChart>
      <c:catAx>
        <c:axId val="287102776"/>
        <c:scaling>
          <c:orientation val="minMax"/>
        </c:scaling>
        <c:delete val="0"/>
        <c:axPos val="b"/>
        <c:numFmt formatCode="General" sourceLinked="0"/>
        <c:majorTickMark val="out"/>
        <c:minorTickMark val="none"/>
        <c:tickLblPos val="nextTo"/>
        <c:crossAx val="287095720"/>
        <c:crosses val="autoZero"/>
        <c:auto val="1"/>
        <c:lblAlgn val="ctr"/>
        <c:lblOffset val="100"/>
        <c:noMultiLvlLbl val="0"/>
      </c:catAx>
      <c:valAx>
        <c:axId val="287095720"/>
        <c:scaling>
          <c:orientation val="minMax"/>
        </c:scaling>
        <c:delete val="0"/>
        <c:axPos val="l"/>
        <c:majorGridlines/>
        <c:numFmt formatCode="_-* #,##0\ [$€-C0A]_-;\-* #,##0\ [$€-C0A]_-;_-* &quot;-&quot;??\ [$€-C0A]_-;_-@_-" sourceLinked="1"/>
        <c:majorTickMark val="out"/>
        <c:minorTickMark val="none"/>
        <c:tickLblPos val="nextTo"/>
        <c:crossAx val="28710277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C91A-4396-A781-3D4C73A9B1FB}"/>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C91A-4396-A781-3D4C73A9B1FB}"/>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C91A-4396-A781-3D4C73A9B1FB}"/>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C91A-4396-A781-3D4C73A9B1FB}"/>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C91A-4396-A781-3D4C73A9B1FB}"/>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C91A-4396-A781-3D4C73A9B1FB}"/>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C91A-4396-A781-3D4C73A9B1FB}"/>
            </c:ext>
          </c:extLst>
        </c:ser>
        <c:dLbls>
          <c:showLegendKey val="0"/>
          <c:showVal val="0"/>
          <c:showCatName val="0"/>
          <c:showSerName val="0"/>
          <c:showPercent val="0"/>
          <c:showBubbleSize val="0"/>
        </c:dLbls>
        <c:gapWidth val="150"/>
        <c:overlap val="100"/>
        <c:axId val="287096896"/>
        <c:axId val="289009056"/>
      </c:barChart>
      <c:catAx>
        <c:axId val="287096896"/>
        <c:scaling>
          <c:orientation val="minMax"/>
        </c:scaling>
        <c:delete val="0"/>
        <c:axPos val="b"/>
        <c:numFmt formatCode="General" sourceLinked="0"/>
        <c:majorTickMark val="out"/>
        <c:minorTickMark val="none"/>
        <c:tickLblPos val="nextTo"/>
        <c:crossAx val="289009056"/>
        <c:crosses val="autoZero"/>
        <c:auto val="1"/>
        <c:lblAlgn val="ctr"/>
        <c:lblOffset val="100"/>
        <c:noMultiLvlLbl val="0"/>
      </c:catAx>
      <c:valAx>
        <c:axId val="289009056"/>
        <c:scaling>
          <c:orientation val="minMax"/>
        </c:scaling>
        <c:delete val="0"/>
        <c:axPos val="l"/>
        <c:majorGridlines/>
        <c:numFmt formatCode="_-* #,##0\ [$€-C0A]_-;\-* #,##0\ [$€-C0A]_-;_-* &quot;-&quot;??\ [$€-C0A]_-;_-@_-" sourceLinked="1"/>
        <c:majorTickMark val="out"/>
        <c:minorTickMark val="none"/>
        <c:tickLblPos val="nextTo"/>
        <c:crossAx val="28709689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DAD1-4EF5-B047-033B846EDA8C}"/>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DAD1-4EF5-B047-033B846EDA8C}"/>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DAD1-4EF5-B047-033B846EDA8C}"/>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DAD1-4EF5-B047-033B846EDA8C}"/>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DAD1-4EF5-B047-033B846EDA8C}"/>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DAD1-4EF5-B047-033B846EDA8C}"/>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DAD1-4EF5-B047-033B846EDA8C}"/>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DAD1-4EF5-B047-033B846EDA8C}"/>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DAD1-4EF5-B047-033B846EDA8C}"/>
            </c:ext>
          </c:extLst>
        </c:ser>
        <c:dLbls>
          <c:showLegendKey val="0"/>
          <c:showVal val="0"/>
          <c:showCatName val="0"/>
          <c:showSerName val="0"/>
          <c:showPercent val="0"/>
          <c:showBubbleSize val="0"/>
        </c:dLbls>
        <c:gapWidth val="150"/>
        <c:overlap val="100"/>
        <c:axId val="289011016"/>
        <c:axId val="289006704"/>
      </c:barChart>
      <c:catAx>
        <c:axId val="289011016"/>
        <c:scaling>
          <c:orientation val="minMax"/>
        </c:scaling>
        <c:delete val="0"/>
        <c:axPos val="b"/>
        <c:numFmt formatCode="General" sourceLinked="0"/>
        <c:majorTickMark val="out"/>
        <c:minorTickMark val="none"/>
        <c:tickLblPos val="nextTo"/>
        <c:crossAx val="289006704"/>
        <c:crosses val="autoZero"/>
        <c:auto val="1"/>
        <c:lblAlgn val="ctr"/>
        <c:lblOffset val="100"/>
        <c:noMultiLvlLbl val="0"/>
      </c:catAx>
      <c:valAx>
        <c:axId val="289006704"/>
        <c:scaling>
          <c:orientation val="minMax"/>
        </c:scaling>
        <c:delete val="0"/>
        <c:axPos val="l"/>
        <c:majorGridlines/>
        <c:numFmt formatCode="_-* #,##0\ [$€-C0A]_-;\-* #,##0\ [$€-C0A]_-;_-* &quot;-&quot;??\ [$€-C0A]_-;_-@_-" sourceLinked="1"/>
        <c:majorTickMark val="out"/>
        <c:minorTickMark val="none"/>
        <c:tickLblPos val="nextTo"/>
        <c:crossAx val="2890110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9274-4ADE-BD3D-65D945502A48}"/>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9274-4ADE-BD3D-65D945502A48}"/>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9274-4ADE-BD3D-65D945502A48}"/>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9274-4ADE-BD3D-65D945502A48}"/>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9274-4ADE-BD3D-65D945502A48}"/>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9274-4ADE-BD3D-65D945502A48}"/>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9274-4ADE-BD3D-65D945502A48}"/>
            </c:ext>
          </c:extLst>
        </c:ser>
        <c:dLbls>
          <c:showLegendKey val="0"/>
          <c:showVal val="0"/>
          <c:showCatName val="0"/>
          <c:showSerName val="0"/>
          <c:showPercent val="0"/>
          <c:showBubbleSize val="0"/>
        </c:dLbls>
        <c:gapWidth val="150"/>
        <c:overlap val="100"/>
        <c:axId val="289005920"/>
        <c:axId val="289007096"/>
      </c:barChart>
      <c:catAx>
        <c:axId val="289005920"/>
        <c:scaling>
          <c:orientation val="minMax"/>
        </c:scaling>
        <c:delete val="0"/>
        <c:axPos val="b"/>
        <c:numFmt formatCode="General" sourceLinked="0"/>
        <c:majorTickMark val="out"/>
        <c:minorTickMark val="none"/>
        <c:tickLblPos val="nextTo"/>
        <c:crossAx val="289007096"/>
        <c:crosses val="autoZero"/>
        <c:auto val="1"/>
        <c:lblAlgn val="ctr"/>
        <c:lblOffset val="100"/>
        <c:noMultiLvlLbl val="0"/>
      </c:catAx>
      <c:valAx>
        <c:axId val="289007096"/>
        <c:scaling>
          <c:orientation val="minMax"/>
        </c:scaling>
        <c:delete val="0"/>
        <c:axPos val="l"/>
        <c:majorGridlines/>
        <c:numFmt formatCode="_-* #,##0\ [$€-C0A]_-;\-* #,##0\ [$€-C0A]_-;_-* &quot;-&quot;??\ [$€-C0A]_-;_-@_-" sourceLinked="1"/>
        <c:majorTickMark val="out"/>
        <c:minorTickMark val="none"/>
        <c:tickLblPos val="nextTo"/>
        <c:crossAx val="28900592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137C-401F-8E5A-57DF7BA8EB24}"/>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137C-401F-8E5A-57DF7BA8EB24}"/>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137C-401F-8E5A-57DF7BA8EB24}"/>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137C-401F-8E5A-57DF7BA8EB24}"/>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137C-401F-8E5A-57DF7BA8EB24}"/>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137C-401F-8E5A-57DF7BA8EB24}"/>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137C-401F-8E5A-57DF7BA8EB24}"/>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137C-401F-8E5A-57DF7BA8EB24}"/>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137C-401F-8E5A-57DF7BA8EB24}"/>
            </c:ext>
          </c:extLst>
        </c:ser>
        <c:dLbls>
          <c:showLegendKey val="0"/>
          <c:showVal val="0"/>
          <c:showCatName val="0"/>
          <c:showSerName val="0"/>
          <c:showPercent val="0"/>
          <c:showBubbleSize val="0"/>
        </c:dLbls>
        <c:gapWidth val="150"/>
        <c:overlap val="100"/>
        <c:axId val="289007488"/>
        <c:axId val="289008272"/>
      </c:barChart>
      <c:catAx>
        <c:axId val="289007488"/>
        <c:scaling>
          <c:orientation val="minMax"/>
        </c:scaling>
        <c:delete val="0"/>
        <c:axPos val="b"/>
        <c:numFmt formatCode="General" sourceLinked="0"/>
        <c:majorTickMark val="out"/>
        <c:minorTickMark val="none"/>
        <c:tickLblPos val="nextTo"/>
        <c:crossAx val="289008272"/>
        <c:crosses val="autoZero"/>
        <c:auto val="1"/>
        <c:lblAlgn val="ctr"/>
        <c:lblOffset val="100"/>
        <c:noMultiLvlLbl val="0"/>
      </c:catAx>
      <c:valAx>
        <c:axId val="289008272"/>
        <c:scaling>
          <c:orientation val="minMax"/>
        </c:scaling>
        <c:delete val="0"/>
        <c:axPos val="l"/>
        <c:majorGridlines/>
        <c:numFmt formatCode="_-* #,##0\ [$€-C0A]_-;\-* #,##0\ [$€-C0A]_-;_-* &quot;-&quot;??\ [$€-C0A]_-;_-@_-" sourceLinked="1"/>
        <c:majorTickMark val="out"/>
        <c:minorTickMark val="none"/>
        <c:tickLblPos val="nextTo"/>
        <c:crossAx val="289007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7604-4A2D-93A1-D8408AE035CD}"/>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7604-4A2D-93A1-D8408AE035CD}"/>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7604-4A2D-93A1-D8408AE035CD}"/>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7604-4A2D-93A1-D8408AE035CD}"/>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7604-4A2D-93A1-D8408AE035CD}"/>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7604-4A2D-93A1-D8408AE035CD}"/>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7604-4A2D-93A1-D8408AE035CD}"/>
            </c:ext>
          </c:extLst>
        </c:ser>
        <c:dLbls>
          <c:showLegendKey val="0"/>
          <c:showVal val="0"/>
          <c:showCatName val="0"/>
          <c:showSerName val="0"/>
          <c:showPercent val="0"/>
          <c:showBubbleSize val="0"/>
        </c:dLbls>
        <c:gapWidth val="150"/>
        <c:overlap val="100"/>
        <c:axId val="289005528"/>
        <c:axId val="289009840"/>
      </c:barChart>
      <c:catAx>
        <c:axId val="289005528"/>
        <c:scaling>
          <c:orientation val="minMax"/>
        </c:scaling>
        <c:delete val="0"/>
        <c:axPos val="b"/>
        <c:numFmt formatCode="General" sourceLinked="0"/>
        <c:majorTickMark val="out"/>
        <c:minorTickMark val="none"/>
        <c:tickLblPos val="nextTo"/>
        <c:crossAx val="289009840"/>
        <c:crosses val="autoZero"/>
        <c:auto val="1"/>
        <c:lblAlgn val="ctr"/>
        <c:lblOffset val="100"/>
        <c:noMultiLvlLbl val="0"/>
      </c:catAx>
      <c:valAx>
        <c:axId val="289009840"/>
        <c:scaling>
          <c:orientation val="minMax"/>
        </c:scaling>
        <c:delete val="0"/>
        <c:axPos val="l"/>
        <c:majorGridlines/>
        <c:numFmt formatCode="_-* #,##0\ [$€-C0A]_-;\-* #,##0\ [$€-C0A]_-;_-* &quot;-&quot;??\ [$€-C0A]_-;_-@_-" sourceLinked="1"/>
        <c:majorTickMark val="out"/>
        <c:minorTickMark val="none"/>
        <c:tickLblPos val="nextTo"/>
        <c:crossAx val="28900552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352B-4322-A371-3675ABFE2A3D}"/>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352B-4322-A371-3675ABFE2A3D}"/>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352B-4322-A371-3675ABFE2A3D}"/>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352B-4322-A371-3675ABFE2A3D}"/>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352B-4322-A371-3675ABFE2A3D}"/>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352B-4322-A371-3675ABFE2A3D}"/>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352B-4322-A371-3675ABFE2A3D}"/>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352B-4322-A371-3675ABFE2A3D}"/>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352B-4322-A371-3675ABFE2A3D}"/>
            </c:ext>
          </c:extLst>
        </c:ser>
        <c:dLbls>
          <c:showLegendKey val="0"/>
          <c:showVal val="0"/>
          <c:showCatName val="0"/>
          <c:showSerName val="0"/>
          <c:showPercent val="0"/>
          <c:showBubbleSize val="0"/>
        </c:dLbls>
        <c:gapWidth val="150"/>
        <c:overlap val="100"/>
        <c:axId val="289010232"/>
        <c:axId val="289011408"/>
      </c:barChart>
      <c:catAx>
        <c:axId val="289010232"/>
        <c:scaling>
          <c:orientation val="minMax"/>
        </c:scaling>
        <c:delete val="0"/>
        <c:axPos val="b"/>
        <c:numFmt formatCode="General" sourceLinked="0"/>
        <c:majorTickMark val="out"/>
        <c:minorTickMark val="none"/>
        <c:tickLblPos val="nextTo"/>
        <c:crossAx val="289011408"/>
        <c:crosses val="autoZero"/>
        <c:auto val="1"/>
        <c:lblAlgn val="ctr"/>
        <c:lblOffset val="100"/>
        <c:noMultiLvlLbl val="0"/>
      </c:catAx>
      <c:valAx>
        <c:axId val="289011408"/>
        <c:scaling>
          <c:orientation val="minMax"/>
        </c:scaling>
        <c:delete val="0"/>
        <c:axPos val="l"/>
        <c:majorGridlines/>
        <c:numFmt formatCode="_-* #,##0\ [$€-C0A]_-;\-* #,##0\ [$€-C0A]_-;_-* &quot;-&quot;??\ [$€-C0A]_-;_-@_-" sourceLinked="1"/>
        <c:majorTickMark val="out"/>
        <c:minorTickMark val="none"/>
        <c:tickLblPos val="nextTo"/>
        <c:crossAx val="2890102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extLst>
            <c:ext xmlns:c16="http://schemas.microsoft.com/office/drawing/2014/chart" uri="{C3380CC4-5D6E-409C-BE32-E72D297353CC}">
              <c16:uniqueId val="{00000000-E9C1-4220-9FDE-EEF99DDCFE84}"/>
            </c:ext>
          </c:extLst>
        </c:ser>
        <c:dLbls>
          <c:showLegendKey val="0"/>
          <c:showVal val="0"/>
          <c:showCatName val="0"/>
          <c:showSerName val="0"/>
          <c:showPercent val="0"/>
          <c:showBubbleSize val="0"/>
        </c:dLbls>
        <c:marker val="1"/>
        <c:smooth val="0"/>
        <c:axId val="289012584"/>
        <c:axId val="289853544"/>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extLst>
            <c:ext xmlns:c16="http://schemas.microsoft.com/office/drawing/2014/chart" uri="{C3380CC4-5D6E-409C-BE32-E72D297353CC}">
              <c16:uniqueId val="{00000001-E9C1-4220-9FDE-EEF99DDCFE84}"/>
            </c:ext>
          </c:extLst>
        </c:ser>
        <c:dLbls>
          <c:showLegendKey val="0"/>
          <c:showVal val="0"/>
          <c:showCatName val="0"/>
          <c:showSerName val="0"/>
          <c:showPercent val="0"/>
          <c:showBubbleSize val="0"/>
        </c:dLbls>
        <c:marker val="1"/>
        <c:smooth val="0"/>
        <c:axId val="289852368"/>
        <c:axId val="289851584"/>
      </c:lineChart>
      <c:catAx>
        <c:axId val="28901258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3544"/>
        <c:crosses val="autoZero"/>
        <c:auto val="1"/>
        <c:lblAlgn val="ctr"/>
        <c:lblOffset val="100"/>
        <c:noMultiLvlLbl val="0"/>
      </c:catAx>
      <c:valAx>
        <c:axId val="289853544"/>
        <c:scaling>
          <c:orientation val="minMax"/>
        </c:scaling>
        <c:delete val="0"/>
        <c:axPos val="l"/>
        <c:majorGridlines/>
        <c:numFmt formatCode="General" sourceLinked="1"/>
        <c:majorTickMark val="out"/>
        <c:minorTickMark val="none"/>
        <c:tickLblPos val="nextTo"/>
        <c:crossAx val="289012584"/>
        <c:crosses val="autoZero"/>
        <c:crossBetween val="between"/>
      </c:valAx>
      <c:valAx>
        <c:axId val="289851584"/>
        <c:scaling>
          <c:orientation val="minMax"/>
        </c:scaling>
        <c:delete val="0"/>
        <c:axPos val="r"/>
        <c:numFmt formatCode="0.0%" sourceLinked="1"/>
        <c:majorTickMark val="out"/>
        <c:minorTickMark val="none"/>
        <c:tickLblPos val="nextTo"/>
        <c:crossAx val="289852368"/>
        <c:crosses val="max"/>
        <c:crossBetween val="between"/>
      </c:valAx>
      <c:catAx>
        <c:axId val="289852368"/>
        <c:scaling>
          <c:orientation val="minMax"/>
        </c:scaling>
        <c:delete val="1"/>
        <c:axPos val="b"/>
        <c:numFmt formatCode="General" sourceLinked="1"/>
        <c:majorTickMark val="out"/>
        <c:minorTickMark val="none"/>
        <c:tickLblPos val="none"/>
        <c:crossAx val="289851584"/>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extLst>
            <c:ext xmlns:c16="http://schemas.microsoft.com/office/drawing/2014/chart" uri="{C3380CC4-5D6E-409C-BE32-E72D297353CC}">
              <c16:uniqueId val="{00000000-7FDB-48DA-8792-BCAD3933EBC0}"/>
            </c:ext>
          </c:extLst>
        </c:ser>
        <c:dLbls>
          <c:showLegendKey val="0"/>
          <c:showVal val="0"/>
          <c:showCatName val="0"/>
          <c:showSerName val="0"/>
          <c:showPercent val="0"/>
          <c:showBubbleSize val="0"/>
        </c:dLbls>
        <c:marker val="1"/>
        <c:smooth val="0"/>
        <c:axId val="289855504"/>
        <c:axId val="289855112"/>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extLst>
            <c:ext xmlns:c16="http://schemas.microsoft.com/office/drawing/2014/chart" uri="{C3380CC4-5D6E-409C-BE32-E72D297353CC}">
              <c16:uniqueId val="{00000001-7FDB-48DA-8792-BCAD3933EBC0}"/>
            </c:ext>
          </c:extLst>
        </c:ser>
        <c:dLbls>
          <c:showLegendKey val="0"/>
          <c:showVal val="0"/>
          <c:showCatName val="0"/>
          <c:showSerName val="0"/>
          <c:showPercent val="0"/>
          <c:showBubbleSize val="0"/>
        </c:dLbls>
        <c:marker val="1"/>
        <c:smooth val="0"/>
        <c:axId val="289849624"/>
        <c:axId val="289853936"/>
      </c:lineChart>
      <c:catAx>
        <c:axId val="28985550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5112"/>
        <c:crosses val="autoZero"/>
        <c:auto val="1"/>
        <c:lblAlgn val="ctr"/>
        <c:lblOffset val="100"/>
        <c:noMultiLvlLbl val="0"/>
      </c:catAx>
      <c:valAx>
        <c:axId val="289855112"/>
        <c:scaling>
          <c:orientation val="minMax"/>
        </c:scaling>
        <c:delete val="0"/>
        <c:axPos val="l"/>
        <c:majorGridlines/>
        <c:numFmt formatCode="General" sourceLinked="1"/>
        <c:majorTickMark val="out"/>
        <c:minorTickMark val="none"/>
        <c:tickLblPos val="nextTo"/>
        <c:crossAx val="289855504"/>
        <c:crosses val="autoZero"/>
        <c:crossBetween val="between"/>
      </c:valAx>
      <c:valAx>
        <c:axId val="289853936"/>
        <c:scaling>
          <c:orientation val="minMax"/>
        </c:scaling>
        <c:delete val="0"/>
        <c:axPos val="r"/>
        <c:numFmt formatCode="0.0%" sourceLinked="1"/>
        <c:majorTickMark val="out"/>
        <c:minorTickMark val="none"/>
        <c:tickLblPos val="nextTo"/>
        <c:crossAx val="289849624"/>
        <c:crosses val="max"/>
        <c:crossBetween val="between"/>
      </c:valAx>
      <c:catAx>
        <c:axId val="289849624"/>
        <c:scaling>
          <c:orientation val="minMax"/>
        </c:scaling>
        <c:delete val="1"/>
        <c:axPos val="b"/>
        <c:numFmt formatCode="General" sourceLinked="1"/>
        <c:majorTickMark val="out"/>
        <c:minorTickMark val="none"/>
        <c:tickLblPos val="none"/>
        <c:crossAx val="289853936"/>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extLst>
            <c:ext xmlns:c16="http://schemas.microsoft.com/office/drawing/2014/chart" uri="{C3380CC4-5D6E-409C-BE32-E72D297353CC}">
              <c16:uniqueId val="{00000000-90C9-4010-9C85-A2B82A0A0B39}"/>
            </c:ext>
          </c:extLst>
        </c:ser>
        <c:dLbls>
          <c:showLegendKey val="0"/>
          <c:showVal val="0"/>
          <c:showCatName val="0"/>
          <c:showSerName val="0"/>
          <c:showPercent val="0"/>
          <c:showBubbleSize val="0"/>
        </c:dLbls>
        <c:smooth val="0"/>
        <c:axId val="289854328"/>
        <c:axId val="289848056"/>
      </c:lineChart>
      <c:catAx>
        <c:axId val="289854328"/>
        <c:scaling>
          <c:orientation val="minMax"/>
        </c:scaling>
        <c:delete val="0"/>
        <c:axPos val="b"/>
        <c:numFmt formatCode="General" sourceLinked="1"/>
        <c:majorTickMark val="out"/>
        <c:minorTickMark val="none"/>
        <c:tickLblPos val="nextTo"/>
        <c:crossAx val="289848056"/>
        <c:crosses val="autoZero"/>
        <c:auto val="1"/>
        <c:lblAlgn val="ctr"/>
        <c:lblOffset val="100"/>
        <c:noMultiLvlLbl val="0"/>
      </c:catAx>
      <c:valAx>
        <c:axId val="289848056"/>
        <c:scaling>
          <c:orientation val="minMax"/>
          <c:max val="1"/>
        </c:scaling>
        <c:delete val="0"/>
        <c:axPos val="l"/>
        <c:majorGridlines/>
        <c:numFmt formatCode="0.0%" sourceLinked="1"/>
        <c:majorTickMark val="out"/>
        <c:minorTickMark val="none"/>
        <c:tickLblPos val="nextTo"/>
        <c:crossAx val="2898543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extLst>
            <c:ext xmlns:c16="http://schemas.microsoft.com/office/drawing/2014/chart" uri="{C3380CC4-5D6E-409C-BE32-E72D297353CC}">
              <c16:uniqueId val="{00000000-50E1-48A3-9C09-6E85E2230993}"/>
            </c:ext>
          </c:extLst>
        </c:ser>
        <c:dLbls>
          <c:showLegendKey val="0"/>
          <c:showVal val="0"/>
          <c:showCatName val="0"/>
          <c:showSerName val="0"/>
          <c:showPercent val="0"/>
          <c:showBubbleSize val="0"/>
        </c:dLbls>
        <c:smooth val="0"/>
        <c:axId val="289854720"/>
        <c:axId val="289848840"/>
      </c:lineChart>
      <c:catAx>
        <c:axId val="289854720"/>
        <c:scaling>
          <c:orientation val="minMax"/>
        </c:scaling>
        <c:delete val="0"/>
        <c:axPos val="b"/>
        <c:numFmt formatCode="General" sourceLinked="1"/>
        <c:majorTickMark val="out"/>
        <c:minorTickMark val="none"/>
        <c:tickLblPos val="nextTo"/>
        <c:crossAx val="289848840"/>
        <c:crosses val="autoZero"/>
        <c:auto val="1"/>
        <c:lblAlgn val="ctr"/>
        <c:lblOffset val="100"/>
        <c:noMultiLvlLbl val="0"/>
      </c:catAx>
      <c:valAx>
        <c:axId val="289848840"/>
        <c:scaling>
          <c:orientation val="minMax"/>
          <c:max val="1"/>
        </c:scaling>
        <c:delete val="0"/>
        <c:axPos val="l"/>
        <c:majorGridlines/>
        <c:numFmt formatCode="0.00" sourceLinked="1"/>
        <c:majorTickMark val="out"/>
        <c:minorTickMark val="none"/>
        <c:tickLblPos val="nextTo"/>
        <c:crossAx val="28985472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extLst>
            <c:ext xmlns:c16="http://schemas.microsoft.com/office/drawing/2014/chart" uri="{C3380CC4-5D6E-409C-BE32-E72D297353CC}">
              <c16:uniqueId val="{00000000-8291-411C-9145-B8ACA498B71D}"/>
            </c:ext>
          </c:extLst>
        </c:ser>
        <c:dLbls>
          <c:showLegendKey val="0"/>
          <c:showVal val="0"/>
          <c:showCatName val="0"/>
          <c:showSerName val="0"/>
          <c:showPercent val="0"/>
          <c:showBubbleSize val="0"/>
        </c:dLbls>
        <c:smooth val="0"/>
        <c:axId val="289850016"/>
        <c:axId val="289850408"/>
      </c:lineChart>
      <c:catAx>
        <c:axId val="2898500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408"/>
        <c:crosses val="autoZero"/>
        <c:auto val="1"/>
        <c:lblAlgn val="ctr"/>
        <c:lblOffset val="100"/>
        <c:noMultiLvlLbl val="0"/>
      </c:catAx>
      <c:valAx>
        <c:axId val="289850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010C0000}"/>
            </a:ext>
          </a:extLst>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2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a:extLst>
            <a:ext uri="{FF2B5EF4-FFF2-40B4-BE49-F238E27FC236}">
              <a16:creationId xmlns:a16="http://schemas.microsoft.com/office/drawing/2014/main" id="{00000000-0008-0000-3200-000004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a:extLst>
            <a:ext uri="{FF2B5EF4-FFF2-40B4-BE49-F238E27FC236}">
              <a16:creationId xmlns:a16="http://schemas.microsoft.com/office/drawing/2014/main" id="{00000000-0008-0000-3200-000005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a:extLst>
            <a:ext uri="{FF2B5EF4-FFF2-40B4-BE49-F238E27FC236}">
              <a16:creationId xmlns:a16="http://schemas.microsoft.com/office/drawing/2014/main" id="{00000000-0008-0000-3200-000006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E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a:extLst>
            <a:ext uri="{FF2B5EF4-FFF2-40B4-BE49-F238E27FC236}">
              <a16:creationId xmlns:a16="http://schemas.microsoft.com/office/drawing/2014/main" id="{00000000-0008-0000-3200-000010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110C0000}"/>
            </a:ext>
          </a:extLst>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a:extLst>
            <a:ext uri="{FF2B5EF4-FFF2-40B4-BE49-F238E27FC236}">
              <a16:creationId xmlns:a16="http://schemas.microsoft.com/office/drawing/2014/main" id="{00000000-0008-0000-3200-000012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a:extLst>
            <a:ext uri="{FF2B5EF4-FFF2-40B4-BE49-F238E27FC236}">
              <a16:creationId xmlns:a16="http://schemas.microsoft.com/office/drawing/2014/main" id="{00000000-0008-0000-3200-000013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a:extLst>
            <a:ext uri="{FF2B5EF4-FFF2-40B4-BE49-F238E27FC236}">
              <a16:creationId xmlns:a16="http://schemas.microsoft.com/office/drawing/2014/main" id="{00000000-0008-0000-3200-000014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a:extLst>
            <a:ext uri="{FF2B5EF4-FFF2-40B4-BE49-F238E27FC236}">
              <a16:creationId xmlns:a16="http://schemas.microsoft.com/office/drawing/2014/main" id="{00000000-0008-0000-3200-000015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a:extLst>
            <a:ext uri="{FF2B5EF4-FFF2-40B4-BE49-F238E27FC236}">
              <a16:creationId xmlns:a16="http://schemas.microsoft.com/office/drawing/2014/main" id="{00000000-0008-0000-3200-00001D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a:extLst>
            <a:ext uri="{FF2B5EF4-FFF2-40B4-BE49-F238E27FC236}">
              <a16:creationId xmlns:a16="http://schemas.microsoft.com/office/drawing/2014/main" id="{00000000-0008-0000-3200-00001F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21000000}"/>
            </a:ext>
          </a:extLst>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2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3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a:extLst>
            <a:ext uri="{FF2B5EF4-FFF2-40B4-BE49-F238E27FC236}">
              <a16:creationId xmlns:a16="http://schemas.microsoft.com/office/drawing/2014/main" id="{00000000-0008-0000-3200-000024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a:extLst>
            <a:ext uri="{FF2B5EF4-FFF2-40B4-BE49-F238E27FC236}">
              <a16:creationId xmlns:a16="http://schemas.microsoft.com/office/drawing/2014/main" id="{00000000-0008-0000-3200-000025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a:extLst>
            <a:ext uri="{FF2B5EF4-FFF2-40B4-BE49-F238E27FC236}">
              <a16:creationId xmlns:a16="http://schemas.microsoft.com/office/drawing/2014/main" id="{00000000-0008-0000-3200-00002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a:extLst>
            <a:ext uri="{FF2B5EF4-FFF2-40B4-BE49-F238E27FC236}">
              <a16:creationId xmlns:a16="http://schemas.microsoft.com/office/drawing/2014/main" id="{00000000-0008-0000-3200-000028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a:extLst>
            <a:ext uri="{FF2B5EF4-FFF2-40B4-BE49-F238E27FC236}">
              <a16:creationId xmlns:a16="http://schemas.microsoft.com/office/drawing/2014/main" id="{00000000-0008-0000-3200-000029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2A000000}"/>
            </a:ext>
          </a:extLst>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B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a:extLst>
            <a:ext uri="{FF2B5EF4-FFF2-40B4-BE49-F238E27FC236}">
              <a16:creationId xmlns:a16="http://schemas.microsoft.com/office/drawing/2014/main" id="{00000000-0008-0000-3200-00002C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a:extLst>
            <a:ext uri="{FF2B5EF4-FFF2-40B4-BE49-F238E27FC236}">
              <a16:creationId xmlns:a16="http://schemas.microsoft.com/office/drawing/2014/main" id="{00000000-0008-0000-3200-00002D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a:extLst>
            <a:ext uri="{FF2B5EF4-FFF2-40B4-BE49-F238E27FC236}">
              <a16:creationId xmlns:a16="http://schemas.microsoft.com/office/drawing/2014/main" id="{00000000-0008-0000-3200-00002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a:extLst>
            <a:ext uri="{FF2B5EF4-FFF2-40B4-BE49-F238E27FC236}">
              <a16:creationId xmlns:a16="http://schemas.microsoft.com/office/drawing/2014/main" id="{00000000-0008-0000-3200-000030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a:extLst>
            <a:ext uri="{FF2B5EF4-FFF2-40B4-BE49-F238E27FC236}">
              <a16:creationId xmlns:a16="http://schemas.microsoft.com/office/drawing/2014/main" id="{00000000-0008-0000-32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a:extLst>
            <a:ext uri="{FF2B5EF4-FFF2-40B4-BE49-F238E27FC236}">
              <a16:creationId xmlns:a16="http://schemas.microsoft.com/office/drawing/2014/main" id="{00000000-0008-0000-3300-0000014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300-0000024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a:extLst>
            <a:ext uri="{FF2B5EF4-FFF2-40B4-BE49-F238E27FC236}">
              <a16:creationId xmlns:a16="http://schemas.microsoft.com/office/drawing/2014/main" id="{00000000-0008-0000-3500-000003000000}"/>
            </a:ext>
          </a:extLst>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a:extLst>
            <a:ext uri="{FF2B5EF4-FFF2-40B4-BE49-F238E27FC236}">
              <a16:creationId xmlns:a16="http://schemas.microsoft.com/office/drawing/2014/main" id="{00000000-0008-0000-3500-000004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a:extLst>
            <a:ext uri="{FF2B5EF4-FFF2-40B4-BE49-F238E27FC236}">
              <a16:creationId xmlns:a16="http://schemas.microsoft.com/office/drawing/2014/main" id="{00000000-0008-0000-3500-000005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a:extLst>
            <a:ext uri="{FF2B5EF4-FFF2-40B4-BE49-F238E27FC236}">
              <a16:creationId xmlns:a16="http://schemas.microsoft.com/office/drawing/2014/main" id="{00000000-0008-0000-3500-000006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a:extLst>
            <a:ext uri="{FF2B5EF4-FFF2-40B4-BE49-F238E27FC236}">
              <a16:creationId xmlns:a16="http://schemas.microsoft.com/office/drawing/2014/main" id="{00000000-0008-0000-3500-000007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a:extLst>
            <a:ext uri="{FF2B5EF4-FFF2-40B4-BE49-F238E27FC236}">
              <a16:creationId xmlns:a16="http://schemas.microsoft.com/office/drawing/2014/main" id="{00000000-0008-0000-35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a:extLst>
            <a:ext uri="{FF2B5EF4-FFF2-40B4-BE49-F238E27FC236}">
              <a16:creationId xmlns:a16="http://schemas.microsoft.com/office/drawing/2014/main" id="{00000000-0008-0000-3500-000009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a:extLst>
            <a:ext uri="{FF2B5EF4-FFF2-40B4-BE49-F238E27FC236}">
              <a16:creationId xmlns:a16="http://schemas.microsoft.com/office/drawing/2014/main" id="{00000000-0008-0000-3C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a:extLst>
            <a:ext uri="{FF2B5EF4-FFF2-40B4-BE49-F238E27FC236}">
              <a16:creationId xmlns:a16="http://schemas.microsoft.com/office/drawing/2014/main" id="{00000000-0008-0000-3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a:extLst>
            <a:ext uri="{FF2B5EF4-FFF2-40B4-BE49-F238E27FC236}">
              <a16:creationId xmlns:a16="http://schemas.microsoft.com/office/drawing/2014/main" id="{00000000-0008-0000-3E00-000001B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2191.506716319447" createdVersion="5" refreshedVersion="5" minRefreshableVersion="3" recordCount="42" xr:uid="{00000000-000A-0000-FFFF-FFFF00000000}">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Tabla dinámica1" cacheId="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16" t="s">
        <v>560</v>
      </c>
      <c r="G1" s="716"/>
      <c r="H1" s="716" t="s">
        <v>561</v>
      </c>
      <c r="I1" s="716"/>
      <c r="J1" s="716" t="s">
        <v>330</v>
      </c>
      <c r="K1" s="716"/>
      <c r="L1" s="716" t="s">
        <v>563</v>
      </c>
      <c r="M1" s="716"/>
      <c r="N1" s="716" t="s">
        <v>562</v>
      </c>
      <c r="O1" s="716"/>
    </row>
    <row r="2" spans="1:17" ht="19.5" thickBot="1" x14ac:dyDescent="0.35">
      <c r="F2" s="68" t="s">
        <v>490</v>
      </c>
      <c r="G2" s="68" t="s">
        <v>491</v>
      </c>
      <c r="H2" s="718"/>
      <c r="I2" s="719"/>
      <c r="J2" s="718"/>
      <c r="K2" s="719"/>
      <c r="L2" s="68" t="s">
        <v>490</v>
      </c>
      <c r="M2" s="68" t="s">
        <v>491</v>
      </c>
      <c r="N2" s="718"/>
      <c r="O2" s="719"/>
    </row>
    <row r="3" spans="1:17" x14ac:dyDescent="0.25">
      <c r="A3" t="s">
        <v>356</v>
      </c>
      <c r="C3" t="s">
        <v>408</v>
      </c>
      <c r="E3" s="69" t="s">
        <v>492</v>
      </c>
      <c r="F3" s="713">
        <v>0.64709000000000005</v>
      </c>
      <c r="G3" s="713"/>
      <c r="H3" s="713">
        <v>0.97192999999999996</v>
      </c>
      <c r="I3" s="713"/>
      <c r="J3" s="73"/>
      <c r="K3" s="73"/>
      <c r="L3" s="73"/>
      <c r="M3" s="73"/>
      <c r="N3" s="73"/>
      <c r="O3" s="80"/>
      <c r="P3" s="61">
        <f>F3+H3+H4+F4</f>
        <v>2.2834299999999996</v>
      </c>
      <c r="Q3" s="61"/>
    </row>
    <row r="4" spans="1:17" ht="15.75" thickBot="1" x14ac:dyDescent="0.3">
      <c r="A4" t="s">
        <v>357</v>
      </c>
      <c r="C4" t="s">
        <v>409</v>
      </c>
      <c r="E4" s="72" t="s">
        <v>493</v>
      </c>
      <c r="F4" s="717">
        <v>0.26545000000000002</v>
      </c>
      <c r="G4" s="717"/>
      <c r="H4" s="717">
        <v>0.39895999999999998</v>
      </c>
      <c r="I4" s="717"/>
      <c r="J4" s="76"/>
      <c r="K4" s="76"/>
      <c r="L4" s="76"/>
      <c r="M4" s="76"/>
      <c r="N4" s="76"/>
      <c r="O4" s="81"/>
      <c r="P4" s="61"/>
      <c r="Q4" s="61"/>
    </row>
    <row r="5" spans="1:17" x14ac:dyDescent="0.25">
      <c r="A5" t="s">
        <v>358</v>
      </c>
      <c r="C5" t="s">
        <v>358</v>
      </c>
      <c r="E5" s="69" t="s">
        <v>494</v>
      </c>
      <c r="F5" s="73">
        <v>0.50017999999999996</v>
      </c>
      <c r="G5" s="73">
        <v>0.25008999999999998</v>
      </c>
      <c r="H5" s="713">
        <v>1</v>
      </c>
      <c r="I5" s="713"/>
      <c r="J5" s="73"/>
      <c r="K5" s="73"/>
      <c r="L5" s="73"/>
      <c r="M5" s="73"/>
      <c r="N5" s="73"/>
      <c r="O5" s="80"/>
      <c r="P5" s="61">
        <f>F5+G5+H5+J6</f>
        <v>2.02515</v>
      </c>
      <c r="Q5" s="61"/>
    </row>
    <row r="6" spans="1:17" ht="15.75" thickBot="1" x14ac:dyDescent="0.3">
      <c r="E6" s="72" t="s">
        <v>518</v>
      </c>
      <c r="F6" s="76"/>
      <c r="G6" s="76"/>
      <c r="H6" s="76"/>
      <c r="I6" s="76"/>
      <c r="J6" s="717">
        <v>0.27488000000000001</v>
      </c>
      <c r="K6" s="717"/>
      <c r="L6" s="76"/>
      <c r="M6" s="76"/>
      <c r="N6" s="76"/>
      <c r="O6" s="81"/>
      <c r="P6" s="61"/>
      <c r="Q6" s="61"/>
    </row>
    <row r="7" spans="1:17" ht="18.75" x14ac:dyDescent="0.3">
      <c r="A7" t="s">
        <v>359</v>
      </c>
      <c r="C7" s="64" t="s">
        <v>449</v>
      </c>
      <c r="E7" s="69" t="s">
        <v>495</v>
      </c>
      <c r="F7" s="73">
        <v>0.35504999999999998</v>
      </c>
      <c r="G7" s="73">
        <v>0.17752000000000001</v>
      </c>
      <c r="H7" s="713">
        <v>0.72296000000000005</v>
      </c>
      <c r="I7" s="713"/>
      <c r="J7" s="73"/>
      <c r="K7" s="73"/>
      <c r="L7" s="73"/>
      <c r="M7" s="73"/>
      <c r="N7" s="73"/>
      <c r="O7" s="80"/>
      <c r="P7" s="61">
        <f>F7+G7+H7+J8</f>
        <v>1.6189</v>
      </c>
    </row>
    <row r="8" spans="1:17" ht="15.75" thickBot="1" x14ac:dyDescent="0.3">
      <c r="A8" t="s">
        <v>360</v>
      </c>
      <c r="E8" s="72" t="s">
        <v>525</v>
      </c>
      <c r="F8" s="76"/>
      <c r="G8" s="76"/>
      <c r="H8" s="76"/>
      <c r="I8" s="76"/>
      <c r="J8" s="717">
        <v>0.36337000000000003</v>
      </c>
      <c r="K8" s="717"/>
      <c r="L8" s="76"/>
      <c r="M8" s="76"/>
      <c r="N8" s="76"/>
      <c r="O8" s="81"/>
      <c r="P8" s="61"/>
    </row>
    <row r="9" spans="1:17" x14ac:dyDescent="0.25">
      <c r="C9" t="s">
        <v>408</v>
      </c>
      <c r="E9" s="69" t="s">
        <v>496</v>
      </c>
      <c r="F9" s="73">
        <v>0.65615999999999997</v>
      </c>
      <c r="G9" s="73"/>
      <c r="H9" s="713">
        <v>0.78437000000000001</v>
      </c>
      <c r="I9" s="713"/>
      <c r="J9" s="73"/>
      <c r="K9" s="73"/>
      <c r="L9" s="73"/>
      <c r="M9" s="73"/>
      <c r="N9" s="73"/>
      <c r="O9" s="80"/>
      <c r="P9" s="61">
        <f>F9+H9+J10+L11</f>
        <v>1.8734299999999999</v>
      </c>
    </row>
    <row r="10" spans="1:17" x14ac:dyDescent="0.25">
      <c r="A10" t="s">
        <v>386</v>
      </c>
      <c r="C10" t="s">
        <v>409</v>
      </c>
      <c r="E10" s="70" t="s">
        <v>522</v>
      </c>
      <c r="F10" s="54"/>
      <c r="G10" s="54"/>
      <c r="H10" s="54"/>
      <c r="I10" s="54"/>
      <c r="J10" s="721">
        <v>0.1464</v>
      </c>
      <c r="K10" s="721"/>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13">
        <v>0.42514999999999997</v>
      </c>
      <c r="G12" s="713"/>
      <c r="H12" s="713">
        <v>0.85</v>
      </c>
      <c r="I12" s="713"/>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17">
        <v>0.23365</v>
      </c>
      <c r="K13" s="717"/>
      <c r="L13" s="76"/>
      <c r="M13" s="76"/>
      <c r="N13" s="76"/>
      <c r="O13" s="81"/>
      <c r="P13" s="61"/>
    </row>
    <row r="14" spans="1:17" x14ac:dyDescent="0.25">
      <c r="C14" s="39" t="s">
        <v>64</v>
      </c>
      <c r="E14" s="69" t="s">
        <v>502</v>
      </c>
      <c r="F14" s="73">
        <v>1</v>
      </c>
      <c r="G14" s="75"/>
      <c r="H14" s="713">
        <v>0.51382000000000005</v>
      </c>
      <c r="I14" s="713"/>
      <c r="J14" s="73"/>
      <c r="K14" s="73"/>
      <c r="L14" s="73"/>
      <c r="M14" s="73"/>
      <c r="N14" s="73"/>
      <c r="O14" s="80"/>
      <c r="P14" s="61">
        <f>F14+H14+J15+L16</f>
        <v>1.88497</v>
      </c>
      <c r="Q14" s="61"/>
    </row>
    <row r="15" spans="1:17" x14ac:dyDescent="0.25">
      <c r="A15" t="s">
        <v>356</v>
      </c>
      <c r="C15" s="39" t="s">
        <v>65</v>
      </c>
      <c r="E15" s="70" t="s">
        <v>523</v>
      </c>
      <c r="F15" s="54"/>
      <c r="G15" s="54"/>
      <c r="H15" s="54"/>
      <c r="I15" s="54"/>
      <c r="J15" s="721">
        <v>4.3869999999999999E-2</v>
      </c>
      <c r="K15" s="721"/>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13">
        <v>0.46146999999999999</v>
      </c>
      <c r="I17" s="713"/>
      <c r="J17" s="73"/>
      <c r="K17" s="73"/>
      <c r="L17" s="73"/>
      <c r="M17" s="73"/>
      <c r="N17" s="73"/>
      <c r="O17" s="80"/>
      <c r="P17" s="61">
        <f>F17+H17+J18+L19</f>
        <v>2.0396200000000002</v>
      </c>
    </row>
    <row r="18" spans="1:16" x14ac:dyDescent="0.25">
      <c r="A18" t="s">
        <v>386</v>
      </c>
      <c r="C18" s="39" t="s">
        <v>68</v>
      </c>
      <c r="E18" s="70" t="s">
        <v>521</v>
      </c>
      <c r="F18" s="54"/>
      <c r="G18" s="54"/>
      <c r="H18" s="54"/>
      <c r="I18" s="54"/>
      <c r="J18" s="721">
        <v>0.15035999999999999</v>
      </c>
      <c r="K18" s="721"/>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13">
        <v>0.38878000000000001</v>
      </c>
      <c r="I20" s="713"/>
      <c r="J20" s="73"/>
      <c r="K20" s="73"/>
      <c r="L20" s="73"/>
      <c r="M20" s="73"/>
      <c r="N20" s="73"/>
      <c r="O20" s="80"/>
      <c r="P20" s="61">
        <f>F20+H20+J21+L22</f>
        <v>1.9173399999999998</v>
      </c>
    </row>
    <row r="21" spans="1:16" ht="18.75" x14ac:dyDescent="0.3">
      <c r="A21" s="66" t="s">
        <v>330</v>
      </c>
      <c r="C21" s="39" t="s">
        <v>71</v>
      </c>
      <c r="E21" s="70" t="s">
        <v>526</v>
      </c>
      <c r="F21" s="54"/>
      <c r="G21" s="54"/>
      <c r="H21" s="54"/>
      <c r="I21" s="54"/>
      <c r="J21" s="721">
        <v>0.2099</v>
      </c>
      <c r="K21" s="721"/>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13">
        <v>0.70006000000000002</v>
      </c>
      <c r="I23" s="713"/>
      <c r="J23" s="73"/>
      <c r="K23" s="73"/>
      <c r="L23" s="73"/>
      <c r="M23" s="73"/>
      <c r="N23" s="73"/>
      <c r="O23" s="80"/>
      <c r="P23" s="61">
        <f>F23+H23+J24+L25</f>
        <v>1.85917</v>
      </c>
    </row>
    <row r="24" spans="1:16" x14ac:dyDescent="0.25">
      <c r="A24" t="s">
        <v>332</v>
      </c>
      <c r="C24" s="39" t="s">
        <v>74</v>
      </c>
      <c r="E24" s="70" t="s">
        <v>520</v>
      </c>
      <c r="F24" s="54"/>
      <c r="G24" s="54"/>
      <c r="H24" s="54"/>
      <c r="I24" s="54"/>
      <c r="J24" s="721">
        <v>0.152</v>
      </c>
      <c r="K24" s="721"/>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13">
        <v>0.42459999999999998</v>
      </c>
      <c r="I26" s="713"/>
      <c r="J26" s="73"/>
      <c r="K26" s="73"/>
      <c r="L26" s="73"/>
      <c r="M26" s="73"/>
      <c r="N26" s="709"/>
      <c r="O26" s="710"/>
      <c r="P26" s="61">
        <f>F26+G26+H26+J27+L28+M28+N28</f>
        <v>2.4103300000000001</v>
      </c>
    </row>
    <row r="27" spans="1:16" x14ac:dyDescent="0.25">
      <c r="A27" t="s">
        <v>334</v>
      </c>
      <c r="C27" s="39" t="s">
        <v>77</v>
      </c>
      <c r="E27" s="70" t="s">
        <v>510</v>
      </c>
      <c r="F27" s="54"/>
      <c r="G27" s="54"/>
      <c r="H27" s="54"/>
      <c r="I27" s="54"/>
      <c r="J27" s="721">
        <v>1</v>
      </c>
      <c r="K27" s="721"/>
      <c r="L27" s="54"/>
      <c r="M27" s="54"/>
      <c r="N27" s="705"/>
      <c r="O27" s="706"/>
      <c r="P27" s="61"/>
    </row>
    <row r="28" spans="1:16" ht="15.75" thickBot="1" x14ac:dyDescent="0.3">
      <c r="A28" t="s">
        <v>335</v>
      </c>
      <c r="C28" s="39" t="s">
        <v>78</v>
      </c>
      <c r="E28" s="72" t="s">
        <v>542</v>
      </c>
      <c r="F28" s="76"/>
      <c r="G28" s="76"/>
      <c r="H28" s="76"/>
      <c r="I28" s="76"/>
      <c r="J28" s="74"/>
      <c r="K28" s="74"/>
      <c r="L28" s="76">
        <v>0.24451999999999999</v>
      </c>
      <c r="M28" s="76">
        <v>0.1226</v>
      </c>
      <c r="N28" s="707">
        <v>0.34044000000000002</v>
      </c>
      <c r="O28" s="708"/>
      <c r="P28" s="61"/>
    </row>
    <row r="29" spans="1:16" x14ac:dyDescent="0.25">
      <c r="C29" s="39" t="s">
        <v>79</v>
      </c>
      <c r="E29" s="69" t="s">
        <v>499</v>
      </c>
      <c r="F29" s="73">
        <v>0.27438000000000001</v>
      </c>
      <c r="G29" s="73">
        <v>0.13719000000000001</v>
      </c>
      <c r="H29" s="713">
        <v>0.62792999999999999</v>
      </c>
      <c r="I29" s="713"/>
      <c r="J29" s="73"/>
      <c r="K29" s="73"/>
      <c r="L29" s="73"/>
      <c r="M29" s="73"/>
      <c r="N29" s="709"/>
      <c r="O29" s="710"/>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07">
        <v>0.23748</v>
      </c>
      <c r="O30" s="708"/>
      <c r="P30" s="61"/>
    </row>
    <row r="31" spans="1:16" x14ac:dyDescent="0.25">
      <c r="C31" s="39" t="s">
        <v>81</v>
      </c>
      <c r="E31" s="69" t="s">
        <v>500</v>
      </c>
      <c r="F31" s="73">
        <v>0.11212</v>
      </c>
      <c r="G31" s="73">
        <v>5.6059999999999999E-2</v>
      </c>
      <c r="H31" s="713">
        <v>0.23462</v>
      </c>
      <c r="I31" s="713"/>
      <c r="J31" s="73"/>
      <c r="K31" s="73"/>
      <c r="L31" s="73"/>
      <c r="M31" s="73"/>
      <c r="N31" s="709"/>
      <c r="O31" s="710"/>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07">
        <v>0.50244</v>
      </c>
      <c r="O32" s="708"/>
      <c r="P32" s="61"/>
    </row>
    <row r="33" spans="1:16" ht="15.75" thickBot="1" x14ac:dyDescent="0.3">
      <c r="C33" s="39" t="s">
        <v>83</v>
      </c>
      <c r="E33" s="77" t="s">
        <v>511</v>
      </c>
      <c r="F33" s="83"/>
      <c r="G33" s="83"/>
      <c r="H33" s="83"/>
      <c r="I33" s="83"/>
      <c r="J33" s="722">
        <v>0.94696999999999998</v>
      </c>
      <c r="K33" s="722"/>
      <c r="L33" s="83"/>
      <c r="M33" s="83"/>
      <c r="N33" s="711"/>
      <c r="O33" s="712"/>
      <c r="P33" s="61"/>
    </row>
    <row r="34" spans="1:16" x14ac:dyDescent="0.25">
      <c r="E34" s="69" t="s">
        <v>501</v>
      </c>
      <c r="F34" s="713">
        <v>0.15762999999999999</v>
      </c>
      <c r="G34" s="713"/>
      <c r="H34" s="713">
        <v>0.36070000000000002</v>
      </c>
      <c r="I34" s="713"/>
      <c r="J34" s="73"/>
      <c r="K34" s="73"/>
      <c r="L34" s="73"/>
      <c r="M34" s="73"/>
      <c r="N34" s="709"/>
      <c r="O34" s="710"/>
      <c r="P34" s="61">
        <f>F34+H34+J35+L36+N36</f>
        <v>1.8655399999999998</v>
      </c>
    </row>
    <row r="35" spans="1:16" x14ac:dyDescent="0.25">
      <c r="E35" s="70" t="s">
        <v>513</v>
      </c>
      <c r="F35" s="54"/>
      <c r="G35" s="54"/>
      <c r="H35" s="54"/>
      <c r="I35" s="54"/>
      <c r="J35" s="721">
        <v>0.85</v>
      </c>
      <c r="K35" s="721"/>
      <c r="L35" s="54"/>
      <c r="M35" s="54"/>
      <c r="N35" s="705"/>
      <c r="O35" s="706"/>
      <c r="P35" s="61"/>
    </row>
    <row r="36" spans="1:16" ht="15.75" thickBot="1" x14ac:dyDescent="0.3">
      <c r="A36" s="2" t="s">
        <v>603</v>
      </c>
      <c r="E36" s="72" t="s">
        <v>546</v>
      </c>
      <c r="F36" s="76"/>
      <c r="G36" s="76"/>
      <c r="H36" s="76"/>
      <c r="I36" s="76"/>
      <c r="J36" s="74"/>
      <c r="K36" s="74"/>
      <c r="L36" s="76">
        <v>0.20784</v>
      </c>
      <c r="M36" s="76"/>
      <c r="N36" s="707">
        <v>0.28937000000000002</v>
      </c>
      <c r="O36" s="708"/>
      <c r="P36" s="61"/>
    </row>
    <row r="37" spans="1:16" x14ac:dyDescent="0.25">
      <c r="A37" t="s">
        <v>604</v>
      </c>
      <c r="E37" s="69" t="s">
        <v>524</v>
      </c>
      <c r="F37" s="713">
        <v>0.20368</v>
      </c>
      <c r="G37" s="713"/>
      <c r="H37" s="713">
        <v>0.33767000000000003</v>
      </c>
      <c r="I37" s="713"/>
      <c r="J37" s="73"/>
      <c r="K37" s="73"/>
      <c r="L37" s="73"/>
      <c r="M37" s="73"/>
      <c r="N37" s="709"/>
      <c r="O37" s="710"/>
      <c r="P37" s="61">
        <f>F37+H37+J38+L39+L40+N40</f>
        <v>2.5172699999999999</v>
      </c>
    </row>
    <row r="38" spans="1:16" x14ac:dyDescent="0.25">
      <c r="A38" t="s">
        <v>605</v>
      </c>
      <c r="E38" s="70" t="s">
        <v>512</v>
      </c>
      <c r="F38" s="54"/>
      <c r="G38" s="54"/>
      <c r="H38" s="54"/>
      <c r="I38" s="54"/>
      <c r="J38" s="721">
        <v>0.89815999999999996</v>
      </c>
      <c r="K38" s="721"/>
      <c r="L38" s="54"/>
      <c r="M38" s="54"/>
      <c r="N38" s="705"/>
      <c r="O38" s="706"/>
      <c r="P38" s="61"/>
    </row>
    <row r="39" spans="1:16" x14ac:dyDescent="0.25">
      <c r="A39" t="s">
        <v>606</v>
      </c>
      <c r="E39" s="70" t="s">
        <v>532</v>
      </c>
      <c r="F39" s="54"/>
      <c r="G39" s="54"/>
      <c r="H39" s="54"/>
      <c r="I39" s="54"/>
      <c r="J39" s="67"/>
      <c r="K39" s="67"/>
      <c r="L39" s="54">
        <v>0.57364000000000004</v>
      </c>
      <c r="M39" s="54"/>
      <c r="N39" s="705"/>
      <c r="O39" s="706"/>
      <c r="P39" s="61"/>
    </row>
    <row r="40" spans="1:16" ht="15.75" thickBot="1" x14ac:dyDescent="0.3">
      <c r="A40" t="s">
        <v>607</v>
      </c>
      <c r="E40" s="72" t="s">
        <v>548</v>
      </c>
      <c r="F40" s="76"/>
      <c r="G40" s="76"/>
      <c r="H40" s="76"/>
      <c r="I40" s="76"/>
      <c r="J40" s="74"/>
      <c r="K40" s="74"/>
      <c r="L40" s="76">
        <v>0.26422000000000001</v>
      </c>
      <c r="M40" s="76"/>
      <c r="N40" s="707">
        <v>0.2399</v>
      </c>
      <c r="O40" s="708"/>
      <c r="P40" s="61"/>
    </row>
    <row r="41" spans="1:16" x14ac:dyDescent="0.25">
      <c r="E41" s="69" t="s">
        <v>507</v>
      </c>
      <c r="F41" s="73">
        <v>0.34708</v>
      </c>
      <c r="G41" s="75"/>
      <c r="H41" s="713">
        <v>0.20830000000000001</v>
      </c>
      <c r="I41" s="713"/>
      <c r="J41" s="73"/>
      <c r="K41" s="73"/>
      <c r="L41" s="73"/>
      <c r="M41" s="73"/>
      <c r="N41" s="709"/>
      <c r="O41" s="710"/>
      <c r="P41" s="61">
        <f>F41+H41+J42+L43+L44+N44</f>
        <v>2.29189</v>
      </c>
    </row>
    <row r="42" spans="1:16" x14ac:dyDescent="0.25">
      <c r="E42" s="70" t="s">
        <v>515</v>
      </c>
      <c r="F42" s="54"/>
      <c r="G42" s="54"/>
      <c r="H42" s="54"/>
      <c r="I42" s="54"/>
      <c r="J42" s="721">
        <v>0.52559999999999996</v>
      </c>
      <c r="K42" s="721"/>
      <c r="L42" s="54"/>
      <c r="M42" s="54"/>
      <c r="N42" s="705"/>
      <c r="O42" s="706"/>
      <c r="P42" s="61"/>
    </row>
    <row r="43" spans="1:16" x14ac:dyDescent="0.25">
      <c r="A43" s="2"/>
      <c r="E43" s="70" t="s">
        <v>533</v>
      </c>
      <c r="F43" s="54"/>
      <c r="G43" s="54"/>
      <c r="H43" s="54"/>
      <c r="I43" s="54"/>
      <c r="J43" s="67"/>
      <c r="K43" s="67"/>
      <c r="L43" s="54">
        <v>0.84328000000000003</v>
      </c>
      <c r="M43" s="54"/>
      <c r="N43" s="705"/>
      <c r="O43" s="706"/>
      <c r="P43" s="61"/>
    </row>
    <row r="44" spans="1:16" ht="15.75" thickBot="1" x14ac:dyDescent="0.3">
      <c r="A44" s="2" t="s">
        <v>608</v>
      </c>
      <c r="E44" s="72" t="s">
        <v>545</v>
      </c>
      <c r="F44" s="76"/>
      <c r="G44" s="76"/>
      <c r="H44" s="76"/>
      <c r="I44" s="76"/>
      <c r="J44" s="74"/>
      <c r="K44" s="74"/>
      <c r="L44" s="76">
        <v>0.23543</v>
      </c>
      <c r="M44" s="76"/>
      <c r="N44" s="707">
        <v>0.13220000000000001</v>
      </c>
      <c r="O44" s="708"/>
      <c r="P44" s="61"/>
    </row>
    <row r="45" spans="1:16" x14ac:dyDescent="0.25">
      <c r="A45" t="s">
        <v>609</v>
      </c>
      <c r="E45" s="69" t="s">
        <v>506</v>
      </c>
      <c r="F45" s="73">
        <v>0.47361999999999999</v>
      </c>
      <c r="G45" s="75"/>
      <c r="H45" s="713">
        <v>0.28101999999999999</v>
      </c>
      <c r="I45" s="713"/>
      <c r="J45" s="73"/>
      <c r="K45" s="73"/>
      <c r="L45" s="73"/>
      <c r="M45" s="73"/>
      <c r="N45" s="709"/>
      <c r="O45" s="710"/>
      <c r="P45" s="61">
        <f>F45+H45+L46+L47+N47+J51</f>
        <v>2.2079800000000001</v>
      </c>
    </row>
    <row r="46" spans="1:16" x14ac:dyDescent="0.25">
      <c r="E46" s="70" t="s">
        <v>534</v>
      </c>
      <c r="F46" s="54"/>
      <c r="G46" s="65"/>
      <c r="H46" s="67"/>
      <c r="I46" s="67"/>
      <c r="J46" s="54"/>
      <c r="K46" s="54"/>
      <c r="L46" s="54">
        <v>0.71950000000000003</v>
      </c>
      <c r="M46" s="54"/>
      <c r="N46" s="705"/>
      <c r="O46" s="706"/>
      <c r="P46" s="61"/>
    </row>
    <row r="47" spans="1:16" ht="15.75" thickBot="1" x14ac:dyDescent="0.3">
      <c r="A47" t="s">
        <v>610</v>
      </c>
      <c r="E47" s="72" t="s">
        <v>547</v>
      </c>
      <c r="F47" s="76"/>
      <c r="G47" s="78"/>
      <c r="H47" s="74"/>
      <c r="I47" s="74"/>
      <c r="J47" s="76"/>
      <c r="K47" s="76"/>
      <c r="L47" s="76">
        <v>0.20451</v>
      </c>
      <c r="M47" s="76"/>
      <c r="N47" s="707">
        <v>9.1600000000000001E-2</v>
      </c>
      <c r="O47" s="708"/>
      <c r="P47" s="61"/>
    </row>
    <row r="48" spans="1:16" x14ac:dyDescent="0.25">
      <c r="A48" t="s">
        <v>611</v>
      </c>
      <c r="E48" s="69" t="s">
        <v>508</v>
      </c>
      <c r="F48" s="73">
        <v>0.17321</v>
      </c>
      <c r="G48" s="75"/>
      <c r="H48" s="713">
        <v>9.2929999999999999E-2</v>
      </c>
      <c r="I48" s="713"/>
      <c r="J48" s="73"/>
      <c r="K48" s="73"/>
      <c r="L48" s="73"/>
      <c r="M48" s="73"/>
      <c r="N48" s="709"/>
      <c r="O48" s="710"/>
      <c r="P48" s="61">
        <f>F48+H48+L49+L50+N50+J51</f>
        <v>2.12704</v>
      </c>
    </row>
    <row r="49" spans="1:17" x14ac:dyDescent="0.25">
      <c r="A49" t="s">
        <v>612</v>
      </c>
      <c r="E49" s="70" t="s">
        <v>535</v>
      </c>
      <c r="F49" s="54"/>
      <c r="G49" s="65"/>
      <c r="H49" s="67"/>
      <c r="I49" s="67"/>
      <c r="J49" s="54"/>
      <c r="K49" s="54"/>
      <c r="L49" s="54">
        <v>1</v>
      </c>
      <c r="M49" s="54"/>
      <c r="N49" s="705"/>
      <c r="O49" s="706"/>
      <c r="P49" s="61"/>
    </row>
    <row r="50" spans="1:17" ht="15.75" thickBot="1" x14ac:dyDescent="0.3">
      <c r="A50" t="s">
        <v>613</v>
      </c>
      <c r="C50" s="39" t="s">
        <v>63</v>
      </c>
      <c r="E50" s="72" t="s">
        <v>541</v>
      </c>
      <c r="F50" s="76"/>
      <c r="G50" s="78"/>
      <c r="H50" s="74"/>
      <c r="I50" s="74"/>
      <c r="J50" s="76"/>
      <c r="K50" s="76"/>
      <c r="L50" s="76">
        <v>0.26967000000000002</v>
      </c>
      <c r="M50" s="76"/>
      <c r="N50" s="707">
        <v>0.1535</v>
      </c>
      <c r="O50" s="708"/>
      <c r="P50" s="61"/>
    </row>
    <row r="51" spans="1:17" ht="15.75" thickBot="1" x14ac:dyDescent="0.3">
      <c r="C51" s="39" t="s">
        <v>64</v>
      </c>
      <c r="E51" s="77" t="s">
        <v>517</v>
      </c>
      <c r="F51" s="83"/>
      <c r="G51" s="83"/>
      <c r="H51" s="83"/>
      <c r="I51" s="83"/>
      <c r="J51" s="722">
        <v>0.43773000000000001</v>
      </c>
      <c r="K51" s="722"/>
      <c r="L51" s="83"/>
      <c r="M51" s="83"/>
      <c r="N51" s="711"/>
      <c r="O51" s="712"/>
      <c r="P51" s="61"/>
    </row>
    <row r="52" spans="1:17" x14ac:dyDescent="0.25">
      <c r="A52" t="s">
        <v>614</v>
      </c>
      <c r="C52" s="39" t="s">
        <v>65</v>
      </c>
      <c r="E52" s="69" t="s">
        <v>509</v>
      </c>
      <c r="F52" s="73">
        <v>0.28996</v>
      </c>
      <c r="G52" s="75"/>
      <c r="H52" s="713">
        <v>0.25344</v>
      </c>
      <c r="I52" s="713"/>
      <c r="J52" s="73"/>
      <c r="K52" s="73"/>
      <c r="L52" s="73"/>
      <c r="M52" s="73"/>
      <c r="N52" s="709"/>
      <c r="O52" s="710"/>
      <c r="P52" s="61">
        <f>F52+H52+J53+L54+L55+N55</f>
        <v>2.0821799999999997</v>
      </c>
    </row>
    <row r="53" spans="1:17" x14ac:dyDescent="0.25">
      <c r="A53" t="s">
        <v>615</v>
      </c>
      <c r="C53" s="39" t="s">
        <v>66</v>
      </c>
      <c r="E53" s="70" t="s">
        <v>514</v>
      </c>
      <c r="F53" s="54"/>
      <c r="G53" s="54"/>
      <c r="H53" s="54"/>
      <c r="I53" s="54"/>
      <c r="J53" s="721">
        <v>0.65949000000000002</v>
      </c>
      <c r="K53" s="721"/>
      <c r="L53" s="54"/>
      <c r="M53" s="54"/>
      <c r="N53" s="705"/>
      <c r="O53" s="706"/>
      <c r="P53" s="61"/>
    </row>
    <row r="54" spans="1:17" x14ac:dyDescent="0.25">
      <c r="A54" t="s">
        <v>616</v>
      </c>
      <c r="C54" s="39" t="s">
        <v>67</v>
      </c>
      <c r="E54" s="70" t="s">
        <v>536</v>
      </c>
      <c r="F54" s="54"/>
      <c r="G54" s="54"/>
      <c r="H54" s="54"/>
      <c r="I54" s="54"/>
      <c r="J54" s="67"/>
      <c r="K54" s="67"/>
      <c r="L54" s="54">
        <v>0.56411</v>
      </c>
      <c r="M54" s="54"/>
      <c r="N54" s="705"/>
      <c r="O54" s="706"/>
      <c r="P54" s="61"/>
    </row>
    <row r="55" spans="1:17" ht="15.75" thickBot="1" x14ac:dyDescent="0.3">
      <c r="A55" t="s">
        <v>617</v>
      </c>
      <c r="C55" s="39" t="s">
        <v>68</v>
      </c>
      <c r="E55" s="72" t="s">
        <v>555</v>
      </c>
      <c r="F55" s="76"/>
      <c r="G55" s="76"/>
      <c r="H55" s="76"/>
      <c r="I55" s="76"/>
      <c r="J55" s="74"/>
      <c r="K55" s="74"/>
      <c r="L55" s="76">
        <v>0.14326</v>
      </c>
      <c r="M55" s="76"/>
      <c r="N55" s="707">
        <v>0.17191999999999999</v>
      </c>
      <c r="O55" s="708"/>
      <c r="P55" s="61"/>
    </row>
    <row r="56" spans="1:17" x14ac:dyDescent="0.25">
      <c r="A56" t="s">
        <v>618</v>
      </c>
      <c r="C56" s="39" t="s">
        <v>69</v>
      </c>
      <c r="E56" s="69" t="s">
        <v>550</v>
      </c>
      <c r="F56" s="73"/>
      <c r="G56" s="73"/>
      <c r="H56" s="73"/>
      <c r="I56" s="73"/>
      <c r="J56" s="79"/>
      <c r="K56" s="79"/>
      <c r="L56" s="73">
        <v>0.19162000000000001</v>
      </c>
      <c r="M56" s="73"/>
      <c r="N56" s="709"/>
      <c r="O56" s="710"/>
      <c r="P56" s="61">
        <f>L56+L57+L58+L59+N58+N59</f>
        <v>2.1837599999999999</v>
      </c>
    </row>
    <row r="57" spans="1:17" x14ac:dyDescent="0.25">
      <c r="C57" s="39" t="s">
        <v>70</v>
      </c>
      <c r="E57" s="70" t="s">
        <v>538</v>
      </c>
      <c r="F57" s="54"/>
      <c r="G57" s="54"/>
      <c r="H57" s="54"/>
      <c r="I57" s="54"/>
      <c r="J57" s="67"/>
      <c r="K57" s="67"/>
      <c r="L57" s="54">
        <v>0.49523</v>
      </c>
      <c r="M57" s="54"/>
      <c r="N57" s="705"/>
      <c r="O57" s="706"/>
      <c r="P57" s="61"/>
    </row>
    <row r="58" spans="1:17" x14ac:dyDescent="0.25">
      <c r="C58" s="39" t="s">
        <v>71</v>
      </c>
      <c r="E58" s="70" t="s">
        <v>537</v>
      </c>
      <c r="F58" s="54"/>
      <c r="G58" s="54"/>
      <c r="H58" s="54"/>
      <c r="I58" s="54"/>
      <c r="J58" s="67"/>
      <c r="K58" s="67"/>
      <c r="L58" s="54">
        <v>0.47439999999999999</v>
      </c>
      <c r="M58" s="54"/>
      <c r="N58" s="705">
        <v>0.60697000000000001</v>
      </c>
      <c r="O58" s="706"/>
      <c r="P58" s="61"/>
    </row>
    <row r="59" spans="1:17" ht="15.75" thickBot="1" x14ac:dyDescent="0.3">
      <c r="C59" s="39" t="s">
        <v>72</v>
      </c>
      <c r="E59" s="72" t="s">
        <v>558</v>
      </c>
      <c r="F59" s="76"/>
      <c r="G59" s="76"/>
      <c r="H59" s="76"/>
      <c r="I59" s="76"/>
      <c r="J59" s="74"/>
      <c r="K59" s="74"/>
      <c r="L59" s="76">
        <v>0.16774</v>
      </c>
      <c r="M59" s="76"/>
      <c r="N59" s="707">
        <v>0.24779999999999999</v>
      </c>
      <c r="O59" s="708"/>
      <c r="P59" s="61"/>
    </row>
    <row r="60" spans="1:17" x14ac:dyDescent="0.25">
      <c r="C60" s="39" t="s">
        <v>73</v>
      </c>
      <c r="E60" s="69" t="s">
        <v>516</v>
      </c>
      <c r="F60" s="73"/>
      <c r="G60" s="73"/>
      <c r="H60" s="73"/>
      <c r="I60" s="73"/>
      <c r="J60" s="709">
        <v>0.45617999999999997</v>
      </c>
      <c r="K60" s="720"/>
      <c r="L60" s="73"/>
      <c r="M60" s="73"/>
      <c r="N60" s="709"/>
      <c r="O60" s="710"/>
      <c r="P60" s="61">
        <f>J60+L62+N62+L63+L64+N64</f>
        <v>2.0612399999999997</v>
      </c>
    </row>
    <row r="61" spans="1:17" x14ac:dyDescent="0.25">
      <c r="C61" s="39" t="s">
        <v>74</v>
      </c>
      <c r="E61" s="70" t="s">
        <v>540</v>
      </c>
      <c r="F61" s="54"/>
      <c r="G61" s="54"/>
      <c r="H61" s="54"/>
      <c r="I61" s="54"/>
      <c r="J61" s="54"/>
      <c r="K61" s="54"/>
      <c r="L61" s="54">
        <v>0.28649999999999998</v>
      </c>
      <c r="M61" s="54"/>
      <c r="N61" s="705">
        <v>0.80176999999999998</v>
      </c>
      <c r="O61" s="706"/>
      <c r="P61" s="61">
        <f>J60+L61+N61+L63+L64+N64</f>
        <v>2.4324300000000001</v>
      </c>
      <c r="Q61" t="s">
        <v>809</v>
      </c>
    </row>
    <row r="62" spans="1:17" x14ac:dyDescent="0.25">
      <c r="C62" s="39" t="s">
        <v>75</v>
      </c>
      <c r="E62" s="70" t="s">
        <v>549</v>
      </c>
      <c r="F62" s="54"/>
      <c r="G62" s="54"/>
      <c r="H62" s="54"/>
      <c r="I62" s="54"/>
      <c r="J62" s="54"/>
      <c r="K62" s="54"/>
      <c r="L62" s="54">
        <v>0.20932000000000001</v>
      </c>
      <c r="M62" s="54"/>
      <c r="N62" s="705">
        <v>0.50775999999999999</v>
      </c>
      <c r="O62" s="706"/>
      <c r="P62" s="61"/>
    </row>
    <row r="63" spans="1:17" x14ac:dyDescent="0.25">
      <c r="C63" s="39" t="s">
        <v>76</v>
      </c>
      <c r="E63" s="70" t="s">
        <v>552</v>
      </c>
      <c r="F63" s="54"/>
      <c r="G63" s="54"/>
      <c r="H63" s="54"/>
      <c r="I63" s="54"/>
      <c r="J63" s="54"/>
      <c r="K63" s="54"/>
      <c r="L63" s="54">
        <v>0.14599000000000001</v>
      </c>
      <c r="M63" s="54"/>
      <c r="N63" s="705"/>
      <c r="O63" s="706"/>
      <c r="P63" s="61"/>
    </row>
    <row r="64" spans="1:17" ht="15.75" thickBot="1" x14ac:dyDescent="0.3">
      <c r="C64" s="39" t="s">
        <v>77</v>
      </c>
      <c r="E64" s="72" t="s">
        <v>539</v>
      </c>
      <c r="F64" s="76"/>
      <c r="G64" s="76"/>
      <c r="H64" s="76"/>
      <c r="I64" s="76"/>
      <c r="J64" s="76"/>
      <c r="K64" s="76"/>
      <c r="L64" s="76">
        <v>0.12414</v>
      </c>
      <c r="M64" s="76"/>
      <c r="N64" s="707">
        <v>0.61785000000000001</v>
      </c>
      <c r="O64" s="708"/>
      <c r="P64" s="61"/>
    </row>
    <row r="65" spans="3:17" x14ac:dyDescent="0.25">
      <c r="C65" s="39" t="s">
        <v>78</v>
      </c>
      <c r="E65" s="69" t="s">
        <v>544</v>
      </c>
      <c r="F65" s="73"/>
      <c r="G65" s="73"/>
      <c r="H65" s="73"/>
      <c r="I65" s="73"/>
      <c r="J65" s="73"/>
      <c r="K65" s="73"/>
      <c r="L65" s="73">
        <v>0.23763000000000001</v>
      </c>
      <c r="M65" s="73"/>
      <c r="N65" s="709">
        <v>1</v>
      </c>
      <c r="O65" s="710"/>
      <c r="P65" s="61">
        <f>L65+N65+L66+L67+N67</f>
        <v>1.8703959999999999</v>
      </c>
      <c r="Q65" s="61"/>
    </row>
    <row r="66" spans="3:17" x14ac:dyDescent="0.25">
      <c r="C66" s="39" t="s">
        <v>79</v>
      </c>
      <c r="E66" s="70" t="s">
        <v>553</v>
      </c>
      <c r="F66" s="54"/>
      <c r="G66" s="54"/>
      <c r="H66" s="54"/>
      <c r="I66" s="54"/>
      <c r="J66" s="54"/>
      <c r="K66" s="54"/>
      <c r="L66" s="54">
        <v>0.17316000000000001</v>
      </c>
      <c r="M66" s="54"/>
      <c r="N66" s="705"/>
      <c r="O66" s="706"/>
      <c r="P66" s="61"/>
      <c r="Q66" s="61"/>
    </row>
    <row r="67" spans="3:17" ht="15.75" thickBot="1" x14ac:dyDescent="0.3">
      <c r="C67" s="39" t="s">
        <v>80</v>
      </c>
      <c r="E67" s="72" t="s">
        <v>556</v>
      </c>
      <c r="F67" s="76"/>
      <c r="G67" s="76"/>
      <c r="H67" s="76"/>
      <c r="I67" s="76"/>
      <c r="J67" s="76"/>
      <c r="K67" s="76"/>
      <c r="L67" s="76">
        <v>0.12317</v>
      </c>
      <c r="M67" s="76"/>
      <c r="N67" s="707">
        <v>0.33643600000000001</v>
      </c>
      <c r="O67" s="708"/>
      <c r="P67" s="61"/>
      <c r="Q67" s="61"/>
    </row>
    <row r="68" spans="3:17" x14ac:dyDescent="0.25">
      <c r="C68" s="39" t="s">
        <v>81</v>
      </c>
      <c r="E68" s="69" t="s">
        <v>559</v>
      </c>
      <c r="F68" s="73"/>
      <c r="G68" s="73"/>
      <c r="H68" s="73"/>
      <c r="I68" s="73"/>
      <c r="J68" s="73"/>
      <c r="K68" s="73"/>
      <c r="L68" s="73">
        <v>0.20199</v>
      </c>
      <c r="M68" s="73"/>
      <c r="N68" s="709">
        <v>0.85</v>
      </c>
      <c r="O68" s="710"/>
      <c r="P68" s="61">
        <f>L68+N68+L69+L70+N70</f>
        <v>1.6197900000000001</v>
      </c>
    </row>
    <row r="69" spans="3:17" x14ac:dyDescent="0.25">
      <c r="C69" s="39" t="s">
        <v>82</v>
      </c>
      <c r="E69" s="70" t="s">
        <v>554</v>
      </c>
      <c r="F69" s="54"/>
      <c r="G69" s="54"/>
      <c r="H69" s="54"/>
      <c r="I69" s="54"/>
      <c r="J69" s="54"/>
      <c r="K69" s="54"/>
      <c r="L69" s="54">
        <v>0.17718999999999999</v>
      </c>
      <c r="M69" s="54"/>
      <c r="N69" s="705"/>
      <c r="O69" s="706"/>
      <c r="P69" s="61"/>
    </row>
    <row r="70" spans="3:17" ht="15.75" thickBot="1" x14ac:dyDescent="0.3">
      <c r="C70" s="39" t="s">
        <v>83</v>
      </c>
      <c r="E70" s="71" t="s">
        <v>557</v>
      </c>
      <c r="F70" s="84"/>
      <c r="G70" s="84"/>
      <c r="H70" s="84"/>
      <c r="I70" s="84"/>
      <c r="J70" s="84"/>
      <c r="K70" s="84"/>
      <c r="L70" s="84">
        <v>0.1047</v>
      </c>
      <c r="M70" s="84"/>
      <c r="N70" s="714">
        <v>0.28591</v>
      </c>
      <c r="O70" s="715"/>
      <c r="P70" s="61"/>
    </row>
  </sheetData>
  <mergeCells count="93">
    <mergeCell ref="L1:M1"/>
    <mergeCell ref="J10:K10"/>
    <mergeCell ref="J15:K15"/>
    <mergeCell ref="J13:K13"/>
    <mergeCell ref="J53:K53"/>
    <mergeCell ref="J42:K42"/>
    <mergeCell ref="J51:K51"/>
    <mergeCell ref="J27:K27"/>
    <mergeCell ref="J33:K33"/>
    <mergeCell ref="J21:K21"/>
    <mergeCell ref="J60:K60"/>
    <mergeCell ref="J24:K24"/>
    <mergeCell ref="J18:K18"/>
    <mergeCell ref="J38:K38"/>
    <mergeCell ref="J35:K35"/>
    <mergeCell ref="H52:I52"/>
    <mergeCell ref="H29:I29"/>
    <mergeCell ref="H31:I31"/>
    <mergeCell ref="H34:I34"/>
    <mergeCell ref="H37:I37"/>
    <mergeCell ref="H45:I45"/>
    <mergeCell ref="H41:I41"/>
    <mergeCell ref="H48:I48"/>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F1:G1"/>
    <mergeCell ref="F37:G37"/>
    <mergeCell ref="F12:G12"/>
    <mergeCell ref="F34:G34"/>
    <mergeCell ref="F3:G3"/>
    <mergeCell ref="F4:G4"/>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N59:O59"/>
    <mergeCell ref="N60:O60"/>
    <mergeCell ref="N61:O61"/>
    <mergeCell ref="N62:O62"/>
    <mergeCell ref="N63:O63"/>
    <mergeCell ref="N69:O69"/>
    <mergeCell ref="N64:O64"/>
    <mergeCell ref="N65:O65"/>
    <mergeCell ref="N66:O66"/>
    <mergeCell ref="N67:O67"/>
    <mergeCell ref="N68:O68"/>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59999389629810485"/>
    <pageSetUpPr fitToPage="1"/>
  </sheetPr>
  <dimension ref="A1:Z77"/>
  <sheetViews>
    <sheetView tabSelected="1" zoomScale="80" zoomScaleNormal="80" workbookViewId="0">
      <pane xSplit="1" ySplit="3" topLeftCell="I39" activePane="bottomRight" state="frozen"/>
      <selection pane="topRight" activeCell="B1" sqref="B1"/>
      <selection pane="bottomLeft" activeCell="A3" sqref="A3"/>
      <selection pane="bottomRight" activeCell="P46" sqref="P46:Q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3">
        <v>0.34</v>
      </c>
      <c r="B1" s="724"/>
      <c r="C1" s="723">
        <v>0.245</v>
      </c>
      <c r="D1" s="724"/>
      <c r="E1" s="723">
        <v>0.125</v>
      </c>
      <c r="F1" s="724"/>
      <c r="G1" s="723">
        <v>0.29099999999999998</v>
      </c>
      <c r="H1" s="724"/>
      <c r="I1" s="723">
        <v>0.19</v>
      </c>
      <c r="J1" s="724"/>
      <c r="L1" s="723">
        <v>0.34</v>
      </c>
      <c r="M1" s="724"/>
      <c r="N1" s="723">
        <v>0.245</v>
      </c>
      <c r="O1" s="724"/>
      <c r="P1" s="723">
        <v>0.125</v>
      </c>
      <c r="Q1" s="724"/>
      <c r="R1" s="723">
        <f>0.291*86/100</f>
        <v>0.25025999999999998</v>
      </c>
      <c r="S1" s="724"/>
      <c r="T1" s="723">
        <v>0.19</v>
      </c>
      <c r="U1" s="724"/>
    </row>
    <row r="2" spans="1:26" s="605" customFormat="1" ht="18.75" x14ac:dyDescent="0.3">
      <c r="A2" s="716" t="s">
        <v>560</v>
      </c>
      <c r="B2" s="716"/>
      <c r="C2" s="716" t="s">
        <v>561</v>
      </c>
      <c r="D2" s="716"/>
      <c r="E2" s="716" t="s">
        <v>330</v>
      </c>
      <c r="F2" s="716"/>
      <c r="G2" s="716" t="s">
        <v>563</v>
      </c>
      <c r="H2" s="716"/>
      <c r="I2" s="716" t="s">
        <v>562</v>
      </c>
      <c r="J2" s="716"/>
      <c r="K2"/>
      <c r="L2" s="716" t="s">
        <v>560</v>
      </c>
      <c r="M2" s="716"/>
      <c r="N2" s="716" t="s">
        <v>561</v>
      </c>
      <c r="O2" s="716"/>
      <c r="P2" s="716" t="s">
        <v>330</v>
      </c>
      <c r="Q2" s="716"/>
      <c r="R2" s="716" t="s">
        <v>563</v>
      </c>
      <c r="S2" s="716"/>
      <c r="T2" s="716" t="s">
        <v>562</v>
      </c>
      <c r="U2" s="716"/>
      <c r="V2"/>
      <c r="W2"/>
    </row>
    <row r="3" spans="1:26" s="605" customFormat="1" ht="19.5" thickBot="1" x14ac:dyDescent="0.35">
      <c r="A3" s="68" t="s">
        <v>490</v>
      </c>
      <c r="B3" s="68" t="s">
        <v>491</v>
      </c>
      <c r="C3" s="718"/>
      <c r="D3" s="719"/>
      <c r="E3" s="718"/>
      <c r="F3" s="719"/>
      <c r="G3" s="68" t="s">
        <v>490</v>
      </c>
      <c r="H3" s="68" t="s">
        <v>491</v>
      </c>
      <c r="I3" s="718"/>
      <c r="J3" s="719"/>
      <c r="K3"/>
      <c r="L3" s="68" t="s">
        <v>490</v>
      </c>
      <c r="M3" s="68" t="s">
        <v>491</v>
      </c>
      <c r="N3" s="718"/>
      <c r="O3" s="719"/>
      <c r="P3" s="718"/>
      <c r="Q3" s="719"/>
      <c r="R3" s="68" t="s">
        <v>490</v>
      </c>
      <c r="S3" s="68" t="s">
        <v>491</v>
      </c>
      <c r="T3" s="718"/>
      <c r="U3" s="719"/>
      <c r="V3"/>
      <c r="W3"/>
    </row>
    <row r="4" spans="1:26" s="605" customFormat="1" x14ac:dyDescent="0.25">
      <c r="A4" s="713">
        <v>0.64709000000000005</v>
      </c>
      <c r="B4" s="713"/>
      <c r="C4" s="713">
        <v>0.97192999999999996</v>
      </c>
      <c r="D4" s="713"/>
      <c r="E4" s="73"/>
      <c r="F4" s="73"/>
      <c r="G4" s="73"/>
      <c r="H4" s="73"/>
      <c r="I4" s="73"/>
      <c r="J4" s="80"/>
      <c r="K4" s="69" t="s">
        <v>492</v>
      </c>
      <c r="L4" s="713">
        <v>0.64709000000000005</v>
      </c>
      <c r="M4" s="713"/>
      <c r="N4" s="713">
        <v>0.97192999999999996</v>
      </c>
      <c r="O4" s="713"/>
      <c r="P4" s="73"/>
      <c r="Q4" s="73"/>
      <c r="R4" s="73"/>
      <c r="S4" s="73"/>
      <c r="T4" s="73"/>
      <c r="U4" s="80"/>
      <c r="V4"/>
      <c r="W4"/>
      <c r="Y4" s="494"/>
      <c r="Z4" s="494"/>
    </row>
    <row r="5" spans="1:26" s="605" customFormat="1" ht="15.75" thickBot="1" x14ac:dyDescent="0.3">
      <c r="A5" s="717">
        <v>0.26545000000000002</v>
      </c>
      <c r="B5" s="717"/>
      <c r="C5" s="717">
        <v>0.39895999999999998</v>
      </c>
      <c r="D5" s="717"/>
      <c r="E5" s="76"/>
      <c r="F5" s="76"/>
      <c r="G5" s="76"/>
      <c r="H5" s="76"/>
      <c r="I5" s="76"/>
      <c r="J5" s="81"/>
      <c r="K5" s="72" t="s">
        <v>493</v>
      </c>
      <c r="L5" s="717">
        <v>0.26545000000000002</v>
      </c>
      <c r="M5" s="717"/>
      <c r="N5" s="717">
        <v>0.39895999999999998</v>
      </c>
      <c r="O5" s="717"/>
      <c r="P5" s="76"/>
      <c r="Q5" s="76"/>
      <c r="R5" s="76"/>
      <c r="S5" s="76"/>
      <c r="T5" s="76"/>
      <c r="U5" s="81"/>
      <c r="V5"/>
      <c r="W5"/>
      <c r="Y5" s="494"/>
      <c r="Z5" s="494"/>
    </row>
    <row r="6" spans="1:26" s="605" customFormat="1" x14ac:dyDescent="0.25">
      <c r="A6" s="73">
        <v>0.50017999999999996</v>
      </c>
      <c r="B6" s="73">
        <v>0.25008999999999998</v>
      </c>
      <c r="C6" s="713">
        <v>1</v>
      </c>
      <c r="D6" s="713"/>
      <c r="E6" s="73"/>
      <c r="F6" s="73"/>
      <c r="G6" s="73"/>
      <c r="H6" s="73"/>
      <c r="I6" s="73"/>
      <c r="J6" s="80"/>
      <c r="K6" s="69" t="s">
        <v>494</v>
      </c>
      <c r="L6" s="73">
        <v>0.50017999999999996</v>
      </c>
      <c r="M6" s="73">
        <v>0.25008999999999998</v>
      </c>
      <c r="N6" s="713">
        <v>1</v>
      </c>
      <c r="O6" s="713"/>
      <c r="P6" s="73"/>
      <c r="Q6" s="73"/>
      <c r="R6" s="73"/>
      <c r="S6" s="73"/>
      <c r="T6" s="73"/>
      <c r="U6" s="80"/>
      <c r="V6"/>
      <c r="W6"/>
      <c r="Y6" s="494"/>
      <c r="Z6" s="494"/>
    </row>
    <row r="7" spans="1:26" s="605" customFormat="1" ht="15.75" thickBot="1" x14ac:dyDescent="0.3">
      <c r="A7" s="76"/>
      <c r="B7" s="76"/>
      <c r="C7" s="76"/>
      <c r="D7" s="76"/>
      <c r="E7" s="717">
        <v>0.27488000000000001</v>
      </c>
      <c r="F7" s="717"/>
      <c r="G7" s="76"/>
      <c r="H7" s="76"/>
      <c r="I7" s="76"/>
      <c r="J7" s="81"/>
      <c r="K7" s="72" t="s">
        <v>518</v>
      </c>
      <c r="L7" s="76"/>
      <c r="M7" s="76"/>
      <c r="N7" s="76"/>
      <c r="O7" s="76"/>
      <c r="P7" s="717">
        <v>0.27488000000000001</v>
      </c>
      <c r="Q7" s="717"/>
      <c r="R7" s="76"/>
      <c r="S7" s="76"/>
      <c r="T7" s="76"/>
      <c r="U7" s="81"/>
      <c r="V7"/>
      <c r="W7"/>
      <c r="Y7" s="494"/>
      <c r="Z7" s="494"/>
    </row>
    <row r="8" spans="1:26" s="605" customFormat="1" x14ac:dyDescent="0.25">
      <c r="A8" s="73">
        <v>0.35504999999999998</v>
      </c>
      <c r="B8" s="73">
        <v>0.17752000000000001</v>
      </c>
      <c r="C8" s="713">
        <v>0.72296000000000005</v>
      </c>
      <c r="D8" s="713"/>
      <c r="E8" s="73"/>
      <c r="F8" s="73"/>
      <c r="G8" s="73"/>
      <c r="H8" s="73"/>
      <c r="I8" s="73"/>
      <c r="J8" s="80"/>
      <c r="K8" s="69" t="s">
        <v>495</v>
      </c>
      <c r="L8" s="73">
        <v>0.35504999999999998</v>
      </c>
      <c r="M8" s="73">
        <v>0.17752000000000001</v>
      </c>
      <c r="N8" s="713">
        <v>0.72296000000000005</v>
      </c>
      <c r="O8" s="713"/>
      <c r="P8" s="73"/>
      <c r="Q8" s="73"/>
      <c r="R8" s="73"/>
      <c r="S8" s="73"/>
      <c r="T8" s="73"/>
      <c r="U8" s="80"/>
      <c r="V8"/>
      <c r="W8"/>
      <c r="Y8" s="494"/>
      <c r="Z8" s="494"/>
    </row>
    <row r="9" spans="1:26" s="605" customFormat="1" ht="15.75" thickBot="1" x14ac:dyDescent="0.3">
      <c r="A9" s="76"/>
      <c r="B9" s="76"/>
      <c r="C9" s="76"/>
      <c r="D9" s="76"/>
      <c r="E9" s="717">
        <v>0.36337000000000003</v>
      </c>
      <c r="F9" s="717"/>
      <c r="G9" s="76"/>
      <c r="H9" s="76"/>
      <c r="I9" s="76"/>
      <c r="J9" s="81"/>
      <c r="K9" s="72" t="s">
        <v>525</v>
      </c>
      <c r="L9" s="76"/>
      <c r="M9" s="76"/>
      <c r="N9" s="76"/>
      <c r="O9" s="76"/>
      <c r="P9" s="717">
        <f>36.337%*1.21</f>
        <v>0.4396777</v>
      </c>
      <c r="Q9" s="717"/>
      <c r="R9" s="76"/>
      <c r="S9" s="76"/>
      <c r="T9" s="76"/>
      <c r="U9" s="81"/>
      <c r="V9"/>
      <c r="W9"/>
      <c r="Y9" s="494"/>
      <c r="Z9" s="494"/>
    </row>
    <row r="10" spans="1:26" s="605" customFormat="1" x14ac:dyDescent="0.25">
      <c r="A10" s="73">
        <v>0.65615999999999997</v>
      </c>
      <c r="B10" s="73"/>
      <c r="C10" s="713">
        <v>0.78437000000000001</v>
      </c>
      <c r="D10" s="713"/>
      <c r="E10" s="73"/>
      <c r="F10" s="73"/>
      <c r="G10" s="73"/>
      <c r="H10" s="73"/>
      <c r="I10" s="73"/>
      <c r="J10" s="80"/>
      <c r="K10" s="69" t="s">
        <v>496</v>
      </c>
      <c r="L10" s="73">
        <f>65.616%*1.06</f>
        <v>0.69552959999999997</v>
      </c>
      <c r="M10" s="73"/>
      <c r="N10" s="713">
        <f>78.437%*(1-0.09)</f>
        <v>0.71377670000000004</v>
      </c>
      <c r="O10" s="713"/>
      <c r="P10" s="73"/>
      <c r="Q10" s="73"/>
      <c r="R10" s="73"/>
      <c r="S10" s="73"/>
      <c r="T10" s="73"/>
      <c r="U10" s="80"/>
      <c r="V10"/>
      <c r="W10"/>
      <c r="Y10" s="494"/>
      <c r="Z10" s="494"/>
    </row>
    <row r="11" spans="1:26" s="605" customFormat="1" x14ac:dyDescent="0.25">
      <c r="A11" s="54"/>
      <c r="B11" s="54"/>
      <c r="C11" s="54"/>
      <c r="D11" s="54"/>
      <c r="E11" s="721">
        <v>0.1464</v>
      </c>
      <c r="F11" s="721"/>
      <c r="G11" s="54"/>
      <c r="H11" s="54"/>
      <c r="I11" s="54"/>
      <c r="J11" s="82"/>
      <c r="K11" s="70" t="s">
        <v>522</v>
      </c>
      <c r="L11" s="54"/>
      <c r="M11" s="54"/>
      <c r="N11" s="54"/>
      <c r="O11" s="54"/>
      <c r="P11" s="721">
        <v>0.1464</v>
      </c>
      <c r="Q11" s="721"/>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13">
        <v>0.42514999999999997</v>
      </c>
      <c r="B13" s="713"/>
      <c r="C13" s="713">
        <v>0.85</v>
      </c>
      <c r="D13" s="713"/>
      <c r="E13" s="73"/>
      <c r="F13" s="73"/>
      <c r="G13" s="73"/>
      <c r="H13" s="73"/>
      <c r="I13" s="73"/>
      <c r="J13" s="80"/>
      <c r="K13" s="69" t="s">
        <v>497</v>
      </c>
      <c r="L13" s="713">
        <v>0.42514999999999997</v>
      </c>
      <c r="M13" s="713"/>
      <c r="N13" s="713">
        <v>0.85</v>
      </c>
      <c r="O13" s="713"/>
      <c r="P13" s="73"/>
      <c r="Q13" s="73"/>
      <c r="R13" s="73"/>
      <c r="S13" s="73"/>
      <c r="T13" s="73"/>
      <c r="U13" s="80"/>
      <c r="V13"/>
      <c r="W13"/>
      <c r="Y13" s="494"/>
      <c r="Z13" s="494"/>
    </row>
    <row r="14" spans="1:26" s="605" customFormat="1" ht="15.75" thickBot="1" x14ac:dyDescent="0.3">
      <c r="A14" s="76"/>
      <c r="B14" s="76"/>
      <c r="C14" s="76"/>
      <c r="D14" s="76"/>
      <c r="E14" s="717">
        <v>0.23365</v>
      </c>
      <c r="F14" s="717"/>
      <c r="G14" s="76"/>
      <c r="H14" s="76"/>
      <c r="I14" s="76"/>
      <c r="J14" s="81"/>
      <c r="K14" s="72" t="s">
        <v>519</v>
      </c>
      <c r="L14" s="76"/>
      <c r="M14" s="76"/>
      <c r="N14" s="76"/>
      <c r="O14" s="76"/>
      <c r="P14" s="717">
        <v>0.23365</v>
      </c>
      <c r="Q14" s="717"/>
      <c r="R14" s="76"/>
      <c r="S14" s="76"/>
      <c r="T14" s="76"/>
      <c r="U14" s="81"/>
      <c r="V14"/>
      <c r="W14"/>
      <c r="Y14" s="494"/>
      <c r="Z14" s="494"/>
    </row>
    <row r="15" spans="1:26" s="605" customFormat="1" x14ac:dyDescent="0.25">
      <c r="A15" s="73">
        <v>1</v>
      </c>
      <c r="B15" s="75"/>
      <c r="C15" s="713">
        <v>0.51382000000000005</v>
      </c>
      <c r="D15" s="713"/>
      <c r="E15" s="73"/>
      <c r="F15" s="73"/>
      <c r="G15" s="73"/>
      <c r="H15" s="73"/>
      <c r="I15" s="73"/>
      <c r="J15" s="80"/>
      <c r="K15" s="69" t="s">
        <v>502</v>
      </c>
      <c r="L15" s="73">
        <v>1</v>
      </c>
      <c r="M15" s="75"/>
      <c r="N15" s="713">
        <v>0.51382000000000005</v>
      </c>
      <c r="O15" s="713"/>
      <c r="P15" s="73"/>
      <c r="Q15" s="73"/>
      <c r="R15" s="73"/>
      <c r="S15" s="73"/>
      <c r="T15" s="73"/>
      <c r="U15" s="80"/>
      <c r="V15"/>
      <c r="W15"/>
      <c r="Y15" s="494"/>
      <c r="Z15" s="494"/>
    </row>
    <row r="16" spans="1:26" s="605" customFormat="1" x14ac:dyDescent="0.25">
      <c r="A16" s="54"/>
      <c r="B16" s="54"/>
      <c r="C16" s="54"/>
      <c r="D16" s="54"/>
      <c r="E16" s="721">
        <v>4.3869999999999999E-2</v>
      </c>
      <c r="F16" s="721"/>
      <c r="G16" s="54"/>
      <c r="H16" s="54"/>
      <c r="I16" s="54"/>
      <c r="J16" s="82"/>
      <c r="K16" s="70" t="s">
        <v>523</v>
      </c>
      <c r="L16" s="54"/>
      <c r="M16" s="54"/>
      <c r="N16" s="54"/>
      <c r="O16" s="54"/>
      <c r="P16" s="721">
        <v>4.3869999999999999E-2</v>
      </c>
      <c r="Q16" s="721"/>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13">
        <v>0.46146999999999999</v>
      </c>
      <c r="D18" s="713"/>
      <c r="E18" s="73"/>
      <c r="F18" s="73"/>
      <c r="G18" s="73"/>
      <c r="H18" s="73"/>
      <c r="I18" s="73"/>
      <c r="J18" s="80"/>
      <c r="K18" s="69" t="s">
        <v>503</v>
      </c>
      <c r="L18" s="73">
        <v>0.91232999999999997</v>
      </c>
      <c r="M18" s="75"/>
      <c r="N18" s="713">
        <f>46.147%*(1-0.08)</f>
        <v>0.4245524</v>
      </c>
      <c r="O18" s="713"/>
      <c r="P18" s="73"/>
      <c r="Q18" s="73"/>
      <c r="R18" s="73"/>
      <c r="S18" s="73"/>
      <c r="T18" s="73"/>
      <c r="U18" s="80"/>
      <c r="Y18" s="494"/>
      <c r="Z18" s="494"/>
    </row>
    <row r="19" spans="1:26" x14ac:dyDescent="0.25">
      <c r="A19" s="54"/>
      <c r="B19" s="54"/>
      <c r="C19" s="54"/>
      <c r="D19" s="54"/>
      <c r="E19" s="721">
        <v>0.15035999999999999</v>
      </c>
      <c r="F19" s="721"/>
      <c r="G19" s="54"/>
      <c r="H19" s="54"/>
      <c r="I19" s="54"/>
      <c r="J19" s="82"/>
      <c r="K19" s="70" t="s">
        <v>521</v>
      </c>
      <c r="L19" s="54"/>
      <c r="M19" s="54"/>
      <c r="N19" s="54"/>
      <c r="O19" s="54"/>
      <c r="P19" s="721">
        <v>0.15035999999999999</v>
      </c>
      <c r="Q19" s="721"/>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13">
        <v>0.38878000000000001</v>
      </c>
      <c r="D21" s="713"/>
      <c r="E21" s="73"/>
      <c r="F21" s="73"/>
      <c r="G21" s="73"/>
      <c r="H21" s="73"/>
      <c r="I21" s="73"/>
      <c r="J21" s="80"/>
      <c r="K21" s="69" t="s">
        <v>504</v>
      </c>
      <c r="L21" s="73">
        <v>0.69059999999999999</v>
      </c>
      <c r="M21" s="75"/>
      <c r="N21" s="713">
        <v>0.38878000000000001</v>
      </c>
      <c r="O21" s="713"/>
      <c r="P21" s="73"/>
      <c r="Q21" s="73"/>
      <c r="R21" s="73"/>
      <c r="S21" s="73"/>
      <c r="T21" s="73"/>
      <c r="U21" s="80"/>
      <c r="Y21" s="494"/>
      <c r="Z21" s="494"/>
    </row>
    <row r="22" spans="1:26" x14ac:dyDescent="0.25">
      <c r="A22" s="54"/>
      <c r="B22" s="54"/>
      <c r="C22" s="54"/>
      <c r="D22" s="54"/>
      <c r="E22" s="721">
        <v>0.2099</v>
      </c>
      <c r="F22" s="721"/>
      <c r="G22" s="54"/>
      <c r="H22" s="54"/>
      <c r="I22" s="54"/>
      <c r="J22" s="82"/>
      <c r="K22" s="70" t="s">
        <v>526</v>
      </c>
      <c r="L22" s="54"/>
      <c r="M22" s="54"/>
      <c r="N22" s="54"/>
      <c r="O22" s="54"/>
      <c r="P22" s="721">
        <v>0.2099</v>
      </c>
      <c r="Q22" s="721"/>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13">
        <v>0.70006000000000002</v>
      </c>
      <c r="D24" s="713"/>
      <c r="E24" s="73"/>
      <c r="F24" s="73"/>
      <c r="G24" s="73"/>
      <c r="H24" s="73"/>
      <c r="I24" s="73"/>
      <c r="J24" s="80"/>
      <c r="K24" s="69" t="s">
        <v>505</v>
      </c>
      <c r="L24" s="73">
        <v>0.68315000000000003</v>
      </c>
      <c r="M24" s="75"/>
      <c r="N24" s="713">
        <v>0.70006000000000002</v>
      </c>
      <c r="O24" s="713"/>
      <c r="P24" s="73"/>
      <c r="Q24" s="73"/>
      <c r="R24" s="73"/>
      <c r="S24" s="73"/>
      <c r="T24" s="73"/>
      <c r="U24" s="80"/>
      <c r="Y24" s="494"/>
      <c r="Z24" s="494"/>
    </row>
    <row r="25" spans="1:26" x14ac:dyDescent="0.25">
      <c r="A25" s="54"/>
      <c r="B25" s="54"/>
      <c r="C25" s="54"/>
      <c r="D25" s="54"/>
      <c r="E25" s="721">
        <v>0.152</v>
      </c>
      <c r="F25" s="721"/>
      <c r="G25" s="54"/>
      <c r="H25" s="54"/>
      <c r="I25" s="54"/>
      <c r="J25" s="82"/>
      <c r="K25" s="70" t="s">
        <v>520</v>
      </c>
      <c r="L25" s="54"/>
      <c r="M25" s="54"/>
      <c r="N25" s="54"/>
      <c r="O25" s="54"/>
      <c r="P25" s="721">
        <v>0.152</v>
      </c>
      <c r="Q25" s="721"/>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13">
        <v>0.42459999999999998</v>
      </c>
      <c r="D27" s="713"/>
      <c r="E27" s="73"/>
      <c r="F27" s="73"/>
      <c r="G27" s="73"/>
      <c r="H27" s="73"/>
      <c r="I27" s="709"/>
      <c r="J27" s="710"/>
      <c r="K27" s="69" t="s">
        <v>498</v>
      </c>
      <c r="L27" s="73">
        <v>0.18545</v>
      </c>
      <c r="M27" s="73">
        <v>9.2719999999999997E-2</v>
      </c>
      <c r="N27" s="713">
        <v>0.42459999999999998</v>
      </c>
      <c r="O27" s="713"/>
      <c r="P27" s="73"/>
      <c r="Q27" s="73"/>
      <c r="R27" s="73"/>
      <c r="S27" s="73"/>
      <c r="T27" s="709"/>
      <c r="U27" s="710"/>
      <c r="Y27" s="494"/>
      <c r="Z27" s="494"/>
    </row>
    <row r="28" spans="1:26" x14ac:dyDescent="0.25">
      <c r="A28" s="54"/>
      <c r="B28" s="54"/>
      <c r="C28" s="54"/>
      <c r="D28" s="54"/>
      <c r="E28" s="721">
        <v>1</v>
      </c>
      <c r="F28" s="721"/>
      <c r="G28" s="54"/>
      <c r="H28" s="54"/>
      <c r="I28" s="705"/>
      <c r="J28" s="706"/>
      <c r="K28" s="70" t="s">
        <v>510</v>
      </c>
      <c r="L28" s="54"/>
      <c r="M28" s="54"/>
      <c r="N28" s="54"/>
      <c r="O28" s="54"/>
      <c r="P28" s="721">
        <v>1</v>
      </c>
      <c r="Q28" s="721"/>
      <c r="R28" s="54"/>
      <c r="S28" s="54"/>
      <c r="T28" s="705"/>
      <c r="U28" s="706"/>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07">
        <v>0.21</v>
      </c>
      <c r="U29" s="708"/>
      <c r="Y29" s="494"/>
      <c r="Z29" s="494"/>
    </row>
    <row r="30" spans="1:26" ht="15.75" thickBot="1" x14ac:dyDescent="0.3">
      <c r="A30" s="76"/>
      <c r="B30" s="76"/>
      <c r="C30" s="76"/>
      <c r="D30" s="76"/>
      <c r="E30" s="599"/>
      <c r="F30" s="599"/>
      <c r="G30" s="76">
        <v>0.24451999999999999</v>
      </c>
      <c r="H30" s="76">
        <v>0.1226</v>
      </c>
      <c r="I30" s="707">
        <v>0.34044000000000002</v>
      </c>
      <c r="J30" s="708"/>
      <c r="K30" s="72" t="s">
        <v>542</v>
      </c>
      <c r="L30" s="76"/>
      <c r="M30" s="76"/>
      <c r="N30" s="76"/>
      <c r="O30" s="76"/>
      <c r="P30" s="599"/>
      <c r="Q30" s="599"/>
      <c r="R30" s="76">
        <v>0.2843255813953488</v>
      </c>
      <c r="S30" s="76">
        <v>0.14255813953488372</v>
      </c>
      <c r="T30" s="707">
        <f>34.044%*1.05</f>
        <v>0.357462</v>
      </c>
      <c r="U30" s="708"/>
      <c r="Y30" s="494"/>
      <c r="Z30" s="494"/>
    </row>
    <row r="31" spans="1:26" x14ac:dyDescent="0.25">
      <c r="A31" s="73">
        <v>0.27438000000000001</v>
      </c>
      <c r="B31" s="73">
        <v>0.13719000000000001</v>
      </c>
      <c r="C31" s="713">
        <v>0.62792999999999999</v>
      </c>
      <c r="D31" s="713"/>
      <c r="E31" s="73"/>
      <c r="F31" s="73"/>
      <c r="G31" s="73"/>
      <c r="H31" s="73"/>
      <c r="I31" s="709"/>
      <c r="J31" s="710"/>
      <c r="K31" s="69" t="s">
        <v>499</v>
      </c>
      <c r="L31" s="73">
        <v>0.27438000000000001</v>
      </c>
      <c r="M31" s="73">
        <v>0.13719000000000001</v>
      </c>
      <c r="N31" s="713">
        <v>0.62792999999999999</v>
      </c>
      <c r="O31" s="713"/>
      <c r="P31" s="73"/>
      <c r="Q31" s="73"/>
      <c r="R31" s="73"/>
      <c r="S31" s="73"/>
      <c r="T31" s="709"/>
      <c r="U31" s="710"/>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07">
        <v>0.12</v>
      </c>
      <c r="U32" s="708"/>
      <c r="Y32" s="494"/>
      <c r="Z32" s="494"/>
    </row>
    <row r="33" spans="1:26" ht="15.75" thickBot="1" x14ac:dyDescent="0.3">
      <c r="A33" s="76"/>
      <c r="B33" s="76"/>
      <c r="C33" s="599"/>
      <c r="D33" s="599"/>
      <c r="E33" s="76"/>
      <c r="F33" s="76"/>
      <c r="G33" s="76">
        <v>0.14949999999999999</v>
      </c>
      <c r="H33" s="76">
        <v>7.3999999999999996E-2</v>
      </c>
      <c r="I33" s="707">
        <v>0.23748</v>
      </c>
      <c r="J33" s="708"/>
      <c r="K33" s="72" t="s">
        <v>551</v>
      </c>
      <c r="L33" s="76"/>
      <c r="M33" s="76"/>
      <c r="N33" s="599"/>
      <c r="O33" s="599"/>
      <c r="P33" s="76"/>
      <c r="Q33" s="76"/>
      <c r="R33" s="76">
        <v>0.13906976744186045</v>
      </c>
      <c r="S33" s="76">
        <v>6.8837209302325592E-2</v>
      </c>
      <c r="T33" s="707">
        <f>23.748%*0.8</f>
        <v>0.18998400000000004</v>
      </c>
      <c r="U33" s="708"/>
      <c r="Y33" s="494"/>
      <c r="Z33" s="494"/>
    </row>
    <row r="34" spans="1:26" x14ac:dyDescent="0.25">
      <c r="A34" s="73">
        <v>0.11212</v>
      </c>
      <c r="B34" s="73">
        <v>5.6059999999999999E-2</v>
      </c>
      <c r="C34" s="713">
        <v>0.23462</v>
      </c>
      <c r="D34" s="713"/>
      <c r="E34" s="73"/>
      <c r="F34" s="73"/>
      <c r="G34" s="73"/>
      <c r="H34" s="73"/>
      <c r="I34" s="709"/>
      <c r="J34" s="710"/>
      <c r="K34" s="69" t="s">
        <v>500</v>
      </c>
      <c r="L34" s="73">
        <f>11.212%*0.75</f>
        <v>8.4089999999999998E-2</v>
      </c>
      <c r="M34" s="73">
        <f>5.606%*0.75</f>
        <v>4.2044999999999999E-2</v>
      </c>
      <c r="N34" s="713">
        <f>23.462%*0.75</f>
        <v>0.17596499999999998</v>
      </c>
      <c r="O34" s="713"/>
      <c r="P34" s="73"/>
      <c r="Q34" s="73"/>
      <c r="R34" s="73"/>
      <c r="S34" s="73"/>
      <c r="T34" s="709"/>
      <c r="U34" s="710"/>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07">
        <v>0.31</v>
      </c>
      <c r="U35" s="708"/>
      <c r="Y35" s="494"/>
      <c r="Z35" s="494"/>
    </row>
    <row r="36" spans="1:26" ht="15.75" thickBot="1" x14ac:dyDescent="0.3">
      <c r="A36" s="76"/>
      <c r="B36" s="76"/>
      <c r="C36" s="599"/>
      <c r="D36" s="599"/>
      <c r="E36" s="76"/>
      <c r="F36" s="76"/>
      <c r="G36" s="76">
        <v>0.23788000000000001</v>
      </c>
      <c r="H36" s="76">
        <v>0.11894</v>
      </c>
      <c r="I36" s="707">
        <v>0.50244</v>
      </c>
      <c r="J36" s="708"/>
      <c r="K36" s="72" t="s">
        <v>543</v>
      </c>
      <c r="L36" s="76"/>
      <c r="M36" s="76"/>
      <c r="N36" s="599"/>
      <c r="O36" s="599"/>
      <c r="P36" s="76"/>
      <c r="Q36" s="76"/>
      <c r="R36" s="76">
        <v>0.2766046511627907</v>
      </c>
      <c r="S36" s="76">
        <v>0.13830232558139535</v>
      </c>
      <c r="T36" s="707">
        <f>50.244%*1.05</f>
        <v>0.52756199999999998</v>
      </c>
      <c r="U36" s="708"/>
      <c r="Y36" s="494"/>
      <c r="Z36" s="494"/>
    </row>
    <row r="37" spans="1:26" ht="15.75" thickBot="1" x14ac:dyDescent="0.3">
      <c r="A37" s="83"/>
      <c r="B37" s="83"/>
      <c r="C37" s="83"/>
      <c r="D37" s="83"/>
      <c r="E37" s="722">
        <v>0.94696999999999998</v>
      </c>
      <c r="F37" s="722"/>
      <c r="G37" s="83"/>
      <c r="H37" s="83"/>
      <c r="I37" s="711"/>
      <c r="J37" s="712"/>
      <c r="K37" s="77" t="s">
        <v>511</v>
      </c>
      <c r="L37" s="83"/>
      <c r="M37" s="83"/>
      <c r="N37" s="83"/>
      <c r="O37" s="83"/>
      <c r="P37" s="722">
        <v>0.94696999999999998</v>
      </c>
      <c r="Q37" s="722"/>
      <c r="R37" s="83"/>
      <c r="S37" s="83"/>
      <c r="T37" s="711"/>
      <c r="U37" s="712"/>
      <c r="Y37" s="494"/>
      <c r="Z37" s="494"/>
    </row>
    <row r="38" spans="1:26" x14ac:dyDescent="0.25">
      <c r="A38" s="713">
        <v>0.15762999999999999</v>
      </c>
      <c r="B38" s="713"/>
      <c r="C38" s="713">
        <v>0.36070000000000002</v>
      </c>
      <c r="D38" s="713"/>
      <c r="E38" s="73"/>
      <c r="F38" s="73"/>
      <c r="G38" s="73"/>
      <c r="H38" s="73"/>
      <c r="I38" s="709"/>
      <c r="J38" s="710"/>
      <c r="K38" s="69" t="s">
        <v>501</v>
      </c>
      <c r="L38" s="713">
        <v>0.15762999999999999</v>
      </c>
      <c r="M38" s="713"/>
      <c r="N38" s="713">
        <v>0.36070000000000002</v>
      </c>
      <c r="O38" s="713"/>
      <c r="P38" s="73"/>
      <c r="Q38" s="73"/>
      <c r="R38" s="73"/>
      <c r="S38" s="73"/>
      <c r="T38" s="709"/>
      <c r="U38" s="710"/>
      <c r="Y38" s="494"/>
      <c r="Z38" s="494"/>
    </row>
    <row r="39" spans="1:26" x14ac:dyDescent="0.25">
      <c r="A39" s="54"/>
      <c r="B39" s="54"/>
      <c r="C39" s="54"/>
      <c r="D39" s="54"/>
      <c r="E39" s="721">
        <v>0.85</v>
      </c>
      <c r="F39" s="721"/>
      <c r="G39" s="54"/>
      <c r="H39" s="54"/>
      <c r="I39" s="705"/>
      <c r="J39" s="706"/>
      <c r="K39" s="70" t="s">
        <v>513</v>
      </c>
      <c r="L39" s="54"/>
      <c r="M39" s="54"/>
      <c r="N39" s="54"/>
      <c r="O39" s="54"/>
      <c r="P39" s="721">
        <v>0.85</v>
      </c>
      <c r="Q39" s="721"/>
      <c r="R39" s="54"/>
      <c r="S39" s="54"/>
      <c r="T39" s="705"/>
      <c r="U39" s="706"/>
      <c r="Y39" s="494"/>
      <c r="Z39" s="494"/>
    </row>
    <row r="40" spans="1:26" ht="15.75" thickBot="1" x14ac:dyDescent="0.3">
      <c r="A40" s="76"/>
      <c r="B40" s="76"/>
      <c r="C40" s="76"/>
      <c r="D40" s="76"/>
      <c r="E40" s="599"/>
      <c r="F40" s="599"/>
      <c r="G40" s="76">
        <v>0.20784</v>
      </c>
      <c r="H40" s="76"/>
      <c r="I40" s="707">
        <v>0.28937000000000002</v>
      </c>
      <c r="J40" s="708"/>
      <c r="K40" s="72" t="s">
        <v>546</v>
      </c>
      <c r="L40" s="76"/>
      <c r="M40" s="76"/>
      <c r="N40" s="76"/>
      <c r="O40" s="76"/>
      <c r="P40" s="599"/>
      <c r="Q40" s="599"/>
      <c r="R40" s="76">
        <v>0.24167441860465114</v>
      </c>
      <c r="S40" s="76"/>
      <c r="T40" s="707">
        <v>0.28937000000000002</v>
      </c>
      <c r="U40" s="708"/>
      <c r="Y40" s="494"/>
      <c r="Z40" s="494"/>
    </row>
    <row r="41" spans="1:26" x14ac:dyDescent="0.25">
      <c r="A41" s="713">
        <v>0.20368</v>
      </c>
      <c r="B41" s="713"/>
      <c r="C41" s="713">
        <v>0.33767000000000003</v>
      </c>
      <c r="D41" s="713"/>
      <c r="E41" s="73"/>
      <c r="F41" s="73"/>
      <c r="G41" s="73"/>
      <c r="H41" s="73"/>
      <c r="I41" s="709"/>
      <c r="J41" s="710"/>
      <c r="K41" s="69" t="s">
        <v>524</v>
      </c>
      <c r="L41" s="713">
        <v>0.20368</v>
      </c>
      <c r="M41" s="713"/>
      <c r="N41" s="713">
        <v>0.33767000000000003</v>
      </c>
      <c r="O41" s="713"/>
      <c r="P41" s="73"/>
      <c r="Q41" s="73"/>
      <c r="R41" s="73"/>
      <c r="S41" s="73"/>
      <c r="T41" s="709"/>
      <c r="U41" s="710"/>
      <c r="Y41" s="494"/>
      <c r="Z41" s="494"/>
    </row>
    <row r="42" spans="1:26" x14ac:dyDescent="0.25">
      <c r="A42" s="54"/>
      <c r="B42" s="54"/>
      <c r="C42" s="54"/>
      <c r="D42" s="54"/>
      <c r="E42" s="721">
        <v>0.89815999999999996</v>
      </c>
      <c r="F42" s="721"/>
      <c r="G42" s="54"/>
      <c r="H42" s="54"/>
      <c r="I42" s="705"/>
      <c r="J42" s="706"/>
      <c r="K42" s="70" t="s">
        <v>512</v>
      </c>
      <c r="L42" s="54"/>
      <c r="M42" s="54"/>
      <c r="N42" s="54"/>
      <c r="O42" s="54"/>
      <c r="P42" s="721">
        <v>0.89815999999999996</v>
      </c>
      <c r="Q42" s="721"/>
      <c r="R42" s="54"/>
      <c r="S42" s="54"/>
      <c r="T42" s="705"/>
      <c r="U42" s="706"/>
      <c r="Y42" s="494"/>
      <c r="Z42" s="494"/>
    </row>
    <row r="43" spans="1:26" x14ac:dyDescent="0.25">
      <c r="A43" s="54"/>
      <c r="B43" s="54"/>
      <c r="C43" s="54"/>
      <c r="D43" s="54"/>
      <c r="E43" s="598"/>
      <c r="F43" s="598"/>
      <c r="G43" s="54">
        <v>0.57364000000000004</v>
      </c>
      <c r="H43" s="54"/>
      <c r="I43" s="705"/>
      <c r="J43" s="706"/>
      <c r="K43" s="70" t="s">
        <v>532</v>
      </c>
      <c r="L43" s="54"/>
      <c r="M43" s="54"/>
      <c r="N43" s="54"/>
      <c r="O43" s="54"/>
      <c r="P43" s="598"/>
      <c r="Q43" s="598"/>
      <c r="R43" s="54">
        <v>0.6670232558139535</v>
      </c>
      <c r="S43" s="54"/>
      <c r="T43" s="705"/>
      <c r="U43" s="706"/>
      <c r="Y43" s="494"/>
      <c r="Z43" s="494"/>
    </row>
    <row r="44" spans="1:26" ht="15.75" thickBot="1" x14ac:dyDescent="0.3">
      <c r="A44" s="76"/>
      <c r="B44" s="76"/>
      <c r="C44" s="76"/>
      <c r="D44" s="76"/>
      <c r="E44" s="599"/>
      <c r="F44" s="599"/>
      <c r="G44" s="76">
        <v>0.26422000000000001</v>
      </c>
      <c r="H44" s="76"/>
      <c r="I44" s="707">
        <v>0.2399</v>
      </c>
      <c r="J44" s="708"/>
      <c r="K44" s="72" t="s">
        <v>548</v>
      </c>
      <c r="L44" s="76"/>
      <c r="M44" s="76"/>
      <c r="N44" s="76"/>
      <c r="O44" s="76"/>
      <c r="P44" s="599"/>
      <c r="Q44" s="599"/>
      <c r="R44" s="76">
        <v>0.30723255813953487</v>
      </c>
      <c r="S44" s="76"/>
      <c r="T44" s="707">
        <f>23.99%*1.06</f>
        <v>0.25429399999999996</v>
      </c>
      <c r="U44" s="708"/>
      <c r="Y44" s="494"/>
      <c r="Z44" s="494"/>
    </row>
    <row r="45" spans="1:26" x14ac:dyDescent="0.25">
      <c r="A45" s="73">
        <v>0.34708</v>
      </c>
      <c r="B45" s="75"/>
      <c r="C45" s="713">
        <v>0.20830000000000001</v>
      </c>
      <c r="D45" s="713"/>
      <c r="E45" s="73"/>
      <c r="F45" s="73"/>
      <c r="G45" s="73"/>
      <c r="H45" s="73"/>
      <c r="I45" s="709"/>
      <c r="J45" s="710"/>
      <c r="K45" s="69" t="s">
        <v>507</v>
      </c>
      <c r="L45" s="73">
        <v>0.34708</v>
      </c>
      <c r="M45" s="75"/>
      <c r="N45" s="713">
        <v>0.20830000000000001</v>
      </c>
      <c r="O45" s="713"/>
      <c r="P45" s="73"/>
      <c r="Q45" s="73"/>
      <c r="R45" s="73"/>
      <c r="S45" s="73"/>
      <c r="T45" s="709"/>
      <c r="U45" s="710"/>
      <c r="Y45" s="494"/>
      <c r="Z45" s="494"/>
    </row>
    <row r="46" spans="1:26" x14ac:dyDescent="0.25">
      <c r="A46" s="54"/>
      <c r="B46" s="54"/>
      <c r="C46" s="54"/>
      <c r="D46" s="54"/>
      <c r="E46" s="721">
        <v>0.52559999999999996</v>
      </c>
      <c r="F46" s="721"/>
      <c r="G46" s="54"/>
      <c r="H46" s="54"/>
      <c r="I46" s="705"/>
      <c r="J46" s="706"/>
      <c r="K46" s="70" t="s">
        <v>515</v>
      </c>
      <c r="L46" s="54"/>
      <c r="M46" s="54"/>
      <c r="N46" s="54"/>
      <c r="O46" s="54"/>
      <c r="P46" s="721">
        <v>0.52559999999999996</v>
      </c>
      <c r="Q46" s="721"/>
      <c r="R46" s="54"/>
      <c r="S46" s="54"/>
      <c r="T46" s="705"/>
      <c r="U46" s="706"/>
      <c r="Y46" s="494"/>
      <c r="Z46" s="494"/>
    </row>
    <row r="47" spans="1:26" x14ac:dyDescent="0.25">
      <c r="A47" s="54"/>
      <c r="B47" s="54"/>
      <c r="C47" s="54"/>
      <c r="D47" s="54"/>
      <c r="E47" s="598"/>
      <c r="F47" s="598"/>
      <c r="G47" s="54">
        <v>0.84328000000000003</v>
      </c>
      <c r="H47" s="54"/>
      <c r="I47" s="705"/>
      <c r="J47" s="706"/>
      <c r="K47" s="70" t="s">
        <v>533</v>
      </c>
      <c r="L47" s="54"/>
      <c r="M47" s="54"/>
      <c r="N47" s="54"/>
      <c r="O47" s="54"/>
      <c r="P47" s="598"/>
      <c r="Q47" s="598"/>
      <c r="R47" s="54">
        <v>0.85308558139534874</v>
      </c>
      <c r="S47" s="54"/>
      <c r="T47" s="705"/>
      <c r="U47" s="706"/>
      <c r="Y47" s="494"/>
      <c r="Z47" s="494"/>
    </row>
    <row r="48" spans="1:26" ht="15.75" thickBot="1" x14ac:dyDescent="0.3">
      <c r="A48" s="76"/>
      <c r="B48" s="76"/>
      <c r="C48" s="76"/>
      <c r="D48" s="76"/>
      <c r="E48" s="599"/>
      <c r="F48" s="599"/>
      <c r="G48" s="76">
        <v>0.23543</v>
      </c>
      <c r="H48" s="76"/>
      <c r="I48" s="707">
        <v>0.13220000000000001</v>
      </c>
      <c r="J48" s="708"/>
      <c r="K48" s="72" t="s">
        <v>545</v>
      </c>
      <c r="L48" s="76"/>
      <c r="M48" s="76"/>
      <c r="N48" s="76"/>
      <c r="O48" s="76"/>
      <c r="P48" s="599"/>
      <c r="Q48" s="599"/>
      <c r="R48" s="76">
        <v>0.27375581395348836</v>
      </c>
      <c r="S48" s="76"/>
      <c r="T48" s="707">
        <f>13.22%*1.16</f>
        <v>0.15335200000000002</v>
      </c>
      <c r="U48" s="708"/>
      <c r="Y48" s="494"/>
      <c r="Z48" s="494"/>
    </row>
    <row r="49" spans="1:26" s="605" customFormat="1" ht="15.75" thickBot="1" x14ac:dyDescent="0.3">
      <c r="A49" s="83"/>
      <c r="B49" s="83"/>
      <c r="C49" s="83"/>
      <c r="D49" s="83"/>
      <c r="E49" s="722">
        <v>0.43773000000000001</v>
      </c>
      <c r="F49" s="722"/>
      <c r="G49" s="83"/>
      <c r="H49" s="83"/>
      <c r="I49" s="711"/>
      <c r="J49" s="712"/>
      <c r="K49" s="77" t="s">
        <v>2293</v>
      </c>
      <c r="L49" s="83"/>
      <c r="M49" s="83"/>
      <c r="N49" s="83"/>
      <c r="O49" s="83"/>
      <c r="P49" s="722">
        <v>0.43773000000000001</v>
      </c>
      <c r="Q49" s="722"/>
      <c r="R49" s="83"/>
      <c r="S49" s="83"/>
      <c r="T49" s="711"/>
      <c r="U49" s="712"/>
      <c r="Y49" s="494"/>
      <c r="Z49" s="494"/>
    </row>
    <row r="50" spans="1:26" x14ac:dyDescent="0.25">
      <c r="A50" s="73">
        <v>0.47361999999999999</v>
      </c>
      <c r="B50" s="75"/>
      <c r="C50" s="713">
        <v>0.28101999999999999</v>
      </c>
      <c r="D50" s="713"/>
      <c r="E50" s="73"/>
      <c r="F50" s="73"/>
      <c r="G50" s="73"/>
      <c r="H50" s="73"/>
      <c r="I50" s="709"/>
      <c r="J50" s="710"/>
      <c r="K50" s="69" t="s">
        <v>506</v>
      </c>
      <c r="L50" s="73">
        <v>0.47361999999999999</v>
      </c>
      <c r="M50" s="75"/>
      <c r="N50" s="713">
        <v>0.28101999999999999</v>
      </c>
      <c r="O50" s="713"/>
      <c r="P50" s="73"/>
      <c r="Q50" s="73"/>
      <c r="R50" s="73"/>
      <c r="S50" s="73"/>
      <c r="T50" s="709"/>
      <c r="U50" s="710"/>
      <c r="Y50" s="494"/>
      <c r="Z50" s="494"/>
    </row>
    <row r="51" spans="1:26" x14ac:dyDescent="0.25">
      <c r="A51" s="54"/>
      <c r="B51" s="65"/>
      <c r="C51" s="598"/>
      <c r="D51" s="598"/>
      <c r="E51" s="54"/>
      <c r="F51" s="54"/>
      <c r="G51" s="54">
        <v>0.71950000000000003</v>
      </c>
      <c r="H51" s="54"/>
      <c r="I51" s="705"/>
      <c r="J51" s="706"/>
      <c r="K51" s="70" t="s">
        <v>534</v>
      </c>
      <c r="L51" s="54"/>
      <c r="M51" s="65"/>
      <c r="N51" s="598"/>
      <c r="O51" s="598"/>
      <c r="P51" s="54"/>
      <c r="Q51" s="54"/>
      <c r="R51" s="54">
        <v>0.66930232558139535</v>
      </c>
      <c r="S51" s="54"/>
      <c r="T51" s="705"/>
      <c r="U51" s="706"/>
      <c r="Y51" s="494"/>
      <c r="Z51" s="494"/>
    </row>
    <row r="52" spans="1:26" ht="15.75" thickBot="1" x14ac:dyDescent="0.3">
      <c r="A52" s="76"/>
      <c r="B52" s="78"/>
      <c r="C52" s="599"/>
      <c r="D52" s="599"/>
      <c r="E52" s="76"/>
      <c r="F52" s="76"/>
      <c r="G52" s="76">
        <v>0.20451</v>
      </c>
      <c r="H52" s="76"/>
      <c r="I52" s="707">
        <v>9.1600000000000001E-2</v>
      </c>
      <c r="J52" s="708"/>
      <c r="K52" s="72" t="s">
        <v>547</v>
      </c>
      <c r="L52" s="76"/>
      <c r="M52" s="78"/>
      <c r="N52" s="599"/>
      <c r="O52" s="599"/>
      <c r="P52" s="76"/>
      <c r="Q52" s="76"/>
      <c r="R52" s="76">
        <v>0.23780232558139536</v>
      </c>
      <c r="S52" s="76"/>
      <c r="T52" s="707">
        <v>9.1600000000000001E-2</v>
      </c>
      <c r="U52" s="708"/>
      <c r="Y52" s="494"/>
      <c r="Z52" s="494"/>
    </row>
    <row r="53" spans="1:26" x14ac:dyDescent="0.25">
      <c r="A53" s="73">
        <v>0.17321</v>
      </c>
      <c r="B53" s="75"/>
      <c r="C53" s="713">
        <v>9.2929999999999999E-2</v>
      </c>
      <c r="D53" s="713"/>
      <c r="E53" s="73"/>
      <c r="F53" s="73"/>
      <c r="G53" s="73"/>
      <c r="H53" s="73"/>
      <c r="I53" s="709"/>
      <c r="J53" s="710"/>
      <c r="K53" s="69" t="s">
        <v>508</v>
      </c>
      <c r="L53" s="73">
        <v>0.17321</v>
      </c>
      <c r="M53" s="75"/>
      <c r="N53" s="713">
        <f>9.293%*0.8</f>
        <v>7.4344000000000007E-2</v>
      </c>
      <c r="O53" s="713"/>
      <c r="P53" s="73"/>
      <c r="Q53" s="73"/>
      <c r="R53" s="73"/>
      <c r="S53" s="73"/>
      <c r="T53" s="709"/>
      <c r="U53" s="710"/>
      <c r="Y53" s="494"/>
      <c r="Z53" s="494"/>
    </row>
    <row r="54" spans="1:26" s="605" customFormat="1" x14ac:dyDescent="0.25">
      <c r="A54" s="54"/>
      <c r="B54" s="65"/>
      <c r="C54" s="598"/>
      <c r="D54" s="598"/>
      <c r="E54" s="54"/>
      <c r="F54" s="54"/>
      <c r="G54" s="54">
        <v>1</v>
      </c>
      <c r="H54" s="54"/>
      <c r="I54" s="705"/>
      <c r="J54" s="706"/>
      <c r="K54" s="70" t="s">
        <v>535</v>
      </c>
      <c r="L54" s="54"/>
      <c r="M54" s="65"/>
      <c r="N54" s="598"/>
      <c r="O54" s="598"/>
      <c r="P54" s="54"/>
      <c r="Q54" s="54"/>
      <c r="R54" s="54">
        <v>1</v>
      </c>
      <c r="S54" s="54"/>
      <c r="T54" s="705"/>
      <c r="U54" s="706"/>
      <c r="V54"/>
      <c r="W54"/>
      <c r="Y54" s="494"/>
      <c r="Z54" s="494"/>
    </row>
    <row r="55" spans="1:26" s="605" customFormat="1" ht="15.75" thickBot="1" x14ac:dyDescent="0.3">
      <c r="A55" s="76"/>
      <c r="B55" s="78"/>
      <c r="C55" s="599"/>
      <c r="D55" s="599"/>
      <c r="E55" s="76"/>
      <c r="F55" s="76"/>
      <c r="G55" s="76">
        <v>0.26967000000000002</v>
      </c>
      <c r="H55" s="76"/>
      <c r="I55" s="707">
        <v>0.1535</v>
      </c>
      <c r="J55" s="708"/>
      <c r="K55" s="72" t="s">
        <v>541</v>
      </c>
      <c r="L55" s="76"/>
      <c r="M55" s="78"/>
      <c r="N55" s="599"/>
      <c r="O55" s="599"/>
      <c r="P55" s="76"/>
      <c r="Q55" s="76"/>
      <c r="R55" s="76">
        <v>0.31356976744186049</v>
      </c>
      <c r="S55" s="76"/>
      <c r="T55" s="707">
        <v>0.1535</v>
      </c>
      <c r="U55" s="708"/>
      <c r="Y55" s="494"/>
      <c r="Z55" s="494"/>
    </row>
    <row r="56" spans="1:26" s="605" customFormat="1" ht="15.75" thickBot="1" x14ac:dyDescent="0.3">
      <c r="A56" s="83"/>
      <c r="B56" s="83"/>
      <c r="C56" s="83"/>
      <c r="D56" s="83"/>
      <c r="E56" s="722">
        <v>0.43773000000000001</v>
      </c>
      <c r="F56" s="722"/>
      <c r="G56" s="83"/>
      <c r="H56" s="83"/>
      <c r="I56" s="711"/>
      <c r="J56" s="712"/>
      <c r="K56" s="77" t="s">
        <v>2294</v>
      </c>
      <c r="L56" s="83"/>
      <c r="M56" s="83"/>
      <c r="N56" s="83"/>
      <c r="O56" s="83"/>
      <c r="P56" s="722">
        <f>43.773%*0.8</f>
        <v>0.35018400000000005</v>
      </c>
      <c r="Q56" s="722"/>
      <c r="R56" s="83"/>
      <c r="S56" s="83"/>
      <c r="T56" s="711"/>
      <c r="U56" s="712"/>
      <c r="Y56" s="494"/>
      <c r="Z56" s="494"/>
    </row>
    <row r="57" spans="1:26" s="605" customFormat="1" x14ac:dyDescent="0.25">
      <c r="A57" s="73">
        <v>0.28996</v>
      </c>
      <c r="B57" s="75"/>
      <c r="C57" s="713">
        <v>0.25344</v>
      </c>
      <c r="D57" s="713"/>
      <c r="E57" s="73"/>
      <c r="F57" s="73"/>
      <c r="G57" s="73"/>
      <c r="H57" s="73"/>
      <c r="I57" s="709"/>
      <c r="J57" s="710"/>
      <c r="K57" s="69" t="s">
        <v>509</v>
      </c>
      <c r="L57" s="73">
        <v>0.28996</v>
      </c>
      <c r="M57" s="75"/>
      <c r="N57" s="713">
        <v>0.25344</v>
      </c>
      <c r="O57" s="713"/>
      <c r="P57" s="73"/>
      <c r="Q57" s="73"/>
      <c r="R57" s="73"/>
      <c r="S57" s="73"/>
      <c r="T57" s="709"/>
      <c r="U57" s="710"/>
      <c r="Y57" s="494"/>
      <c r="Z57" s="494"/>
    </row>
    <row r="58" spans="1:26" s="605" customFormat="1" x14ac:dyDescent="0.25">
      <c r="A58" s="54"/>
      <c r="B58" s="54"/>
      <c r="C58" s="54"/>
      <c r="D58" s="54"/>
      <c r="E58" s="721">
        <v>0.65949000000000002</v>
      </c>
      <c r="F58" s="721"/>
      <c r="G58" s="54"/>
      <c r="H58" s="54"/>
      <c r="I58" s="705"/>
      <c r="J58" s="706"/>
      <c r="K58" s="70" t="s">
        <v>514</v>
      </c>
      <c r="L58" s="54"/>
      <c r="M58" s="54"/>
      <c r="N58" s="54"/>
      <c r="O58" s="54"/>
      <c r="P58" s="721">
        <f>65.949%*1.1</f>
        <v>0.72543900000000006</v>
      </c>
      <c r="Q58" s="721"/>
      <c r="R58" s="54"/>
      <c r="S58" s="54"/>
      <c r="T58" s="705"/>
      <c r="U58" s="706"/>
      <c r="Y58" s="494"/>
      <c r="Z58" s="494"/>
    </row>
    <row r="59" spans="1:26" s="605" customFormat="1" x14ac:dyDescent="0.25">
      <c r="A59" s="54"/>
      <c r="B59" s="54"/>
      <c r="C59" s="54"/>
      <c r="D59" s="54"/>
      <c r="E59" s="598"/>
      <c r="F59" s="598"/>
      <c r="G59" s="54">
        <v>0.56411</v>
      </c>
      <c r="H59" s="54"/>
      <c r="I59" s="705"/>
      <c r="J59" s="706"/>
      <c r="K59" s="70" t="s">
        <v>536</v>
      </c>
      <c r="L59" s="54"/>
      <c r="M59" s="54"/>
      <c r="N59" s="54"/>
      <c r="O59" s="54"/>
      <c r="P59" s="598"/>
      <c r="Q59" s="598"/>
      <c r="R59" s="54">
        <v>0.70185779069767451</v>
      </c>
      <c r="S59" s="54"/>
      <c r="T59" s="705"/>
      <c r="U59" s="706"/>
      <c r="Y59" s="494"/>
      <c r="Z59" s="494"/>
    </row>
    <row r="60" spans="1:26" s="605" customFormat="1" ht="15.75" thickBot="1" x14ac:dyDescent="0.3">
      <c r="A60" s="76"/>
      <c r="B60" s="76"/>
      <c r="C60" s="76"/>
      <c r="D60" s="76"/>
      <c r="E60" s="599"/>
      <c r="F60" s="599"/>
      <c r="G60" s="76">
        <v>0.14326</v>
      </c>
      <c r="H60" s="76"/>
      <c r="I60" s="707">
        <v>0.17191999999999999</v>
      </c>
      <c r="J60" s="708"/>
      <c r="K60" s="72" t="s">
        <v>555</v>
      </c>
      <c r="L60" s="76"/>
      <c r="M60" s="76"/>
      <c r="N60" s="76"/>
      <c r="O60" s="76"/>
      <c r="P60" s="599"/>
      <c r="Q60" s="599"/>
      <c r="R60" s="76">
        <v>0.2082267441860465</v>
      </c>
      <c r="S60" s="76"/>
      <c r="T60" s="707">
        <f>17.192%</f>
        <v>0.17191999999999999</v>
      </c>
      <c r="U60" s="708"/>
      <c r="Y60" s="494"/>
      <c r="Z60" s="494"/>
    </row>
    <row r="61" spans="1:26" s="605" customFormat="1" x14ac:dyDescent="0.25">
      <c r="A61" s="73"/>
      <c r="B61" s="73"/>
      <c r="C61" s="73"/>
      <c r="D61" s="73"/>
      <c r="E61" s="600"/>
      <c r="F61" s="600"/>
      <c r="G61" s="73">
        <v>0.19162000000000001</v>
      </c>
      <c r="H61" s="73"/>
      <c r="I61" s="709"/>
      <c r="J61" s="710"/>
      <c r="K61" s="69" t="s">
        <v>550</v>
      </c>
      <c r="L61" s="73"/>
      <c r="M61" s="73"/>
      <c r="N61" s="73"/>
      <c r="O61" s="73"/>
      <c r="P61" s="600"/>
      <c r="Q61" s="600"/>
      <c r="R61" s="73">
        <v>0.22281395348837213</v>
      </c>
      <c r="S61" s="73"/>
      <c r="T61" s="709"/>
      <c r="U61" s="710"/>
      <c r="Y61" s="494"/>
      <c r="Z61" s="494"/>
    </row>
    <row r="62" spans="1:26" s="605" customFormat="1" ht="15.75" thickBot="1" x14ac:dyDescent="0.3">
      <c r="A62" s="54"/>
      <c r="B62" s="54"/>
      <c r="C62" s="54"/>
      <c r="D62" s="54"/>
      <c r="E62" s="598"/>
      <c r="F62" s="598"/>
      <c r="G62" s="54">
        <v>0.49523</v>
      </c>
      <c r="H62" s="54"/>
      <c r="I62" s="705"/>
      <c r="J62" s="706"/>
      <c r="K62" s="70" t="s">
        <v>538</v>
      </c>
      <c r="L62" s="54"/>
      <c r="M62" s="54"/>
      <c r="N62" s="54"/>
      <c r="O62" s="54"/>
      <c r="P62" s="598"/>
      <c r="Q62" s="598"/>
      <c r="R62" s="54">
        <v>0.57584883720930236</v>
      </c>
      <c r="S62" s="54"/>
      <c r="T62" s="705"/>
      <c r="U62" s="706"/>
      <c r="Y62" s="494"/>
      <c r="Z62" s="494"/>
    </row>
    <row r="63" spans="1:26" s="605" customFormat="1" x14ac:dyDescent="0.25">
      <c r="A63" s="54"/>
      <c r="B63" s="54"/>
      <c r="C63" s="54"/>
      <c r="D63" s="54"/>
      <c r="E63" s="598"/>
      <c r="F63" s="598"/>
      <c r="G63" s="54"/>
      <c r="H63" s="54"/>
      <c r="I63" s="601"/>
      <c r="J63" s="602"/>
      <c r="K63" s="70" t="s">
        <v>2299</v>
      </c>
      <c r="L63" s="54"/>
      <c r="M63" s="54"/>
      <c r="N63" s="54"/>
      <c r="O63" s="54"/>
      <c r="P63" s="709">
        <v>0.15</v>
      </c>
      <c r="Q63" s="720"/>
      <c r="R63" s="54"/>
      <c r="S63" s="54"/>
      <c r="T63" s="601"/>
      <c r="U63" s="602"/>
      <c r="Y63" s="494"/>
      <c r="Z63" s="494"/>
    </row>
    <row r="64" spans="1:26" s="605" customFormat="1" x14ac:dyDescent="0.25">
      <c r="A64" s="54"/>
      <c r="B64" s="54"/>
      <c r="C64" s="54"/>
      <c r="D64" s="54"/>
      <c r="E64" s="598"/>
      <c r="F64" s="598"/>
      <c r="G64" s="54">
        <v>0.47439999999999999</v>
      </c>
      <c r="H64" s="54"/>
      <c r="I64" s="705">
        <v>0.60697000000000001</v>
      </c>
      <c r="J64" s="706"/>
      <c r="K64" s="70" t="s">
        <v>537</v>
      </c>
      <c r="L64" s="54"/>
      <c r="M64" s="54"/>
      <c r="N64" s="54"/>
      <c r="O64" s="54"/>
      <c r="P64" s="598"/>
      <c r="Q64" s="598"/>
      <c r="R64" s="54">
        <v>0.55162790697674413</v>
      </c>
      <c r="S64" s="54"/>
      <c r="T64" s="705">
        <v>0.60697000000000001</v>
      </c>
      <c r="U64" s="706"/>
      <c r="Y64" s="494"/>
      <c r="Z64" s="494"/>
    </row>
    <row r="65" spans="1:26" s="605" customFormat="1" ht="15.75" thickBot="1" x14ac:dyDescent="0.3">
      <c r="A65" s="76"/>
      <c r="B65" s="76"/>
      <c r="C65" s="76"/>
      <c r="D65" s="76"/>
      <c r="E65" s="599"/>
      <c r="F65" s="599"/>
      <c r="G65" s="76">
        <v>0.16774</v>
      </c>
      <c r="H65" s="76"/>
      <c r="I65" s="707">
        <v>0.24779999999999999</v>
      </c>
      <c r="J65" s="708"/>
      <c r="K65" s="72" t="s">
        <v>558</v>
      </c>
      <c r="L65" s="76"/>
      <c r="M65" s="76"/>
      <c r="N65" s="76"/>
      <c r="O65" s="76"/>
      <c r="P65" s="599"/>
      <c r="Q65" s="599"/>
      <c r="R65" s="76">
        <v>0.19504651162790698</v>
      </c>
      <c r="S65" s="76"/>
      <c r="T65" s="707">
        <v>0.24779999999999999</v>
      </c>
      <c r="U65" s="708"/>
      <c r="Y65" s="494"/>
      <c r="Z65" s="494"/>
    </row>
    <row r="66" spans="1:26" s="605" customFormat="1" x14ac:dyDescent="0.25">
      <c r="A66" s="73"/>
      <c r="B66" s="73"/>
      <c r="C66" s="73"/>
      <c r="D66" s="73"/>
      <c r="E66" s="709">
        <v>0.45617999999999997</v>
      </c>
      <c r="F66" s="720"/>
      <c r="G66" s="73"/>
      <c r="H66" s="73"/>
      <c r="I66" s="709"/>
      <c r="J66" s="710"/>
      <c r="K66" s="69" t="s">
        <v>516</v>
      </c>
      <c r="L66" s="73"/>
      <c r="M66" s="73"/>
      <c r="N66" s="73"/>
      <c r="O66" s="73"/>
      <c r="P66" s="709">
        <v>0.45617999999999997</v>
      </c>
      <c r="Q66" s="720"/>
      <c r="R66" s="73"/>
      <c r="S66" s="73"/>
      <c r="T66" s="709"/>
      <c r="U66" s="710"/>
      <c r="Y66" s="494"/>
      <c r="Z66" s="494"/>
    </row>
    <row r="67" spans="1:26" s="605" customFormat="1" x14ac:dyDescent="0.25">
      <c r="A67" s="54"/>
      <c r="B67" s="54"/>
      <c r="C67" s="54"/>
      <c r="D67" s="54"/>
      <c r="E67" s="54"/>
      <c r="F67" s="54"/>
      <c r="G67" s="54">
        <v>0.28649999999999998</v>
      </c>
      <c r="H67" s="54"/>
      <c r="I67" s="705">
        <v>0.80176999999999998</v>
      </c>
      <c r="J67" s="706"/>
      <c r="K67" s="70" t="s">
        <v>540</v>
      </c>
      <c r="L67" s="54"/>
      <c r="M67" s="54"/>
      <c r="N67" s="54"/>
      <c r="O67" s="54"/>
      <c r="P67" s="54"/>
      <c r="Q67" s="54"/>
      <c r="R67" s="54">
        <v>0.33313953488372089</v>
      </c>
      <c r="S67" s="54"/>
      <c r="T67" s="705">
        <v>0.50800000000000001</v>
      </c>
      <c r="U67" s="706"/>
      <c r="Y67" s="494"/>
      <c r="Z67" s="494"/>
    </row>
    <row r="68" spans="1:26" s="605" customFormat="1" x14ac:dyDescent="0.25">
      <c r="A68" s="54"/>
      <c r="B68" s="54"/>
      <c r="C68" s="54"/>
      <c r="D68" s="54"/>
      <c r="E68" s="54"/>
      <c r="F68" s="54"/>
      <c r="G68" s="54">
        <v>0.20932000000000001</v>
      </c>
      <c r="H68" s="54"/>
      <c r="I68" s="705">
        <v>0.50775999999999999</v>
      </c>
      <c r="J68" s="706"/>
      <c r="K68" s="70" t="s">
        <v>549</v>
      </c>
      <c r="L68" s="54"/>
      <c r="M68" s="54"/>
      <c r="N68" s="54"/>
      <c r="O68" s="54"/>
      <c r="P68" s="54"/>
      <c r="Q68" s="54"/>
      <c r="R68" s="54">
        <v>0.24339534883720934</v>
      </c>
      <c r="S68" s="54"/>
      <c r="T68" s="705">
        <v>0.50775999999999999</v>
      </c>
      <c r="U68" s="706"/>
      <c r="Y68" s="494"/>
      <c r="Z68" s="494"/>
    </row>
    <row r="69" spans="1:26" s="605" customFormat="1" x14ac:dyDescent="0.25">
      <c r="A69" s="54"/>
      <c r="B69" s="54"/>
      <c r="C69" s="54"/>
      <c r="D69" s="54"/>
      <c r="E69" s="54"/>
      <c r="F69" s="54"/>
      <c r="G69" s="54">
        <v>0.14599000000000001</v>
      </c>
      <c r="H69" s="54"/>
      <c r="I69" s="705"/>
      <c r="J69" s="706"/>
      <c r="K69" s="70" t="s">
        <v>552</v>
      </c>
      <c r="L69" s="54"/>
      <c r="M69" s="54"/>
      <c r="N69" s="54"/>
      <c r="O69" s="54"/>
      <c r="P69" s="54"/>
      <c r="Q69" s="54"/>
      <c r="R69" s="54">
        <v>0.16975581395348838</v>
      </c>
      <c r="S69" s="54"/>
      <c r="T69" s="705"/>
      <c r="U69" s="706"/>
      <c r="Y69" s="494"/>
      <c r="Z69" s="494"/>
    </row>
    <row r="70" spans="1:26" s="605" customFormat="1" ht="15.75" thickBot="1" x14ac:dyDescent="0.3">
      <c r="A70" s="76"/>
      <c r="B70" s="76"/>
      <c r="C70" s="76"/>
      <c r="D70" s="76"/>
      <c r="E70" s="76"/>
      <c r="F70" s="76"/>
      <c r="G70" s="76">
        <v>0.12414</v>
      </c>
      <c r="H70" s="76"/>
      <c r="I70" s="707">
        <v>0.61785000000000001</v>
      </c>
      <c r="J70" s="708"/>
      <c r="K70" s="72" t="s">
        <v>539</v>
      </c>
      <c r="L70" s="76"/>
      <c r="M70" s="76"/>
      <c r="N70" s="76"/>
      <c r="O70" s="76"/>
      <c r="P70" s="76"/>
      <c r="Q70" s="76"/>
      <c r="R70" s="76">
        <v>0.14434883720930233</v>
      </c>
      <c r="S70" s="76"/>
      <c r="T70" s="707">
        <v>0.61785000000000001</v>
      </c>
      <c r="U70" s="708"/>
      <c r="Y70" s="494"/>
      <c r="Z70" s="494"/>
    </row>
    <row r="71" spans="1:26" s="605" customFormat="1" ht="15.75" thickBot="1" x14ac:dyDescent="0.3">
      <c r="A71" s="73"/>
      <c r="B71" s="73"/>
      <c r="C71" s="73"/>
      <c r="D71" s="73"/>
      <c r="E71" s="73"/>
      <c r="F71" s="73"/>
      <c r="G71" s="73">
        <v>0.23763000000000001</v>
      </c>
      <c r="H71" s="73"/>
      <c r="I71" s="709">
        <v>1</v>
      </c>
      <c r="J71" s="710"/>
      <c r="K71" s="69" t="s">
        <v>544</v>
      </c>
      <c r="L71" s="73"/>
      <c r="M71" s="73"/>
      <c r="N71" s="73"/>
      <c r="O71" s="73"/>
      <c r="P71" s="73"/>
      <c r="Q71" s="73"/>
      <c r="R71" s="73">
        <v>0.27631395348837212</v>
      </c>
      <c r="S71" s="73"/>
      <c r="T71" s="709">
        <v>1</v>
      </c>
      <c r="U71" s="710"/>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9">
        <v>0.25</v>
      </c>
      <c r="Q72" s="720"/>
      <c r="R72" s="611"/>
      <c r="S72" s="611"/>
      <c r="T72" s="612"/>
      <c r="U72" s="613"/>
      <c r="Y72" s="494"/>
      <c r="Z72" s="494"/>
    </row>
    <row r="73" spans="1:26" s="605" customFormat="1" x14ac:dyDescent="0.25">
      <c r="A73" s="54"/>
      <c r="B73" s="54"/>
      <c r="C73" s="54"/>
      <c r="D73" s="54"/>
      <c r="E73" s="54"/>
      <c r="F73" s="54"/>
      <c r="G73" s="54">
        <v>0.17316000000000001</v>
      </c>
      <c r="H73" s="54"/>
      <c r="I73" s="705"/>
      <c r="J73" s="706"/>
      <c r="K73" s="70" t="s">
        <v>553</v>
      </c>
      <c r="L73" s="54"/>
      <c r="M73" s="54"/>
      <c r="N73" s="54"/>
      <c r="O73" s="54"/>
      <c r="P73" s="54"/>
      <c r="Q73" s="54"/>
      <c r="R73" s="54">
        <v>0.20134883720930236</v>
      </c>
      <c r="S73" s="54"/>
      <c r="T73" s="705"/>
      <c r="U73" s="706"/>
      <c r="Y73" s="494"/>
      <c r="Z73" s="494"/>
    </row>
    <row r="74" spans="1:26" s="605" customFormat="1" ht="15.75" thickBot="1" x14ac:dyDescent="0.3">
      <c r="A74" s="76"/>
      <c r="B74" s="76"/>
      <c r="C74" s="76"/>
      <c r="D74" s="76"/>
      <c r="E74" s="76"/>
      <c r="F74" s="76"/>
      <c r="G74" s="76">
        <v>0.12317</v>
      </c>
      <c r="H74" s="76"/>
      <c r="I74" s="707">
        <v>0.33643600000000001</v>
      </c>
      <c r="J74" s="708"/>
      <c r="K74" s="72" t="s">
        <v>556</v>
      </c>
      <c r="L74" s="76"/>
      <c r="M74" s="76"/>
      <c r="N74" s="76"/>
      <c r="O74" s="76"/>
      <c r="P74" s="76"/>
      <c r="Q74" s="76"/>
      <c r="R74" s="76">
        <v>0.14322093023255814</v>
      </c>
      <c r="S74" s="76"/>
      <c r="T74" s="707">
        <v>0.33643600000000001</v>
      </c>
      <c r="U74" s="708"/>
      <c r="Y74" s="494"/>
      <c r="Z74" s="494"/>
    </row>
    <row r="75" spans="1:26" s="605" customFormat="1" x14ac:dyDescent="0.25">
      <c r="A75" s="73"/>
      <c r="B75" s="73"/>
      <c r="C75" s="73"/>
      <c r="D75" s="73"/>
      <c r="E75" s="73"/>
      <c r="F75" s="73"/>
      <c r="G75" s="73">
        <v>0.20199</v>
      </c>
      <c r="H75" s="73"/>
      <c r="I75" s="709">
        <v>0.85</v>
      </c>
      <c r="J75" s="710"/>
      <c r="K75" s="69" t="s">
        <v>559</v>
      </c>
      <c r="L75" s="73"/>
      <c r="M75" s="73"/>
      <c r="N75" s="73"/>
      <c r="O75" s="73"/>
      <c r="P75" s="73"/>
      <c r="Q75" s="73"/>
      <c r="R75" s="73">
        <v>0.23487209302325585</v>
      </c>
      <c r="S75" s="73"/>
      <c r="T75" s="709">
        <v>0.85</v>
      </c>
      <c r="U75" s="710"/>
      <c r="Y75" s="494"/>
      <c r="Z75" s="494"/>
    </row>
    <row r="76" spans="1:26" s="605" customFormat="1" x14ac:dyDescent="0.25">
      <c r="A76" s="54"/>
      <c r="B76" s="54"/>
      <c r="C76" s="54"/>
      <c r="D76" s="54"/>
      <c r="E76" s="54"/>
      <c r="F76" s="54"/>
      <c r="G76" s="54">
        <v>0.17718999999999999</v>
      </c>
      <c r="H76" s="54"/>
      <c r="I76" s="705"/>
      <c r="J76" s="706"/>
      <c r="K76" s="70" t="s">
        <v>554</v>
      </c>
      <c r="L76" s="54"/>
      <c r="M76" s="54"/>
      <c r="N76" s="54"/>
      <c r="O76" s="54"/>
      <c r="P76" s="54"/>
      <c r="Q76" s="54"/>
      <c r="R76" s="54">
        <v>0.20603488372093021</v>
      </c>
      <c r="S76" s="54"/>
      <c r="T76" s="705"/>
      <c r="U76" s="706"/>
      <c r="Y76" s="494"/>
      <c r="Z76" s="494"/>
    </row>
    <row r="77" spans="1:26" s="605" customFormat="1" ht="15.75" thickBot="1" x14ac:dyDescent="0.3">
      <c r="A77" s="84"/>
      <c r="B77" s="84"/>
      <c r="C77" s="84"/>
      <c r="D77" s="84"/>
      <c r="E77" s="84"/>
      <c r="F77" s="84"/>
      <c r="G77" s="84">
        <v>0.1047</v>
      </c>
      <c r="H77" s="84"/>
      <c r="I77" s="714">
        <v>0.28591</v>
      </c>
      <c r="J77" s="715"/>
      <c r="K77" s="71" t="s">
        <v>557</v>
      </c>
      <c r="L77" s="84"/>
      <c r="M77" s="84"/>
      <c r="N77" s="84"/>
      <c r="O77" s="84"/>
      <c r="P77" s="84"/>
      <c r="Q77" s="84"/>
      <c r="R77" s="84">
        <v>0.12174418604651163</v>
      </c>
      <c r="S77" s="84"/>
      <c r="T77" s="714">
        <v>0.28591</v>
      </c>
      <c r="U77" s="715"/>
      <c r="Y77" s="494"/>
      <c r="Z77" s="494"/>
    </row>
  </sheetData>
  <mergeCells count="205">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 ref="T73:U73"/>
    <mergeCell ref="T74:U74"/>
    <mergeCell ref="T75:U75"/>
    <mergeCell ref="T76:U76"/>
    <mergeCell ref="T77:U77"/>
    <mergeCell ref="P66:Q66"/>
    <mergeCell ref="T66:U66"/>
    <mergeCell ref="T67:U67"/>
    <mergeCell ref="T68:U68"/>
    <mergeCell ref="T69:U69"/>
    <mergeCell ref="T70:U70"/>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P46:Q46"/>
    <mergeCell ref="T46:U46"/>
    <mergeCell ref="T47:U47"/>
    <mergeCell ref="T48:U48"/>
    <mergeCell ref="N50:O50"/>
    <mergeCell ref="T50:U50"/>
    <mergeCell ref="P42:Q42"/>
    <mergeCell ref="T42:U42"/>
    <mergeCell ref="T43:U43"/>
    <mergeCell ref="T44:U44"/>
    <mergeCell ref="N45:O45"/>
    <mergeCell ref="T45:U45"/>
    <mergeCell ref="P39:Q39"/>
    <mergeCell ref="T39:U39"/>
    <mergeCell ref="T40:U40"/>
    <mergeCell ref="L41:M41"/>
    <mergeCell ref="N41:O41"/>
    <mergeCell ref="T41:U41"/>
    <mergeCell ref="T36:U36"/>
    <mergeCell ref="P37:Q37"/>
    <mergeCell ref="T37:U37"/>
    <mergeCell ref="L38:M38"/>
    <mergeCell ref="N38:O38"/>
    <mergeCell ref="T38:U38"/>
    <mergeCell ref="T33:U33"/>
    <mergeCell ref="N34:O34"/>
    <mergeCell ref="T34:U34"/>
    <mergeCell ref="P22:Q22"/>
    <mergeCell ref="N24:O24"/>
    <mergeCell ref="P25:Q25"/>
    <mergeCell ref="N27:O27"/>
    <mergeCell ref="T27:U27"/>
    <mergeCell ref="P28:Q28"/>
    <mergeCell ref="T28:U28"/>
    <mergeCell ref="N18:O18"/>
    <mergeCell ref="P19:Q19"/>
    <mergeCell ref="N21:O21"/>
    <mergeCell ref="N8:O8"/>
    <mergeCell ref="P9:Q9"/>
    <mergeCell ref="N10:O10"/>
    <mergeCell ref="P11:Q11"/>
    <mergeCell ref="T30:U30"/>
    <mergeCell ref="N31:O31"/>
    <mergeCell ref="T31:U31"/>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E56:F56"/>
    <mergeCell ref="I56:J56"/>
    <mergeCell ref="C57:D57"/>
    <mergeCell ref="I57:J57"/>
    <mergeCell ref="E58:F58"/>
    <mergeCell ref="I58:J58"/>
    <mergeCell ref="I51:J51"/>
    <mergeCell ref="I52:J52"/>
    <mergeCell ref="C53:D53"/>
    <mergeCell ref="I53:J53"/>
    <mergeCell ref="I54:J54"/>
    <mergeCell ref="I55:J55"/>
    <mergeCell ref="E46:F46"/>
    <mergeCell ref="I46:J46"/>
    <mergeCell ref="I47:J47"/>
    <mergeCell ref="I48:J48"/>
    <mergeCell ref="C50:D50"/>
    <mergeCell ref="I50:J50"/>
    <mergeCell ref="E42:F42"/>
    <mergeCell ref="I42:J42"/>
    <mergeCell ref="I43:J43"/>
    <mergeCell ref="I44:J44"/>
    <mergeCell ref="C45:D45"/>
    <mergeCell ref="I45:J45"/>
    <mergeCell ref="E39:F39"/>
    <mergeCell ref="I39:J39"/>
    <mergeCell ref="I40:J40"/>
    <mergeCell ref="A41:B41"/>
    <mergeCell ref="C41:D41"/>
    <mergeCell ref="I41:J41"/>
    <mergeCell ref="I36:J36"/>
    <mergeCell ref="E37:F37"/>
    <mergeCell ref="I37:J37"/>
    <mergeCell ref="A38:B38"/>
    <mergeCell ref="C38:D38"/>
    <mergeCell ref="I38:J38"/>
    <mergeCell ref="C31:D31"/>
    <mergeCell ref="I31:J31"/>
    <mergeCell ref="I33:J33"/>
    <mergeCell ref="C34:D34"/>
    <mergeCell ref="I34:J34"/>
    <mergeCell ref="E22:F22"/>
    <mergeCell ref="C24:D24"/>
    <mergeCell ref="E25:F25"/>
    <mergeCell ref="C27:D27"/>
    <mergeCell ref="I27:J27"/>
    <mergeCell ref="E28:F28"/>
    <mergeCell ref="I28:J28"/>
    <mergeCell ref="E14:F14"/>
    <mergeCell ref="C15:D15"/>
    <mergeCell ref="E16:F16"/>
    <mergeCell ref="C18:D18"/>
    <mergeCell ref="E19:F19"/>
    <mergeCell ref="C21:D21"/>
    <mergeCell ref="C8:D8"/>
    <mergeCell ref="E9:F9"/>
    <mergeCell ref="C10:D10"/>
    <mergeCell ref="E11:F11"/>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5" t="s">
        <v>355</v>
      </c>
      <c r="B1" s="725"/>
      <c r="G1" s="725" t="s">
        <v>407</v>
      </c>
      <c r="H1" s="725"/>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5" t="s">
        <v>385</v>
      </c>
      <c r="B37" s="725"/>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5" t="s">
        <v>449</v>
      </c>
      <c r="H50" s="725"/>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5" t="s">
        <v>330</v>
      </c>
      <c r="B69" s="725"/>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6" t="s">
        <v>1913</v>
      </c>
      <c r="B8" s="726"/>
      <c r="C8" s="726"/>
      <c r="D8" s="726"/>
      <c r="E8" s="726"/>
      <c r="F8" s="726"/>
      <c r="G8" s="726"/>
      <c r="H8" s="726"/>
      <c r="I8" s="726"/>
      <c r="J8" s="726"/>
      <c r="K8" s="726"/>
      <c r="L8" s="726"/>
      <c r="M8" s="726"/>
      <c r="N8" s="726"/>
      <c r="O8" s="726"/>
      <c r="P8" s="726"/>
      <c r="Q8" s="726"/>
      <c r="R8" s="726"/>
      <c r="S8" s="726"/>
      <c r="T8" s="726"/>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6" t="s">
        <v>1908</v>
      </c>
      <c r="B23" s="726"/>
      <c r="C23" s="726"/>
      <c r="D23" s="726"/>
      <c r="E23" s="726"/>
      <c r="F23" s="726"/>
      <c r="G23" s="726"/>
      <c r="H23" s="726"/>
      <c r="I23" s="726"/>
      <c r="J23" s="726"/>
      <c r="K23" s="726"/>
      <c r="L23" s="726"/>
      <c r="M23" s="726"/>
      <c r="N23" s="726"/>
      <c r="O23" s="726"/>
      <c r="P23" s="726"/>
      <c r="Q23" s="726"/>
      <c r="R23" s="726"/>
      <c r="S23" s="726"/>
      <c r="T23" s="726"/>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6" t="s">
        <v>1884</v>
      </c>
      <c r="B38" s="726"/>
      <c r="C38" s="726"/>
      <c r="D38" s="726"/>
      <c r="E38" s="726"/>
      <c r="F38" s="726"/>
      <c r="G38" s="726"/>
      <c r="H38" s="726"/>
      <c r="I38" s="726"/>
      <c r="J38" s="726"/>
      <c r="K38" s="726"/>
      <c r="L38" s="726"/>
      <c r="M38" s="726"/>
      <c r="N38" s="726"/>
      <c r="O38" s="726"/>
      <c r="P38" s="726"/>
      <c r="Q38" s="726"/>
      <c r="R38" s="726"/>
      <c r="S38" s="726"/>
      <c r="T38" s="726"/>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6" t="s">
        <v>1885</v>
      </c>
      <c r="B58" s="726"/>
      <c r="C58" s="726"/>
      <c r="D58" s="726"/>
      <c r="E58" s="726"/>
      <c r="F58" s="726"/>
      <c r="G58" s="726"/>
      <c r="H58" s="726"/>
      <c r="I58" s="726"/>
      <c r="J58" s="726"/>
      <c r="K58" s="726"/>
      <c r="L58" s="726"/>
      <c r="M58" s="726"/>
      <c r="N58" s="726"/>
      <c r="O58" s="726"/>
      <c r="P58" s="726"/>
      <c r="Q58" s="726"/>
      <c r="R58" s="726"/>
      <c r="S58" s="726"/>
      <c r="T58" s="726"/>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6" t="s">
        <v>1900</v>
      </c>
      <c r="B81" s="726"/>
      <c r="C81" s="726"/>
      <c r="D81" s="726"/>
      <c r="E81" s="726"/>
      <c r="F81" s="726"/>
      <c r="G81" s="726"/>
      <c r="H81" s="726"/>
      <c r="I81" s="726"/>
      <c r="J81" s="726"/>
      <c r="K81" s="726"/>
      <c r="L81" s="726"/>
      <c r="M81" s="726"/>
      <c r="N81" s="726"/>
      <c r="O81" s="726"/>
      <c r="P81" s="726"/>
      <c r="Q81" s="726"/>
      <c r="R81" s="726"/>
      <c r="S81" s="726"/>
      <c r="T81" s="726"/>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39997558519241921"/>
  </sheetPr>
  <dimension ref="A1:Q49"/>
  <sheetViews>
    <sheetView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7" t="s">
        <v>281</v>
      </c>
      <c r="C4" s="727"/>
      <c r="D4" s="35" t="s">
        <v>52</v>
      </c>
      <c r="G4" s="727" t="s">
        <v>282</v>
      </c>
      <c r="H4" s="727"/>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6" customWidth="1"/>
    <col min="43" max="44" width="7.28515625" style="686"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6">
        <v>2048</v>
      </c>
      <c r="AQ2" s="686" t="s">
        <v>1802</v>
      </c>
      <c r="AR2" s="686">
        <v>1024</v>
      </c>
      <c r="AT2" s="686" t="s">
        <v>1803</v>
      </c>
      <c r="AU2" s="686">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6" t="s">
        <v>1003</v>
      </c>
      <c r="AO3" s="686" t="s">
        <v>2491</v>
      </c>
      <c r="AQ3" s="686" t="s">
        <v>1003</v>
      </c>
      <c r="AR3" s="686" t="s">
        <v>2491</v>
      </c>
      <c r="AT3" s="686" t="s">
        <v>1003</v>
      </c>
      <c r="AU3" s="686"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6">
        <v>0</v>
      </c>
      <c r="AO4" s="686">
        <v>8</v>
      </c>
      <c r="AQ4" s="686">
        <v>0</v>
      </c>
      <c r="AR4" s="686">
        <v>8</v>
      </c>
      <c r="AT4" s="686">
        <v>0</v>
      </c>
      <c r="AU4" s="686">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6">
        <v>0</v>
      </c>
      <c r="AO5" s="686">
        <v>30</v>
      </c>
      <c r="AQ5" s="686">
        <v>0</v>
      </c>
      <c r="AR5" s="686">
        <v>30</v>
      </c>
      <c r="AT5" s="686">
        <v>0</v>
      </c>
      <c r="AU5" s="686">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6">
        <v>0</v>
      </c>
      <c r="AO6" s="686">
        <v>113</v>
      </c>
      <c r="AQ6" s="686">
        <v>0</v>
      </c>
      <c r="AR6" s="686">
        <v>113</v>
      </c>
      <c r="AT6" s="686">
        <v>0</v>
      </c>
      <c r="AU6" s="686">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6">
        <v>0</v>
      </c>
      <c r="AO7" s="686">
        <v>336</v>
      </c>
      <c r="AQ7" s="686">
        <v>0</v>
      </c>
      <c r="AR7" s="686">
        <v>336</v>
      </c>
      <c r="AT7" s="686">
        <f>AR7-AU7</f>
        <v>231</v>
      </c>
      <c r="AU7" s="686">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6">
        <f>1024-AN9</f>
        <v>204</v>
      </c>
      <c r="AO8" s="686">
        <f>AM8-AN8</f>
        <v>537</v>
      </c>
      <c r="AQ8" s="686">
        <f>1024-AR8-AR7-AR6-AR5-AR4</f>
        <v>512</v>
      </c>
      <c r="AR8" s="686">
        <f>512-AR7-AR6-AR5-AR4</f>
        <v>25</v>
      </c>
      <c r="AT8" s="686">
        <f>512-AT7-AU7-AU6-AU5-AU4</f>
        <v>25</v>
      </c>
      <c r="AU8" s="686">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6">
        <v>820</v>
      </c>
      <c r="AO9" s="686">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9"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30"/>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3" t="s">
        <v>942</v>
      </c>
      <c r="B26" s="733"/>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4" t="s">
        <v>943</v>
      </c>
      <c r="B27" s="734"/>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5" t="s">
        <v>944</v>
      </c>
      <c r="B28" s="735"/>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3" t="s">
        <v>945</v>
      </c>
      <c r="B29" s="733"/>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4" t="s">
        <v>946</v>
      </c>
      <c r="B30" s="734"/>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5" t="s">
        <v>947</v>
      </c>
      <c r="B31" s="735"/>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31"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31"/>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31"/>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31"/>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2"/>
      <c r="I43" s="732"/>
      <c r="J43" s="732"/>
      <c r="K43" s="732"/>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8"/>
      <c r="I52" s="728"/>
      <c r="J52" s="728"/>
      <c r="K52" s="728"/>
    </row>
    <row r="53" spans="8:11" x14ac:dyDescent="0.25">
      <c r="H53" s="185"/>
      <c r="I53" s="185"/>
      <c r="J53" s="185"/>
      <c r="K53" s="185"/>
    </row>
    <row r="54" spans="8:11" x14ac:dyDescent="0.25">
      <c r="H54" s="728"/>
      <c r="I54" s="728"/>
      <c r="J54" s="728"/>
      <c r="K54" s="728"/>
    </row>
    <row r="55" spans="8:11" x14ac:dyDescent="0.25">
      <c r="H55" s="728"/>
      <c r="I55" s="728"/>
      <c r="J55" s="728"/>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6" t="s">
        <v>1024</v>
      </c>
      <c r="C1" s="737"/>
      <c r="D1" s="737"/>
      <c r="E1" s="737"/>
      <c r="F1" s="737"/>
      <c r="G1" s="274"/>
      <c r="I1" s="741" t="s">
        <v>1023</v>
      </c>
      <c r="J1" s="742"/>
      <c r="K1" s="742"/>
      <c r="L1" s="742"/>
      <c r="M1" s="742"/>
      <c r="N1" s="743"/>
    </row>
    <row r="2" spans="2:14" x14ac:dyDescent="0.25">
      <c r="B2" s="744" t="s">
        <v>1025</v>
      </c>
      <c r="C2" s="744"/>
      <c r="D2" s="744"/>
      <c r="E2" s="744"/>
      <c r="F2" s="744"/>
      <c r="G2" s="257"/>
      <c r="I2" s="17" t="s">
        <v>36</v>
      </c>
      <c r="J2" s="261" t="s">
        <v>481</v>
      </c>
      <c r="K2" s="17" t="s">
        <v>50</v>
      </c>
      <c r="L2" s="17" t="s">
        <v>879</v>
      </c>
      <c r="M2" s="17" t="s">
        <v>1002</v>
      </c>
      <c r="N2" s="17" t="s">
        <v>1007</v>
      </c>
    </row>
    <row r="3" spans="2:14" ht="18.75" x14ac:dyDescent="0.3">
      <c r="B3" s="738" t="s">
        <v>948</v>
      </c>
      <c r="C3" s="739"/>
      <c r="D3" s="268"/>
      <c r="E3" s="740" t="s">
        <v>949</v>
      </c>
      <c r="F3" s="739"/>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xr:uid="{00000000-0009-0000-0000-000007000000}"/>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9"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30"/>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6">
        <f>C13</f>
        <v>11627008</v>
      </c>
      <c r="Z14" s="747"/>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3" t="s">
        <v>942</v>
      </c>
      <c r="B26" s="733"/>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4" t="s">
        <v>943</v>
      </c>
      <c r="B27" s="734"/>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5" t="s">
        <v>944</v>
      </c>
      <c r="B28" s="735"/>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3" t="s">
        <v>945</v>
      </c>
      <c r="B29" s="733"/>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4" t="s">
        <v>946</v>
      </c>
      <c r="B30" s="734"/>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5" t="s">
        <v>947</v>
      </c>
      <c r="B31" s="735"/>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5"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8">
        <f>C23</f>
        <v>12409992</v>
      </c>
      <c r="Z33" s="749"/>
    </row>
    <row r="34" spans="1:26" x14ac:dyDescent="0.25">
      <c r="A34" s="27"/>
      <c r="B34" s="745"/>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5"/>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5"/>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2"/>
      <c r="I40" s="732"/>
      <c r="J40" s="732"/>
      <c r="K40" s="732"/>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8"/>
      <c r="I49" s="728"/>
      <c r="J49" s="728"/>
      <c r="K49" s="728"/>
    </row>
    <row r="50" spans="8:11" x14ac:dyDescent="0.25">
      <c r="H50" s="213"/>
      <c r="I50" s="213"/>
      <c r="J50" s="213"/>
      <c r="K50" s="213"/>
    </row>
    <row r="51" spans="8:11" x14ac:dyDescent="0.25">
      <c r="H51" s="728"/>
      <c r="I51" s="728"/>
      <c r="J51" s="728"/>
      <c r="K51" s="728"/>
    </row>
    <row r="52" spans="8:11" ht="15" customHeight="1" x14ac:dyDescent="0.25">
      <c r="H52" s="728"/>
      <c r="I52" s="728"/>
      <c r="J52" s="728"/>
      <c r="K52" s="4"/>
    </row>
  </sheetData>
  <mergeCells count="15">
    <mergeCell ref="Y14:Z14"/>
    <mergeCell ref="Y33:Z33"/>
    <mergeCell ref="J40:K40"/>
    <mergeCell ref="H49:K49"/>
    <mergeCell ref="H51:K51"/>
    <mergeCell ref="H52:J52"/>
    <mergeCell ref="A11:A12"/>
    <mergeCell ref="A26:B26"/>
    <mergeCell ref="A27:B27"/>
    <mergeCell ref="A28:B28"/>
    <mergeCell ref="H40:I40"/>
    <mergeCell ref="A29:B29"/>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6" t="s">
        <v>1028</v>
      </c>
      <c r="C1" s="737"/>
      <c r="D1" s="737"/>
      <c r="E1" s="737"/>
      <c r="F1" s="737"/>
      <c r="G1" s="274"/>
      <c r="I1" s="751" t="s">
        <v>1035</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xr:uid="{00000000-0009-0000-0000-000009000000}"/>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9"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30"/>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6">
        <f>C13</f>
        <v>14012377</v>
      </c>
      <c r="Z14" s="747"/>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3" t="s">
        <v>942</v>
      </c>
      <c r="B26" s="733"/>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4" t="s">
        <v>943</v>
      </c>
      <c r="B27" s="734"/>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5" t="s">
        <v>944</v>
      </c>
      <c r="B28" s="735"/>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3" t="s">
        <v>945</v>
      </c>
      <c r="B29" s="733"/>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4" t="s">
        <v>946</v>
      </c>
      <c r="B30" s="734"/>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5" t="s">
        <v>947</v>
      </c>
      <c r="B31" s="735"/>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5"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8">
        <f>C23</f>
        <v>13609752</v>
      </c>
      <c r="Z33" s="749"/>
    </row>
    <row r="34" spans="1:26" x14ac:dyDescent="0.25">
      <c r="A34" s="27"/>
      <c r="B34" s="745"/>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5"/>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5"/>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2"/>
      <c r="I40" s="732"/>
      <c r="J40" s="732"/>
      <c r="K40" s="732"/>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8"/>
      <c r="I49" s="728"/>
      <c r="J49" s="728"/>
      <c r="K49" s="728"/>
    </row>
    <row r="50" spans="8:11" x14ac:dyDescent="0.25">
      <c r="H50" s="301"/>
      <c r="I50" s="301"/>
      <c r="J50" s="301"/>
      <c r="K50" s="301"/>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6" t="s">
        <v>1238</v>
      </c>
      <c r="C1" s="737"/>
      <c r="D1" s="737"/>
      <c r="E1" s="737"/>
      <c r="F1" s="737"/>
      <c r="G1" s="274"/>
      <c r="I1" s="751" t="s">
        <v>1294</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xr:uid="{00000000-0009-0000-0000-00000B00000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9"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30"/>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6">
        <f>C13</f>
        <v>17764543</v>
      </c>
      <c r="Z14" s="747"/>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3" t="s">
        <v>942</v>
      </c>
      <c r="B26" s="733"/>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4" t="s">
        <v>943</v>
      </c>
      <c r="B27" s="734"/>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5" t="s">
        <v>944</v>
      </c>
      <c r="B28" s="735"/>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3" t="s">
        <v>945</v>
      </c>
      <c r="B29" s="733"/>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4" t="s">
        <v>946</v>
      </c>
      <c r="B30" s="734"/>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5" t="s">
        <v>947</v>
      </c>
      <c r="B31" s="735"/>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8">
        <f>C23</f>
        <v>17530167</v>
      </c>
      <c r="Z33" s="749"/>
    </row>
    <row r="34" spans="1:26" x14ac:dyDescent="0.25">
      <c r="A34" s="27"/>
      <c r="B34" s="754"/>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4"/>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5"/>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2"/>
      <c r="I40" s="732"/>
      <c r="J40" s="732"/>
      <c r="K40" s="732"/>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8"/>
      <c r="I49" s="728"/>
      <c r="J49" s="728"/>
      <c r="K49" s="728"/>
    </row>
    <row r="50" spans="8:11" x14ac:dyDescent="0.25">
      <c r="H50" s="323"/>
      <c r="I50" s="323"/>
      <c r="J50" s="323"/>
      <c r="K50" s="323"/>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6" t="s">
        <v>1309</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xr:uid="{00000000-0009-0000-0000-00000D000000}"/>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9"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30"/>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6">
        <f>C13</f>
        <v>16343013</v>
      </c>
      <c r="Z14" s="747"/>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3" t="s">
        <v>942</v>
      </c>
      <c r="B26" s="733"/>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4" t="s">
        <v>943</v>
      </c>
      <c r="B27" s="734"/>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5" t="s">
        <v>944</v>
      </c>
      <c r="B28" s="735"/>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3" t="s">
        <v>945</v>
      </c>
      <c r="B29" s="733"/>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4" t="s">
        <v>946</v>
      </c>
      <c r="B30" s="734"/>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5" t="s">
        <v>947</v>
      </c>
      <c r="B31" s="735"/>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8">
        <f>C23</f>
        <v>16519404</v>
      </c>
      <c r="Z33" s="749"/>
    </row>
    <row r="34" spans="1:26" x14ac:dyDescent="0.25">
      <c r="A34" s="27"/>
      <c r="B34" s="754"/>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4"/>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5"/>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2"/>
      <c r="I40" s="732"/>
      <c r="J40" s="732"/>
      <c r="K40" s="732"/>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8"/>
      <c r="I49" s="728"/>
      <c r="J49" s="728"/>
      <c r="K49" s="728"/>
    </row>
    <row r="50" spans="8:11" x14ac:dyDescent="0.25">
      <c r="H50" s="419"/>
      <c r="I50" s="419"/>
      <c r="J50" s="419"/>
      <c r="K50" s="419"/>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1583</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xr:uid="{00000000-0009-0000-0000-00000F000000}"/>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9"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30"/>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6">
        <f>C13</f>
        <v>18270766</v>
      </c>
      <c r="Z14" s="747"/>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3" t="s">
        <v>942</v>
      </c>
      <c r="B26" s="733"/>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4" t="s">
        <v>943</v>
      </c>
      <c r="B27" s="734"/>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5" t="s">
        <v>944</v>
      </c>
      <c r="B28" s="735"/>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3" t="s">
        <v>945</v>
      </c>
      <c r="B29" s="733"/>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4" t="s">
        <v>946</v>
      </c>
      <c r="B30" s="734"/>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5" t="s">
        <v>947</v>
      </c>
      <c r="B31" s="735"/>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8">
        <f>C23</f>
        <v>18693448</v>
      </c>
      <c r="Z33" s="749"/>
    </row>
    <row r="34" spans="1:26" x14ac:dyDescent="0.25">
      <c r="A34" s="27"/>
      <c r="B34" s="754"/>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4"/>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5"/>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2"/>
      <c r="I40" s="732"/>
      <c r="J40" s="732"/>
      <c r="K40" s="732"/>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8"/>
      <c r="I49" s="728"/>
      <c r="J49" s="728"/>
      <c r="K49" s="728"/>
    </row>
    <row r="50" spans="8:11" x14ac:dyDescent="0.25">
      <c r="H50" s="440"/>
      <c r="I50" s="440"/>
      <c r="J50" s="440"/>
      <c r="K50" s="440"/>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1671</v>
      </c>
      <c r="C2" s="737"/>
      <c r="D2" s="737"/>
      <c r="E2" s="737"/>
      <c r="F2" s="737"/>
      <c r="G2" s="758"/>
      <c r="I2" s="456" t="s">
        <v>1672</v>
      </c>
      <c r="J2" s="457"/>
      <c r="K2" s="457"/>
      <c r="L2" s="457"/>
      <c r="M2" s="457"/>
      <c r="N2" s="457"/>
      <c r="O2" s="457"/>
      <c r="P2" s="457"/>
      <c r="Q2" s="457"/>
      <c r="R2" s="457"/>
      <c r="S2" s="457"/>
      <c r="T2" s="458"/>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60" t="s">
        <v>948</v>
      </c>
      <c r="C4" s="761"/>
      <c r="D4" s="268"/>
      <c r="E4" s="762" t="s">
        <v>949</v>
      </c>
      <c r="F4" s="763"/>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xr:uid="{00000000-0009-0000-0000-000011000000}"/>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9"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30"/>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6">
        <f>C13</f>
        <v>16112168</v>
      </c>
      <c r="Z14" s="747"/>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3" t="s">
        <v>942</v>
      </c>
      <c r="B26" s="733"/>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4" t="s">
        <v>943</v>
      </c>
      <c r="B27" s="734"/>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5" t="s">
        <v>944</v>
      </c>
      <c r="B28" s="735"/>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3" t="s">
        <v>945</v>
      </c>
      <c r="B29" s="733"/>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4" t="s">
        <v>946</v>
      </c>
      <c r="B30" s="734"/>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5" t="s">
        <v>947</v>
      </c>
      <c r="B31" s="735"/>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8">
        <f>C23</f>
        <v>13219063</v>
      </c>
      <c r="Z33" s="749"/>
    </row>
    <row r="34" spans="1:26" x14ac:dyDescent="0.25">
      <c r="A34" s="27"/>
      <c r="B34" s="754"/>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4"/>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5"/>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2"/>
      <c r="I40" s="732"/>
      <c r="J40" s="732"/>
      <c r="K40" s="732"/>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8"/>
      <c r="I49" s="728"/>
      <c r="J49" s="728"/>
      <c r="K49" s="728"/>
    </row>
    <row r="50" spans="8:11" x14ac:dyDescent="0.25">
      <c r="H50" s="447"/>
      <c r="I50" s="447"/>
      <c r="J50" s="447"/>
      <c r="K50" s="447"/>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6" t="s">
        <v>1681</v>
      </c>
      <c r="C2" s="737"/>
      <c r="D2" s="737"/>
      <c r="E2" s="737"/>
      <c r="F2" s="737"/>
      <c r="G2" s="758"/>
      <c r="I2" s="456" t="s">
        <v>1682</v>
      </c>
      <c r="J2" s="457"/>
      <c r="K2" s="457"/>
      <c r="L2" s="457"/>
      <c r="M2" s="457"/>
      <c r="N2" s="457"/>
      <c r="O2" s="457"/>
      <c r="P2" s="457"/>
      <c r="Q2" s="457"/>
      <c r="R2" s="457"/>
      <c r="S2" s="457"/>
      <c r="T2" s="457"/>
      <c r="U2" s="458"/>
    </row>
    <row r="3" spans="2:21" x14ac:dyDescent="0.25">
      <c r="B3" s="756" t="s">
        <v>1025</v>
      </c>
      <c r="C3" s="750"/>
      <c r="D3" s="750"/>
      <c r="E3" s="750"/>
      <c r="F3" s="750"/>
      <c r="G3" s="757"/>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60" t="s">
        <v>948</v>
      </c>
      <c r="C4" s="761"/>
      <c r="D4" s="268"/>
      <c r="E4" s="762" t="s">
        <v>949</v>
      </c>
      <c r="F4" s="763"/>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xr:uid="{00000000-0009-0000-0000-00001300000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9"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30"/>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6">
        <f>C13</f>
        <v>23902855</v>
      </c>
      <c r="V14" s="747"/>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5"/>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3" t="s">
        <v>942</v>
      </c>
      <c r="B26" s="733"/>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4" t="s">
        <v>943</v>
      </c>
      <c r="B27" s="734"/>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5" t="s">
        <v>944</v>
      </c>
      <c r="B28" s="735"/>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3" t="s">
        <v>945</v>
      </c>
      <c r="B29" s="733"/>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4" t="s">
        <v>946</v>
      </c>
      <c r="B30" s="734"/>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5" t="s">
        <v>947</v>
      </c>
      <c r="B31" s="735"/>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3"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8">
        <f>C23</f>
        <v>26027908</v>
      </c>
      <c r="V33" s="749"/>
    </row>
    <row r="34" spans="1:22" x14ac:dyDescent="0.25">
      <c r="A34" s="27"/>
      <c r="B34" s="754"/>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4"/>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5"/>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2"/>
      <c r="I40" s="732"/>
      <c r="J40" s="732"/>
      <c r="K40" s="732"/>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8"/>
      <c r="I49" s="728"/>
      <c r="J49" s="728"/>
      <c r="K49" s="728"/>
    </row>
    <row r="50" spans="8:11" x14ac:dyDescent="0.25">
      <c r="H50" s="455"/>
      <c r="I50" s="455"/>
      <c r="J50" s="455"/>
      <c r="K50" s="455"/>
    </row>
    <row r="51" spans="8:11" x14ac:dyDescent="0.25">
      <c r="H51" s="728"/>
      <c r="I51" s="728"/>
      <c r="J51" s="728"/>
      <c r="K51" s="728"/>
    </row>
    <row r="52" spans="8:11" ht="15" customHeight="1" x14ac:dyDescent="0.25">
      <c r="H52" s="728"/>
      <c r="I52" s="728"/>
      <c r="J52" s="728"/>
      <c r="K52" s="4"/>
    </row>
  </sheetData>
  <mergeCells count="16">
    <mergeCell ref="H49:K49"/>
    <mergeCell ref="H51:K51"/>
    <mergeCell ref="H52:J52"/>
    <mergeCell ref="A30:B30"/>
    <mergeCell ref="A31:B31"/>
    <mergeCell ref="B33:B36"/>
    <mergeCell ref="U33:V33"/>
    <mergeCell ref="H40:I40"/>
    <mergeCell ref="J40:K40"/>
    <mergeCell ref="A11:A12"/>
    <mergeCell ref="U14:V14"/>
    <mergeCell ref="A26:B26"/>
    <mergeCell ref="A27:B27"/>
    <mergeCell ref="A28:B28"/>
    <mergeCell ref="A29:B29"/>
    <mergeCell ref="A20:A21"/>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6" t="s">
        <v>1711</v>
      </c>
      <c r="C2" s="737"/>
      <c r="D2" s="737"/>
      <c r="E2" s="737"/>
      <c r="F2" s="737"/>
      <c r="G2" s="758"/>
      <c r="I2" s="766" t="s">
        <v>1712</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xr:uid="{00000000-0009-0000-0000-000015000000}"/>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9"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30"/>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6">
        <f>C13</f>
        <v>13745797</v>
      </c>
      <c r="V14" s="747"/>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3" t="s">
        <v>942</v>
      </c>
      <c r="B26" s="733"/>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4" t="s">
        <v>943</v>
      </c>
      <c r="B27" s="734"/>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5" t="s">
        <v>944</v>
      </c>
      <c r="B28" s="735"/>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3" t="s">
        <v>945</v>
      </c>
      <c r="B29" s="733"/>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4" t="s">
        <v>946</v>
      </c>
      <c r="B30" s="734"/>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5" t="s">
        <v>947</v>
      </c>
      <c r="B31" s="735"/>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3"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8">
        <f>C23</f>
        <v>12716228</v>
      </c>
      <c r="V33" s="749"/>
    </row>
    <row r="34" spans="1:22" x14ac:dyDescent="0.25">
      <c r="A34" s="27"/>
      <c r="B34" s="754"/>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4"/>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5"/>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2"/>
      <c r="K38" s="732"/>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8"/>
      <c r="I47" s="728"/>
      <c r="J47" s="728"/>
      <c r="K47" s="728"/>
    </row>
    <row r="48" spans="1:22" x14ac:dyDescent="0.25">
      <c r="H48" s="500"/>
      <c r="I48" s="500"/>
      <c r="J48" s="500"/>
      <c r="K48" s="500"/>
    </row>
    <row r="49" spans="8:11" x14ac:dyDescent="0.25">
      <c r="H49" s="728"/>
      <c r="I49" s="728"/>
      <c r="J49" s="728"/>
      <c r="K49" s="728"/>
    </row>
    <row r="50" spans="8:11" ht="15" customHeight="1" x14ac:dyDescent="0.25">
      <c r="H50" s="728"/>
      <c r="I50" s="728"/>
      <c r="J50" s="728"/>
      <c r="K50" s="4"/>
    </row>
  </sheetData>
  <mergeCells count="15">
    <mergeCell ref="H47:K47"/>
    <mergeCell ref="H49:K49"/>
    <mergeCell ref="H50:J50"/>
    <mergeCell ref="A29:B29"/>
    <mergeCell ref="A30:B30"/>
    <mergeCell ref="A31:B31"/>
    <mergeCell ref="B33:B36"/>
    <mergeCell ref="U33:V33"/>
    <mergeCell ref="J38:K38"/>
    <mergeCell ref="A11:A12"/>
    <mergeCell ref="U14:V14"/>
    <mergeCell ref="A20:A21"/>
    <mergeCell ref="A26:B26"/>
    <mergeCell ref="A27:B27"/>
    <mergeCell ref="A28:B28"/>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6" t="s">
        <v>1827</v>
      </c>
      <c r="C2" s="737"/>
      <c r="D2" s="737"/>
      <c r="E2" s="737"/>
      <c r="F2" s="737"/>
      <c r="G2" s="758"/>
      <c r="I2" s="766" t="s">
        <v>1828</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xr:uid="{00000000-0009-0000-0000-000017000000}"/>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9"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30"/>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6">
        <f>C13</f>
        <v>18637439</v>
      </c>
      <c r="V14" s="747"/>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4"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9" t="s">
        <v>721</v>
      </c>
      <c r="B26" s="769"/>
      <c r="C26" s="769"/>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70" t="s">
        <v>1212</v>
      </c>
      <c r="B27" s="770"/>
      <c r="C27" s="770"/>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71" t="s">
        <v>1985</v>
      </c>
      <c r="B28" s="771"/>
      <c r="C28" s="771"/>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9" t="s">
        <v>1986</v>
      </c>
      <c r="B29" s="769"/>
      <c r="C29" s="769"/>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70" t="s">
        <v>1987</v>
      </c>
      <c r="B30" s="770"/>
      <c r="C30" s="770"/>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71" t="s">
        <v>1988</v>
      </c>
      <c r="B31" s="771"/>
      <c r="C31" s="771"/>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9" t="s">
        <v>1989</v>
      </c>
      <c r="B32" s="769"/>
      <c r="C32" s="769"/>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70" t="s">
        <v>1990</v>
      </c>
      <c r="B33" s="770"/>
      <c r="C33" s="770"/>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8">
        <f>C23</f>
        <v>18204884</v>
      </c>
      <c r="V35" s="749"/>
    </row>
    <row r="36" spans="1:22" x14ac:dyDescent="0.25">
      <c r="A36" s="27"/>
      <c r="B36" s="754"/>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4"/>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5"/>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8"/>
      <c r="I49" s="728"/>
      <c r="J49" s="728"/>
      <c r="K49" s="728"/>
    </row>
    <row r="50" spans="8:11" x14ac:dyDescent="0.25">
      <c r="H50" s="557"/>
      <c r="I50" s="557"/>
      <c r="J50" s="557"/>
      <c r="K50" s="557"/>
    </row>
    <row r="51" spans="8:11" x14ac:dyDescent="0.25">
      <c r="H51" s="728"/>
      <c r="I51" s="728"/>
      <c r="J51" s="728"/>
      <c r="K51" s="728"/>
    </row>
    <row r="52" spans="8:11" ht="15" customHeight="1" x14ac:dyDescent="0.25">
      <c r="H52" s="728"/>
      <c r="I52" s="728"/>
      <c r="J52" s="728"/>
      <c r="K52" s="4"/>
    </row>
  </sheetData>
  <mergeCells count="17">
    <mergeCell ref="H49:K49"/>
    <mergeCell ref="H51:K51"/>
    <mergeCell ref="H52:J52"/>
    <mergeCell ref="A26:C26"/>
    <mergeCell ref="A27:C27"/>
    <mergeCell ref="A28:C28"/>
    <mergeCell ref="A29:C29"/>
    <mergeCell ref="A30:C30"/>
    <mergeCell ref="A31:C31"/>
    <mergeCell ref="B35:B38"/>
    <mergeCell ref="U35:V35"/>
    <mergeCell ref="J40:K40"/>
    <mergeCell ref="A32:C32"/>
    <mergeCell ref="A33:C33"/>
    <mergeCell ref="A11:A12"/>
    <mergeCell ref="U14:V14"/>
    <mergeCell ref="A20:A21"/>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6" t="s">
        <v>1984</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43627</v>
      </c>
      <c r="X7" s="30">
        <f ca="1">W7+112</f>
        <v>43739</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2218</v>
      </c>
      <c r="X8">
        <f ca="1">X7-W6</f>
        <v>2330</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316.85714285714283</v>
      </c>
      <c r="X9" s="378">
        <f ca="1">X8/7</f>
        <v>332.85714285714283</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3314.111812443643</v>
      </c>
      <c r="X10" s="572">
        <f ca="1">W5/X9</f>
        <v>3154.8068669527897</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53025.788999098288</v>
      </c>
      <c r="X11" s="572">
        <f ca="1">X10*16</f>
        <v>50476.909871244636</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19.803571428571427</v>
      </c>
      <c r="X12" s="63">
        <f ca="1">X9/16</f>
        <v>20.803571428571427</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xr:uid="{00000000-0009-0000-0000-000019000000}"/>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9"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30"/>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6">
        <f>C13</f>
        <v>19483182.227914352</v>
      </c>
      <c r="V14" s="747"/>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4"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9" t="s">
        <v>721</v>
      </c>
      <c r="B26" s="769"/>
      <c r="C26" s="769"/>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70" t="s">
        <v>1212</v>
      </c>
      <c r="B27" s="770"/>
      <c r="C27" s="770"/>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71" t="s">
        <v>1985</v>
      </c>
      <c r="B28" s="771"/>
      <c r="C28" s="771"/>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9" t="s">
        <v>1986</v>
      </c>
      <c r="B29" s="769"/>
      <c r="C29" s="769"/>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70" t="s">
        <v>1987</v>
      </c>
      <c r="B30" s="770"/>
      <c r="C30" s="770"/>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9" t="s">
        <v>1989</v>
      </c>
      <c r="B32" s="769"/>
      <c r="C32" s="769"/>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70" t="s">
        <v>1990</v>
      </c>
      <c r="B33" s="770"/>
      <c r="C33" s="770"/>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8">
        <f>C23</f>
        <v>20399975</v>
      </c>
      <c r="V35" s="749"/>
    </row>
    <row r="36" spans="1:22" x14ac:dyDescent="0.25">
      <c r="A36" s="27"/>
      <c r="B36" s="754"/>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4"/>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5"/>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8"/>
      <c r="I49" s="728"/>
      <c r="J49" s="728"/>
      <c r="K49" s="728"/>
    </row>
    <row r="50" spans="8:11" x14ac:dyDescent="0.25">
      <c r="H50" s="574"/>
      <c r="I50" s="574"/>
      <c r="J50" s="574"/>
      <c r="K50" s="574"/>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6" t="s">
        <v>2066</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xr:uid="{00000000-0009-0000-0000-00001B000000}"/>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9"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30"/>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6">
        <f>C13</f>
        <v>51916333</v>
      </c>
      <c r="V14" s="747"/>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4"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5"/>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9" t="s">
        <v>721</v>
      </c>
      <c r="B26" s="769"/>
      <c r="C26" s="769"/>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70" t="s">
        <v>1212</v>
      </c>
      <c r="B27" s="770"/>
      <c r="C27" s="770"/>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71" t="s">
        <v>1985</v>
      </c>
      <c r="B28" s="771"/>
      <c r="C28" s="771"/>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9" t="s">
        <v>1986</v>
      </c>
      <c r="B29" s="769"/>
      <c r="C29" s="769"/>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70" t="s">
        <v>1987</v>
      </c>
      <c r="B30" s="770"/>
      <c r="C30" s="770"/>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71" t="s">
        <v>1988</v>
      </c>
      <c r="B31" s="771"/>
      <c r="C31" s="771"/>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9" t="s">
        <v>1989</v>
      </c>
      <c r="B32" s="769"/>
      <c r="C32" s="769"/>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70" t="s">
        <v>1990</v>
      </c>
      <c r="B33" s="770"/>
      <c r="C33" s="770"/>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8">
        <f>C23</f>
        <v>51485866</v>
      </c>
      <c r="V35" s="749"/>
    </row>
    <row r="36" spans="1:22" x14ac:dyDescent="0.25">
      <c r="A36" s="27"/>
      <c r="B36" s="754"/>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4"/>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5"/>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2"/>
      <c r="K40" s="732"/>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8"/>
      <c r="I49" s="728"/>
      <c r="J49" s="728"/>
      <c r="K49" s="728"/>
    </row>
    <row r="50" spans="8:11" x14ac:dyDescent="0.25">
      <c r="H50" s="615"/>
      <c r="I50" s="615"/>
      <c r="J50" s="615"/>
      <c r="K50" s="615"/>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6" t="s">
        <v>2300</v>
      </c>
      <c r="C2" s="737"/>
      <c r="D2" s="737"/>
      <c r="E2" s="737"/>
      <c r="F2" s="737"/>
      <c r="G2" s="758"/>
      <c r="I2" s="766" t="s">
        <v>2302</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60" t="s">
        <v>948</v>
      </c>
      <c r="C4" s="761"/>
      <c r="D4" s="268"/>
      <c r="E4" s="762" t="s">
        <v>949</v>
      </c>
      <c r="F4" s="763"/>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xr:uid="{00000000-0009-0000-0000-00001D00000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9"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30"/>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6">
        <f>C13</f>
        <v>22004918.361014728</v>
      </c>
      <c r="V14" s="747"/>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4"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5"/>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9" t="s">
        <v>721</v>
      </c>
      <c r="B26" s="769"/>
      <c r="C26" s="769"/>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70" t="s">
        <v>1212</v>
      </c>
      <c r="B27" s="770"/>
      <c r="C27" s="770"/>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71" t="s">
        <v>1985</v>
      </c>
      <c r="B28" s="771"/>
      <c r="C28" s="771"/>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9" t="s">
        <v>1986</v>
      </c>
      <c r="B29" s="769"/>
      <c r="C29" s="769"/>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70" t="s">
        <v>1987</v>
      </c>
      <c r="B30" s="770"/>
      <c r="C30" s="770"/>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71" t="s">
        <v>1988</v>
      </c>
      <c r="B31" s="771"/>
      <c r="C31" s="771"/>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9" t="s">
        <v>1989</v>
      </c>
      <c r="B32" s="769"/>
      <c r="C32" s="769"/>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70" t="s">
        <v>1990</v>
      </c>
      <c r="B33" s="770"/>
      <c r="C33" s="770"/>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8">
        <f>C23</f>
        <v>21747538</v>
      </c>
      <c r="V35" s="749"/>
    </row>
    <row r="36" spans="1:22" x14ac:dyDescent="0.25">
      <c r="A36" s="27"/>
      <c r="B36" s="754"/>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4"/>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5"/>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34"/>
      <c r="I46" s="634"/>
      <c r="J46" s="634"/>
      <c r="K46" s="634"/>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2413</v>
      </c>
      <c r="C2" s="737"/>
      <c r="D2" s="737"/>
      <c r="E2" s="737"/>
      <c r="F2" s="737"/>
      <c r="G2" s="758"/>
      <c r="I2" s="766" t="s">
        <v>2414</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xr:uid="{00000000-0009-0000-0000-00001F00000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9"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30"/>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6">
        <f>C13</f>
        <v>17100482</v>
      </c>
      <c r="V14" s="747"/>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9" t="s">
        <v>721</v>
      </c>
      <c r="B26" s="769"/>
      <c r="C26" s="769"/>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70" t="s">
        <v>1212</v>
      </c>
      <c r="B27" s="770"/>
      <c r="C27" s="770"/>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71" t="s">
        <v>1985</v>
      </c>
      <c r="B28" s="771"/>
      <c r="C28" s="771"/>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9" t="s">
        <v>1986</v>
      </c>
      <c r="B29" s="769"/>
      <c r="C29" s="769"/>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70" t="s">
        <v>1987</v>
      </c>
      <c r="B30" s="770"/>
      <c r="C30" s="770"/>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71" t="s">
        <v>1988</v>
      </c>
      <c r="B31" s="771"/>
      <c r="C31" s="771"/>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9" t="s">
        <v>1989</v>
      </c>
      <c r="B32" s="769"/>
      <c r="C32" s="769"/>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70" t="s">
        <v>1990</v>
      </c>
      <c r="B33" s="770"/>
      <c r="C33" s="770"/>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8">
        <f>C23</f>
        <v>13585896</v>
      </c>
      <c r="V35" s="749"/>
    </row>
    <row r="36" spans="1:22" x14ac:dyDescent="0.25">
      <c r="A36" s="27"/>
      <c r="B36" s="754"/>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4"/>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5"/>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0"/>
      <c r="I40" s="690"/>
      <c r="J40" s="690"/>
      <c r="K40" s="690"/>
      <c r="M40" s="632"/>
    </row>
    <row r="41" spans="1:22" x14ac:dyDescent="0.25">
      <c r="H41" s="478"/>
      <c r="I41" s="478"/>
      <c r="J41" s="690"/>
      <c r="K41" s="690"/>
    </row>
    <row r="42" spans="1:22" x14ac:dyDescent="0.25">
      <c r="F42" s="691"/>
      <c r="G42" s="691"/>
      <c r="H42" s="691"/>
      <c r="I42" s="691"/>
      <c r="J42" s="691"/>
      <c r="K42" s="691"/>
      <c r="L42" s="691"/>
      <c r="M42" s="691"/>
      <c r="N42" s="691"/>
      <c r="O42" s="691"/>
      <c r="P42" s="691"/>
      <c r="Q42" s="691"/>
      <c r="R42" s="691"/>
      <c r="S42" s="691"/>
    </row>
    <row r="43" spans="1:22" x14ac:dyDescent="0.25">
      <c r="H43" s="690"/>
      <c r="I43" s="690"/>
      <c r="J43" s="690"/>
      <c r="K43" s="690"/>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0"/>
      <c r="I46" s="690"/>
      <c r="J46" s="690"/>
      <c r="K46" s="690"/>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2520</v>
      </c>
      <c r="C2" s="737"/>
      <c r="D2" s="737"/>
      <c r="E2" s="737"/>
      <c r="F2" s="737"/>
      <c r="G2" s="758"/>
      <c r="I2" s="766" t="s">
        <v>2521</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2"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xr:uid="{00000000-0009-0000-0000-000021000000}"/>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4"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9"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30"/>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6">
        <f>C13</f>
        <v>18522916</v>
      </c>
      <c r="V14" s="747"/>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9" t="s">
        <v>721</v>
      </c>
      <c r="B26" s="769"/>
      <c r="C26" s="769"/>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70" t="s">
        <v>1212</v>
      </c>
      <c r="B27" s="770"/>
      <c r="C27" s="770"/>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71" t="s">
        <v>1985</v>
      </c>
      <c r="B28" s="771"/>
      <c r="C28" s="771"/>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9" t="s">
        <v>1986</v>
      </c>
      <c r="B29" s="769"/>
      <c r="C29" s="769"/>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70" t="s">
        <v>1987</v>
      </c>
      <c r="B30" s="770"/>
      <c r="C30" s="770"/>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9" t="s">
        <v>1989</v>
      </c>
      <c r="B32" s="769"/>
      <c r="C32" s="769"/>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70" t="s">
        <v>1990</v>
      </c>
      <c r="B33" s="770"/>
      <c r="C33" s="770"/>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3"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8">
        <f>C23</f>
        <v>17025376</v>
      </c>
      <c r="V35" s="749"/>
    </row>
    <row r="36" spans="1:22" x14ac:dyDescent="0.25">
      <c r="A36" s="27"/>
      <c r="B36" s="754"/>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4"/>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5"/>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3"/>
      <c r="I40" s="693"/>
      <c r="J40" s="693"/>
      <c r="K40" s="693"/>
      <c r="M40" s="632"/>
    </row>
    <row r="41" spans="1:22" x14ac:dyDescent="0.25">
      <c r="H41" s="478"/>
      <c r="I41" s="478"/>
      <c r="J41" s="693"/>
      <c r="K41" s="693"/>
    </row>
    <row r="42" spans="1:22" x14ac:dyDescent="0.25">
      <c r="D42" s="225">
        <f>EconomiaT51!D7-EconomiaT50!D7</f>
        <v>18500</v>
      </c>
      <c r="F42" s="694"/>
      <c r="G42" s="694"/>
      <c r="H42" s="694"/>
      <c r="I42" s="694"/>
      <c r="J42" s="694"/>
      <c r="K42" s="694"/>
      <c r="L42" s="694"/>
      <c r="M42" s="694"/>
      <c r="N42" s="694"/>
      <c r="O42" s="694"/>
      <c r="P42" s="694"/>
      <c r="Q42" s="694"/>
      <c r="R42" s="694"/>
      <c r="S42" s="694"/>
    </row>
    <row r="43" spans="1:22" x14ac:dyDescent="0.25">
      <c r="D43">
        <f>D42/D7</f>
        <v>0.19082985197792562</v>
      </c>
      <c r="H43" s="693"/>
      <c r="I43" s="693"/>
      <c r="J43" s="693"/>
      <c r="K43" s="693"/>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8"/>
      <c r="I45" s="728"/>
      <c r="J45" s="728"/>
      <c r="K45" s="728"/>
    </row>
    <row r="46" spans="1:22" x14ac:dyDescent="0.25">
      <c r="H46" s="693"/>
      <c r="I46" s="693"/>
      <c r="J46" s="693"/>
      <c r="K46" s="693"/>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2548</v>
      </c>
      <c r="C2" s="737"/>
      <c r="D2" s="737"/>
      <c r="E2" s="737"/>
      <c r="F2" s="737"/>
      <c r="G2" s="758"/>
      <c r="I2" s="766" t="s">
        <v>2549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2"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7"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2"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2"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2"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2"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xr:uid="{00000000-0009-0000-0000-000023000000}"/>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9"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0">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9"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30"/>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6">
        <f>C13</f>
        <v>15123688.232594652</v>
      </c>
      <c r="V14" s="747"/>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4"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5"/>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9" t="s">
        <v>721</v>
      </c>
      <c r="B26" s="769"/>
      <c r="C26" s="769"/>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70" t="s">
        <v>1212</v>
      </c>
      <c r="B27" s="770"/>
      <c r="C27" s="770"/>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71" t="s">
        <v>1985</v>
      </c>
      <c r="B28" s="771"/>
      <c r="C28" s="771"/>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9" t="s">
        <v>1986</v>
      </c>
      <c r="B29" s="769"/>
      <c r="C29" s="769"/>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70" t="s">
        <v>1987</v>
      </c>
      <c r="B30" s="770"/>
      <c r="C30" s="770"/>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71" t="s">
        <v>1988</v>
      </c>
      <c r="B31" s="771"/>
      <c r="C31" s="771"/>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9" t="s">
        <v>1989</v>
      </c>
      <c r="B32" s="769"/>
      <c r="C32" s="769"/>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70" t="s">
        <v>1990</v>
      </c>
      <c r="B33" s="770"/>
      <c r="C33" s="770"/>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8">
        <f>C23</f>
        <v>16727266</v>
      </c>
      <c r="V35" s="749"/>
    </row>
    <row r="36" spans="1:22" x14ac:dyDescent="0.25">
      <c r="A36" s="27"/>
      <c r="B36" s="754"/>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4"/>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5"/>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1"/>
      <c r="H40" s="698"/>
      <c r="I40" s="698"/>
      <c r="J40" s="698"/>
      <c r="K40" s="698"/>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699"/>
      <c r="G42" s="699"/>
      <c r="H42" s="699"/>
      <c r="I42" s="699"/>
      <c r="J42" s="699"/>
      <c r="K42" s="699"/>
      <c r="L42" s="699"/>
      <c r="M42" s="699"/>
      <c r="N42" s="699"/>
      <c r="O42" s="699"/>
      <c r="P42" s="699"/>
      <c r="Q42" s="699"/>
      <c r="R42" s="699"/>
      <c r="S42" s="699"/>
    </row>
    <row r="43" spans="1:22" x14ac:dyDescent="0.25">
      <c r="H43" s="698"/>
      <c r="I43" s="698"/>
      <c r="J43" s="698"/>
      <c r="K43" s="698"/>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8"/>
      <c r="I46" s="698"/>
      <c r="J46" s="698"/>
      <c r="K46" s="698"/>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2588</v>
      </c>
      <c r="C2" s="737"/>
      <c r="D2" s="737"/>
      <c r="E2" s="737"/>
      <c r="F2" s="737"/>
      <c r="G2" s="758"/>
      <c r="I2" s="766" t="s">
        <v>2589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xr:uid="{00000000-0009-0000-0000-000025000000}"/>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59999389629810485"/>
  </sheetPr>
  <dimension ref="A1:CI44"/>
  <sheetViews>
    <sheetView zoomScale="80" zoomScaleNormal="80" workbookViewId="0">
      <selection activeCell="C25" sqref="C25"/>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3.710937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16</v>
      </c>
      <c r="L2" s="128" t="s">
        <v>715</v>
      </c>
      <c r="M2" s="128" t="s">
        <v>702</v>
      </c>
      <c r="N2" s="128" t="s">
        <v>703</v>
      </c>
      <c r="O2" s="128" t="s">
        <v>704</v>
      </c>
      <c r="P2" s="128" t="s">
        <v>705</v>
      </c>
      <c r="Q2" s="128" t="s">
        <v>21</v>
      </c>
      <c r="R2" s="128" t="s">
        <v>22</v>
      </c>
      <c r="S2" s="128" t="s">
        <v>23</v>
      </c>
      <c r="T2" s="128" t="s">
        <v>17</v>
      </c>
      <c r="U2" s="128" t="s">
        <v>18</v>
      </c>
      <c r="V2" s="128" t="s">
        <v>24</v>
      </c>
      <c r="W2" s="128" t="s">
        <v>25</v>
      </c>
      <c r="X2" s="128" t="s">
        <v>26</v>
      </c>
      <c r="Y2" s="128" t="s">
        <v>27</v>
      </c>
      <c r="Z2" s="128" t="s">
        <v>28</v>
      </c>
      <c r="AA2" s="703" t="s">
        <v>16</v>
      </c>
      <c r="AB2" s="703" t="s">
        <v>715</v>
      </c>
      <c r="AC2" s="703" t="s">
        <v>702</v>
      </c>
      <c r="AD2" s="703" t="s">
        <v>703</v>
      </c>
      <c r="AE2" s="703" t="s">
        <v>704</v>
      </c>
      <c r="AF2" s="703" t="s">
        <v>705</v>
      </c>
      <c r="AG2" s="703" t="s">
        <v>21</v>
      </c>
      <c r="AH2" s="703" t="s">
        <v>22</v>
      </c>
      <c r="AI2" s="703" t="s">
        <v>23</v>
      </c>
      <c r="AJ2" s="703" t="s">
        <v>17</v>
      </c>
      <c r="AK2" s="703" t="s">
        <v>18</v>
      </c>
      <c r="AL2" s="703" t="s">
        <v>24</v>
      </c>
      <c r="AM2" s="703" t="s">
        <v>25</v>
      </c>
      <c r="AN2" s="703" t="s">
        <v>26</v>
      </c>
      <c r="AO2" s="703" t="s">
        <v>27</v>
      </c>
      <c r="AP2" s="703" t="s">
        <v>28</v>
      </c>
      <c r="AQ2" s="128" t="s">
        <v>16</v>
      </c>
      <c r="AR2" s="128" t="s">
        <v>715</v>
      </c>
      <c r="AS2" s="128" t="s">
        <v>702</v>
      </c>
      <c r="AT2" s="128" t="s">
        <v>703</v>
      </c>
      <c r="AU2" s="128" t="s">
        <v>704</v>
      </c>
      <c r="AV2" s="128" t="s">
        <v>705</v>
      </c>
      <c r="AW2" s="128" t="s">
        <v>21</v>
      </c>
      <c r="AX2" s="128" t="s">
        <v>22</v>
      </c>
      <c r="AY2" s="128" t="s">
        <v>23</v>
      </c>
      <c r="AZ2" s="128" t="s">
        <v>17</v>
      </c>
      <c r="BA2" s="128" t="s">
        <v>18</v>
      </c>
      <c r="BB2" s="128" t="s">
        <v>24</v>
      </c>
      <c r="BC2" s="128" t="s">
        <v>25</v>
      </c>
      <c r="BD2" s="128" t="s">
        <v>26</v>
      </c>
      <c r="BE2" s="128" t="s">
        <v>27</v>
      </c>
      <c r="BF2" s="128" t="s">
        <v>28</v>
      </c>
      <c r="BG2" s="703" t="s">
        <v>16</v>
      </c>
      <c r="BH2" s="128" t="s">
        <v>715</v>
      </c>
      <c r="BI2" s="128" t="s">
        <v>702</v>
      </c>
      <c r="BJ2" s="128" t="s">
        <v>703</v>
      </c>
      <c r="BK2" s="128" t="s">
        <v>704</v>
      </c>
      <c r="BL2" s="128" t="s">
        <v>705</v>
      </c>
      <c r="BM2" s="128" t="s">
        <v>21</v>
      </c>
      <c r="BN2" s="128" t="s">
        <v>22</v>
      </c>
      <c r="BO2" s="128" t="s">
        <v>23</v>
      </c>
      <c r="BP2" s="128" t="s">
        <v>17</v>
      </c>
      <c r="BQ2" s="128" t="s">
        <v>18</v>
      </c>
      <c r="BR2" s="128" t="s">
        <v>24</v>
      </c>
      <c r="BS2" s="128" t="s">
        <v>25</v>
      </c>
      <c r="BT2" s="128" t="s">
        <v>26</v>
      </c>
      <c r="BU2" s="128" t="s">
        <v>27</v>
      </c>
      <c r="BV2" s="128" t="s">
        <v>28</v>
      </c>
      <c r="BW2" s="128" t="s">
        <v>1604</v>
      </c>
      <c r="BX2" s="128" t="s">
        <v>1605</v>
      </c>
      <c r="BY2" s="128" t="s">
        <v>1606</v>
      </c>
      <c r="BZ2" s="128" t="s">
        <v>1607</v>
      </c>
      <c r="CA2" s="128" t="s">
        <v>1608</v>
      </c>
      <c r="CB2" s="128" t="s">
        <v>1651</v>
      </c>
      <c r="CC2" s="128" t="s">
        <v>1652</v>
      </c>
      <c r="CD2" s="128" t="s">
        <v>1653</v>
      </c>
      <c r="CE2" s="128" t="s">
        <v>1654</v>
      </c>
      <c r="CF2" s="128" t="s">
        <v>1655</v>
      </c>
      <c r="CG2" s="128" t="s">
        <v>1656</v>
      </c>
      <c r="CH2" s="128" t="s">
        <v>1657</v>
      </c>
      <c r="CI2" s="128" t="s">
        <v>1658</v>
      </c>
    </row>
    <row r="3" spans="1:87" x14ac:dyDescent="0.25">
      <c r="J3" s="661" t="s">
        <v>2448</v>
      </c>
      <c r="K3" s="662">
        <v>1</v>
      </c>
      <c r="L3" s="662">
        <v>0</v>
      </c>
      <c r="M3" s="662">
        <v>1</v>
      </c>
      <c r="N3" s="662">
        <v>0</v>
      </c>
      <c r="O3" s="662">
        <v>1</v>
      </c>
      <c r="P3" s="662">
        <v>0</v>
      </c>
      <c r="Q3" s="662">
        <v>1</v>
      </c>
      <c r="R3" s="662">
        <v>0</v>
      </c>
      <c r="S3" s="662">
        <v>1</v>
      </c>
      <c r="T3" s="662">
        <v>0</v>
      </c>
      <c r="U3" s="662">
        <v>1</v>
      </c>
      <c r="V3" s="662">
        <v>0</v>
      </c>
      <c r="W3" s="662">
        <v>0</v>
      </c>
      <c r="X3" s="662">
        <v>0</v>
      </c>
      <c r="Y3" s="662">
        <v>1</v>
      </c>
      <c r="Z3" s="662">
        <v>0</v>
      </c>
      <c r="AA3" s="662">
        <v>1</v>
      </c>
      <c r="AB3" s="662">
        <v>0</v>
      </c>
      <c r="AC3" s="662">
        <v>1</v>
      </c>
      <c r="AD3" s="662">
        <v>0</v>
      </c>
      <c r="AE3" s="662">
        <v>1</v>
      </c>
      <c r="AF3" s="662">
        <v>0</v>
      </c>
      <c r="AG3" s="662">
        <v>1</v>
      </c>
      <c r="AH3" s="662">
        <v>0</v>
      </c>
      <c r="AI3" s="662">
        <v>1</v>
      </c>
      <c r="AJ3" s="662">
        <v>0</v>
      </c>
      <c r="AK3" s="662">
        <v>1</v>
      </c>
      <c r="AL3" s="662">
        <v>0</v>
      </c>
      <c r="AM3" s="662">
        <v>0</v>
      </c>
      <c r="AN3" s="662">
        <v>1</v>
      </c>
      <c r="AO3" s="662">
        <v>0</v>
      </c>
      <c r="AP3" s="662">
        <v>1</v>
      </c>
      <c r="AQ3" s="662">
        <v>0</v>
      </c>
      <c r="AR3" s="662">
        <v>1</v>
      </c>
      <c r="AS3" s="662">
        <v>0</v>
      </c>
      <c r="AT3" s="662">
        <v>1</v>
      </c>
      <c r="AU3" s="662">
        <v>0</v>
      </c>
      <c r="AV3" s="662">
        <v>1</v>
      </c>
      <c r="AW3" s="662">
        <v>0</v>
      </c>
      <c r="AX3" s="662">
        <v>1</v>
      </c>
      <c r="AY3" s="662">
        <v>0</v>
      </c>
      <c r="AZ3" s="662">
        <v>1</v>
      </c>
      <c r="BA3" s="662">
        <v>0</v>
      </c>
      <c r="BB3" s="662">
        <v>0</v>
      </c>
      <c r="BC3" s="662">
        <v>0</v>
      </c>
      <c r="BD3" s="662">
        <v>1</v>
      </c>
      <c r="BE3" s="662">
        <v>0</v>
      </c>
      <c r="BF3" s="662">
        <v>1</v>
      </c>
      <c r="BG3" s="662">
        <v>0</v>
      </c>
      <c r="BH3" s="662">
        <v>1</v>
      </c>
      <c r="BI3" s="662">
        <v>0</v>
      </c>
      <c r="BJ3" s="662">
        <v>1</v>
      </c>
      <c r="BK3" s="662">
        <v>0</v>
      </c>
      <c r="BL3" s="662">
        <v>1</v>
      </c>
      <c r="BM3" s="662">
        <v>0</v>
      </c>
      <c r="BN3" s="662">
        <v>1</v>
      </c>
      <c r="BO3" s="662">
        <v>0</v>
      </c>
      <c r="BP3" s="662">
        <v>1</v>
      </c>
      <c r="BQ3" s="662">
        <v>0</v>
      </c>
      <c r="BR3" s="662">
        <v>0</v>
      </c>
      <c r="BS3" s="662">
        <v>0</v>
      </c>
      <c r="BT3" s="662">
        <v>1</v>
      </c>
      <c r="BU3" s="662">
        <v>0</v>
      </c>
      <c r="BV3" s="662">
        <v>1</v>
      </c>
      <c r="BW3" s="662">
        <v>0</v>
      </c>
      <c r="BX3" s="662">
        <v>1</v>
      </c>
      <c r="BY3" s="662">
        <v>0</v>
      </c>
      <c r="BZ3" s="662">
        <v>1</v>
      </c>
      <c r="CA3" s="662">
        <v>0</v>
      </c>
      <c r="CB3" s="662">
        <v>1</v>
      </c>
      <c r="CC3" s="662">
        <v>0</v>
      </c>
      <c r="CD3" s="662">
        <v>1</v>
      </c>
      <c r="CE3" s="662">
        <v>0</v>
      </c>
      <c r="CF3" s="662">
        <v>1</v>
      </c>
      <c r="CG3" s="662">
        <v>0</v>
      </c>
      <c r="CH3" s="662">
        <v>0</v>
      </c>
      <c r="CI3" s="662">
        <v>0</v>
      </c>
    </row>
    <row r="4" spans="1:87" x14ac:dyDescent="0.25">
      <c r="A4" s="644" t="s">
        <v>31</v>
      </c>
      <c r="B4" s="505">
        <f>B5+B6+B7+B8</f>
        <v>60965</v>
      </c>
      <c r="C4" s="646" t="s">
        <v>2438</v>
      </c>
      <c r="D4" s="646" t="s">
        <v>2439</v>
      </c>
      <c r="E4" s="647" t="s">
        <v>1328</v>
      </c>
      <c r="F4" s="646" t="s">
        <v>2440</v>
      </c>
      <c r="G4" s="646" t="s">
        <v>2450</v>
      </c>
      <c r="H4" s="646" t="s">
        <v>2460</v>
      </c>
      <c r="J4" s="661" t="s">
        <v>2449</v>
      </c>
      <c r="K4" s="662">
        <v>0</v>
      </c>
      <c r="L4" s="662">
        <v>0</v>
      </c>
      <c r="M4" s="662">
        <v>0</v>
      </c>
      <c r="N4" s="662">
        <v>0</v>
      </c>
      <c r="O4" s="662">
        <v>0</v>
      </c>
      <c r="P4" s="662">
        <v>0</v>
      </c>
      <c r="Q4" s="662">
        <v>0</v>
      </c>
      <c r="R4" s="662">
        <v>0</v>
      </c>
      <c r="S4" s="662">
        <v>0</v>
      </c>
      <c r="T4" s="662">
        <v>0</v>
      </c>
      <c r="U4" s="662">
        <v>0</v>
      </c>
      <c r="V4" s="662">
        <v>0</v>
      </c>
      <c r="W4" s="662">
        <v>0</v>
      </c>
      <c r="X4" s="662">
        <v>0</v>
      </c>
      <c r="Y4" s="662">
        <v>0</v>
      </c>
      <c r="Z4" s="662">
        <v>0</v>
      </c>
      <c r="AA4" s="662">
        <v>0</v>
      </c>
      <c r="AB4" s="662">
        <v>0</v>
      </c>
      <c r="AC4" s="662">
        <v>0</v>
      </c>
      <c r="AD4" s="662">
        <v>0</v>
      </c>
      <c r="AE4" s="662">
        <v>0</v>
      </c>
      <c r="AF4" s="662">
        <v>0</v>
      </c>
      <c r="AG4" s="662">
        <v>0</v>
      </c>
      <c r="AH4" s="662">
        <v>0</v>
      </c>
      <c r="AI4" s="662">
        <v>0</v>
      </c>
      <c r="AJ4" s="662">
        <v>0</v>
      </c>
      <c r="AK4" s="662">
        <v>0</v>
      </c>
      <c r="AL4" s="662">
        <v>0</v>
      </c>
      <c r="AM4" s="662">
        <v>0</v>
      </c>
      <c r="AN4" s="662">
        <v>0</v>
      </c>
      <c r="AO4" s="662">
        <v>0</v>
      </c>
      <c r="AP4" s="662">
        <v>0</v>
      </c>
      <c r="AQ4" s="662">
        <v>0</v>
      </c>
      <c r="AR4" s="662">
        <v>0</v>
      </c>
      <c r="AS4" s="662">
        <v>0</v>
      </c>
      <c r="AT4" s="662">
        <v>0</v>
      </c>
      <c r="AU4" s="662">
        <v>0</v>
      </c>
      <c r="AV4" s="662">
        <v>0</v>
      </c>
      <c r="AW4" s="662">
        <v>0</v>
      </c>
      <c r="AX4" s="662">
        <v>0</v>
      </c>
      <c r="AY4" s="662">
        <v>0</v>
      </c>
      <c r="AZ4" s="662">
        <v>0</v>
      </c>
      <c r="BA4" s="662">
        <v>0</v>
      </c>
      <c r="BB4" s="662">
        <v>0</v>
      </c>
      <c r="BC4" s="662">
        <v>0</v>
      </c>
      <c r="BD4" s="662">
        <v>0</v>
      </c>
      <c r="BE4" s="662">
        <v>0</v>
      </c>
      <c r="BF4" s="662">
        <v>0</v>
      </c>
      <c r="BG4" s="662">
        <v>0</v>
      </c>
      <c r="BH4" s="662">
        <v>0</v>
      </c>
      <c r="BI4" s="662">
        <v>0</v>
      </c>
      <c r="BJ4" s="662">
        <v>0</v>
      </c>
      <c r="BK4" s="662">
        <v>0</v>
      </c>
      <c r="BL4" s="662">
        <v>0</v>
      </c>
      <c r="BM4" s="662">
        <v>0</v>
      </c>
      <c r="BN4" s="662">
        <v>0</v>
      </c>
      <c r="BO4" s="662">
        <v>0</v>
      </c>
      <c r="BP4" s="662">
        <v>0</v>
      </c>
      <c r="BQ4" s="662">
        <v>0</v>
      </c>
      <c r="BR4" s="662">
        <v>0</v>
      </c>
      <c r="BS4" s="662">
        <v>0</v>
      </c>
      <c r="BT4" s="662">
        <v>0</v>
      </c>
      <c r="BU4" s="662">
        <v>0</v>
      </c>
      <c r="BV4" s="662">
        <v>0</v>
      </c>
      <c r="BW4" s="662">
        <v>0</v>
      </c>
      <c r="BX4" s="662">
        <v>0</v>
      </c>
      <c r="BY4" s="662">
        <v>0</v>
      </c>
      <c r="BZ4" s="662">
        <v>0</v>
      </c>
      <c r="CA4" s="662">
        <v>0</v>
      </c>
      <c r="CB4" s="662">
        <v>0</v>
      </c>
      <c r="CC4" s="662">
        <v>0</v>
      </c>
      <c r="CD4" s="662">
        <v>0</v>
      </c>
      <c r="CE4" s="662">
        <v>0</v>
      </c>
      <c r="CF4" s="662">
        <v>0</v>
      </c>
      <c r="CG4" s="662">
        <v>0</v>
      </c>
      <c r="CH4" s="662">
        <v>0</v>
      </c>
      <c r="CI4" s="662">
        <v>0</v>
      </c>
    </row>
    <row r="5" spans="1:87" x14ac:dyDescent="0.25">
      <c r="A5" s="644" t="s">
        <v>32</v>
      </c>
      <c r="B5" s="621">
        <v>34888</v>
      </c>
      <c r="C5" s="375">
        <v>0.5</v>
      </c>
      <c r="D5" s="375">
        <v>45</v>
      </c>
      <c r="E5" s="375">
        <v>7</v>
      </c>
      <c r="F5" s="375">
        <v>6</v>
      </c>
      <c r="G5" s="375">
        <f>C5*B5</f>
        <v>17444</v>
      </c>
      <c r="H5" s="375">
        <f>B5*E5</f>
        <v>244216</v>
      </c>
      <c r="J5" s="654" t="s">
        <v>694</v>
      </c>
      <c r="K5" s="654">
        <v>2983</v>
      </c>
      <c r="L5" s="654">
        <f>K5-12</f>
        <v>2971</v>
      </c>
      <c r="M5" s="654">
        <f t="shared" ref="M5:BG5" si="0">L5-12</f>
        <v>2959</v>
      </c>
      <c r="N5" s="654">
        <f t="shared" si="0"/>
        <v>2947</v>
      </c>
      <c r="O5" s="654">
        <f t="shared" si="0"/>
        <v>2935</v>
      </c>
      <c r="P5" s="654">
        <f t="shared" si="0"/>
        <v>2923</v>
      </c>
      <c r="Q5" s="654">
        <f t="shared" si="0"/>
        <v>2911</v>
      </c>
      <c r="R5" s="654">
        <f t="shared" si="0"/>
        <v>2899</v>
      </c>
      <c r="S5" s="654">
        <f t="shared" si="0"/>
        <v>2887</v>
      </c>
      <c r="T5" s="654">
        <f t="shared" si="0"/>
        <v>2875</v>
      </c>
      <c r="U5" s="654">
        <f t="shared" si="0"/>
        <v>2863</v>
      </c>
      <c r="V5" s="654">
        <f t="shared" si="0"/>
        <v>2851</v>
      </c>
      <c r="W5" s="654">
        <f t="shared" si="0"/>
        <v>2839</v>
      </c>
      <c r="X5" s="654">
        <f t="shared" si="0"/>
        <v>2827</v>
      </c>
      <c r="Y5" s="654">
        <f t="shared" si="0"/>
        <v>2815</v>
      </c>
      <c r="Z5" s="654">
        <f t="shared" si="0"/>
        <v>2803</v>
      </c>
      <c r="AA5" s="654">
        <f>Z5*0.9</f>
        <v>2522.7000000000003</v>
      </c>
      <c r="AB5" s="654">
        <f t="shared" si="0"/>
        <v>2510.7000000000003</v>
      </c>
      <c r="AC5" s="654">
        <f t="shared" si="0"/>
        <v>2498.7000000000003</v>
      </c>
      <c r="AD5" s="654">
        <f t="shared" si="0"/>
        <v>2486.7000000000003</v>
      </c>
      <c r="AE5" s="654">
        <f t="shared" si="0"/>
        <v>2474.7000000000003</v>
      </c>
      <c r="AF5" s="654">
        <f t="shared" si="0"/>
        <v>2462.7000000000003</v>
      </c>
      <c r="AG5" s="654">
        <f t="shared" si="0"/>
        <v>2450.7000000000003</v>
      </c>
      <c r="AH5" s="654">
        <f t="shared" si="0"/>
        <v>2438.7000000000003</v>
      </c>
      <c r="AI5" s="654">
        <f t="shared" si="0"/>
        <v>2426.7000000000003</v>
      </c>
      <c r="AJ5" s="654">
        <f t="shared" si="0"/>
        <v>2414.7000000000003</v>
      </c>
      <c r="AK5" s="654">
        <f t="shared" si="0"/>
        <v>2402.7000000000003</v>
      </c>
      <c r="AL5" s="654">
        <f t="shared" si="0"/>
        <v>2390.7000000000003</v>
      </c>
      <c r="AM5" s="654">
        <f t="shared" si="0"/>
        <v>2378.7000000000003</v>
      </c>
      <c r="AN5" s="654">
        <f t="shared" si="0"/>
        <v>2366.7000000000003</v>
      </c>
      <c r="AO5" s="654">
        <f t="shared" si="0"/>
        <v>2354.7000000000003</v>
      </c>
      <c r="AP5" s="654">
        <f t="shared" si="0"/>
        <v>2342.7000000000003</v>
      </c>
      <c r="AQ5" s="654">
        <f>AP5*0.9</f>
        <v>2108.4300000000003</v>
      </c>
      <c r="AR5" s="654">
        <f t="shared" si="0"/>
        <v>2096.4300000000003</v>
      </c>
      <c r="AS5" s="654">
        <f t="shared" si="0"/>
        <v>2084.4300000000003</v>
      </c>
      <c r="AT5" s="654">
        <f t="shared" si="0"/>
        <v>2072.4300000000003</v>
      </c>
      <c r="AU5" s="654">
        <f t="shared" si="0"/>
        <v>2060.4300000000003</v>
      </c>
      <c r="AV5" s="654">
        <f t="shared" si="0"/>
        <v>2048.4300000000003</v>
      </c>
      <c r="AW5" s="654">
        <f t="shared" si="0"/>
        <v>2036.4300000000003</v>
      </c>
      <c r="AX5" s="654">
        <f t="shared" si="0"/>
        <v>2024.4300000000003</v>
      </c>
      <c r="AY5" s="654">
        <f t="shared" si="0"/>
        <v>2012.4300000000003</v>
      </c>
      <c r="AZ5" s="654">
        <f t="shared" si="0"/>
        <v>2000.4300000000003</v>
      </c>
      <c r="BA5" s="654">
        <f t="shared" si="0"/>
        <v>1988.4300000000003</v>
      </c>
      <c r="BB5" s="654">
        <f t="shared" si="0"/>
        <v>1976.4300000000003</v>
      </c>
      <c r="BC5" s="654">
        <f t="shared" si="0"/>
        <v>1964.4300000000003</v>
      </c>
      <c r="BD5" s="654">
        <f t="shared" si="0"/>
        <v>1952.4300000000003</v>
      </c>
      <c r="BE5" s="654">
        <f t="shared" si="0"/>
        <v>1940.4300000000003</v>
      </c>
      <c r="BF5" s="654">
        <f t="shared" si="0"/>
        <v>1928.4300000000003</v>
      </c>
      <c r="BG5" s="654">
        <f t="shared" si="0"/>
        <v>1916.4300000000003</v>
      </c>
      <c r="BH5" s="654">
        <f t="shared" ref="BH5:BX5" si="1">BG5</f>
        <v>1916.4300000000003</v>
      </c>
      <c r="BI5" s="654">
        <f t="shared" si="1"/>
        <v>1916.4300000000003</v>
      </c>
      <c r="BJ5" s="654">
        <f t="shared" si="1"/>
        <v>1916.4300000000003</v>
      </c>
      <c r="BK5" s="654">
        <f t="shared" si="1"/>
        <v>1916.4300000000003</v>
      </c>
      <c r="BL5" s="654">
        <f t="shared" si="1"/>
        <v>1916.4300000000003</v>
      </c>
      <c r="BM5" s="654">
        <f t="shared" si="1"/>
        <v>1916.4300000000003</v>
      </c>
      <c r="BN5" s="654">
        <f t="shared" si="1"/>
        <v>1916.4300000000003</v>
      </c>
      <c r="BO5" s="654">
        <f t="shared" si="1"/>
        <v>1916.4300000000003</v>
      </c>
      <c r="BP5" s="654">
        <f t="shared" si="1"/>
        <v>1916.4300000000003</v>
      </c>
      <c r="BQ5" s="654">
        <f t="shared" si="1"/>
        <v>1916.4300000000003</v>
      </c>
      <c r="BR5" s="654">
        <f t="shared" si="1"/>
        <v>1916.4300000000003</v>
      </c>
      <c r="BS5" s="654">
        <f t="shared" si="1"/>
        <v>1916.4300000000003</v>
      </c>
      <c r="BT5" s="654">
        <f t="shared" si="1"/>
        <v>1916.4300000000003</v>
      </c>
      <c r="BU5" s="654">
        <f t="shared" si="1"/>
        <v>1916.4300000000003</v>
      </c>
      <c r="BV5" s="654">
        <f t="shared" si="1"/>
        <v>1916.4300000000003</v>
      </c>
      <c r="BW5" s="654">
        <f t="shared" si="1"/>
        <v>1916.4300000000003</v>
      </c>
      <c r="BX5" s="654">
        <f t="shared" si="1"/>
        <v>1916.4300000000003</v>
      </c>
      <c r="BY5" s="654">
        <f t="shared" ref="BY5:CI5" si="2">BX5</f>
        <v>1916.4300000000003</v>
      </c>
      <c r="BZ5" s="654">
        <f t="shared" si="2"/>
        <v>1916.4300000000003</v>
      </c>
      <c r="CA5" s="654">
        <f t="shared" si="2"/>
        <v>1916.4300000000003</v>
      </c>
      <c r="CB5" s="654">
        <f t="shared" si="2"/>
        <v>1916.4300000000003</v>
      </c>
      <c r="CC5" s="654">
        <f t="shared" si="2"/>
        <v>1916.4300000000003</v>
      </c>
      <c r="CD5" s="654">
        <f t="shared" si="2"/>
        <v>1916.4300000000003</v>
      </c>
      <c r="CE5" s="654">
        <f t="shared" si="2"/>
        <v>1916.4300000000003</v>
      </c>
      <c r="CF5" s="654">
        <f t="shared" si="2"/>
        <v>1916.4300000000003</v>
      </c>
      <c r="CG5" s="654">
        <f t="shared" si="2"/>
        <v>1916.4300000000003</v>
      </c>
      <c r="CH5" s="654">
        <f t="shared" si="2"/>
        <v>1916.4300000000003</v>
      </c>
      <c r="CI5" s="654">
        <f t="shared" si="2"/>
        <v>1916.4300000000003</v>
      </c>
    </row>
    <row r="6" spans="1:87" x14ac:dyDescent="0.25">
      <c r="A6" s="644" t="s">
        <v>33</v>
      </c>
      <c r="B6" s="621">
        <v>13391</v>
      </c>
      <c r="C6" s="375">
        <v>0.7</v>
      </c>
      <c r="D6" s="375">
        <v>75</v>
      </c>
      <c r="E6" s="375">
        <v>10</v>
      </c>
      <c r="F6" s="375">
        <v>6</v>
      </c>
      <c r="G6" s="375">
        <f t="shared" ref="G6:G8" si="3">C6*B6</f>
        <v>9373.6999999999989</v>
      </c>
      <c r="H6" s="375">
        <f t="shared" ref="H6:H8" si="4">B6*E6</f>
        <v>133910</v>
      </c>
      <c r="J6" s="124" t="s">
        <v>2443</v>
      </c>
      <c r="K6" s="656">
        <f>K5*$B$20</f>
        <v>25116.86</v>
      </c>
      <c r="L6" s="656">
        <f t="shared" ref="L6:BF6" si="5">L5*$B$20</f>
        <v>25015.82</v>
      </c>
      <c r="M6" s="656">
        <f t="shared" si="5"/>
        <v>24914.78</v>
      </c>
      <c r="N6" s="656">
        <f t="shared" si="5"/>
        <v>24813.74</v>
      </c>
      <c r="O6" s="656">
        <f t="shared" si="5"/>
        <v>24712.7</v>
      </c>
      <c r="P6" s="656">
        <f t="shared" si="5"/>
        <v>24611.66</v>
      </c>
      <c r="Q6" s="656">
        <f t="shared" si="5"/>
        <v>24510.62</v>
      </c>
      <c r="R6" s="656">
        <f t="shared" si="5"/>
        <v>24409.579999999998</v>
      </c>
      <c r="S6" s="656">
        <f t="shared" si="5"/>
        <v>24308.54</v>
      </c>
      <c r="T6" s="656">
        <f t="shared" si="5"/>
        <v>24207.5</v>
      </c>
      <c r="U6" s="656">
        <f t="shared" si="5"/>
        <v>24106.46</v>
      </c>
      <c r="V6" s="656">
        <f t="shared" si="5"/>
        <v>24005.42</v>
      </c>
      <c r="W6" s="656">
        <f t="shared" si="5"/>
        <v>23904.38</v>
      </c>
      <c r="X6" s="656">
        <f t="shared" si="5"/>
        <v>23803.34</v>
      </c>
      <c r="Y6" s="656">
        <f t="shared" si="5"/>
        <v>23702.3</v>
      </c>
      <c r="Z6" s="656">
        <f t="shared" si="5"/>
        <v>23601.26</v>
      </c>
      <c r="AA6" s="656">
        <f t="shared" si="5"/>
        <v>21241.134000000002</v>
      </c>
      <c r="AB6" s="656">
        <f t="shared" si="5"/>
        <v>21140.094000000001</v>
      </c>
      <c r="AC6" s="656">
        <f t="shared" si="5"/>
        <v>21039.054000000004</v>
      </c>
      <c r="AD6" s="656">
        <f t="shared" si="5"/>
        <v>20938.014000000003</v>
      </c>
      <c r="AE6" s="656">
        <f t="shared" si="5"/>
        <v>20836.974000000002</v>
      </c>
      <c r="AF6" s="656">
        <f t="shared" si="5"/>
        <v>20735.934000000001</v>
      </c>
      <c r="AG6" s="656">
        <f t="shared" si="5"/>
        <v>20634.894000000004</v>
      </c>
      <c r="AH6" s="656">
        <f t="shared" si="5"/>
        <v>20533.854000000003</v>
      </c>
      <c r="AI6" s="656">
        <f t="shared" si="5"/>
        <v>20432.814000000002</v>
      </c>
      <c r="AJ6" s="656">
        <f t="shared" si="5"/>
        <v>20331.774000000001</v>
      </c>
      <c r="AK6" s="656">
        <f t="shared" si="5"/>
        <v>20230.734</v>
      </c>
      <c r="AL6" s="656">
        <f t="shared" si="5"/>
        <v>20129.694000000003</v>
      </c>
      <c r="AM6" s="656">
        <f t="shared" si="5"/>
        <v>20028.654000000002</v>
      </c>
      <c r="AN6" s="656">
        <f t="shared" si="5"/>
        <v>19927.614000000001</v>
      </c>
      <c r="AO6" s="656">
        <f t="shared" si="5"/>
        <v>19826.574000000001</v>
      </c>
      <c r="AP6" s="656">
        <f t="shared" si="5"/>
        <v>19725.534000000003</v>
      </c>
      <c r="AQ6" s="656">
        <f t="shared" si="5"/>
        <v>17752.980600000003</v>
      </c>
      <c r="AR6" s="656">
        <f t="shared" si="5"/>
        <v>17651.940600000002</v>
      </c>
      <c r="AS6" s="656">
        <f t="shared" si="5"/>
        <v>17550.900600000001</v>
      </c>
      <c r="AT6" s="656">
        <f t="shared" si="5"/>
        <v>17449.860600000004</v>
      </c>
      <c r="AU6" s="656">
        <f t="shared" si="5"/>
        <v>17348.820600000003</v>
      </c>
      <c r="AV6" s="656">
        <f t="shared" si="5"/>
        <v>17247.780600000002</v>
      </c>
      <c r="AW6" s="656">
        <f t="shared" si="5"/>
        <v>17146.740600000001</v>
      </c>
      <c r="AX6" s="656">
        <f t="shared" si="5"/>
        <v>17045.700600000004</v>
      </c>
      <c r="AY6" s="656">
        <f t="shared" si="5"/>
        <v>16944.660600000003</v>
      </c>
      <c r="AZ6" s="656">
        <f t="shared" si="5"/>
        <v>16843.620600000002</v>
      </c>
      <c r="BA6" s="656">
        <f t="shared" si="5"/>
        <v>16742.580600000001</v>
      </c>
      <c r="BB6" s="656">
        <f t="shared" si="5"/>
        <v>16641.540600000004</v>
      </c>
      <c r="BC6" s="656">
        <f t="shared" si="5"/>
        <v>16540.500600000003</v>
      </c>
      <c r="BD6" s="656">
        <f t="shared" si="5"/>
        <v>16439.460600000002</v>
      </c>
      <c r="BE6" s="656">
        <f t="shared" si="5"/>
        <v>16338.420600000003</v>
      </c>
      <c r="BF6" s="656">
        <f t="shared" si="5"/>
        <v>16237.380600000002</v>
      </c>
      <c r="BG6" s="656">
        <f t="shared" ref="BG6" si="6">BG5*$B$14</f>
        <v>24415.318200000005</v>
      </c>
      <c r="BH6" s="656">
        <f t="shared" ref="BH6" si="7">BH5*$B$14</f>
        <v>24415.318200000005</v>
      </c>
      <c r="BI6" s="656">
        <f t="shared" ref="BI6" si="8">BI5*$B$14</f>
        <v>24415.318200000005</v>
      </c>
      <c r="BJ6" s="656">
        <f t="shared" ref="BJ6" si="9">BJ5*$B$14</f>
        <v>24415.318200000005</v>
      </c>
      <c r="BK6" s="656">
        <f t="shared" ref="BK6" si="10">BK5*$B$14</f>
        <v>24415.318200000005</v>
      </c>
      <c r="BL6" s="656">
        <f t="shared" ref="BL6" si="11">BL5*$B$14</f>
        <v>24415.318200000005</v>
      </c>
      <c r="BM6" s="656">
        <f t="shared" ref="BM6" si="12">BM5*$B$14</f>
        <v>24415.318200000005</v>
      </c>
      <c r="BN6" s="656">
        <f t="shared" ref="BN6" si="13">BN5*$B$14</f>
        <v>24415.318200000005</v>
      </c>
      <c r="BO6" s="656">
        <f t="shared" ref="BO6" si="14">BO5*$B$14</f>
        <v>24415.318200000005</v>
      </c>
      <c r="BP6" s="656">
        <f t="shared" ref="BP6" si="15">BP5*$B$14</f>
        <v>24415.318200000005</v>
      </c>
      <c r="BQ6" s="656">
        <f t="shared" ref="BQ6" si="16">BQ5*$B$14</f>
        <v>24415.318200000005</v>
      </c>
      <c r="BR6" s="656">
        <f t="shared" ref="BR6" si="17">BR5*$B$14</f>
        <v>24415.318200000005</v>
      </c>
      <c r="BS6" s="656">
        <f t="shared" ref="BS6" si="18">BS5*$B$14</f>
        <v>24415.318200000005</v>
      </c>
      <c r="BT6" s="656">
        <f>BT5*$B$14</f>
        <v>24415.318200000005</v>
      </c>
      <c r="BU6" s="656">
        <f>BU5*$B$14</f>
        <v>24415.318200000005</v>
      </c>
      <c r="BV6" s="656">
        <f>BV5*$B$14</f>
        <v>24415.318200000005</v>
      </c>
      <c r="BW6" s="656">
        <f t="shared" ref="BW6" si="19">BW5*$B$14</f>
        <v>24415.318200000005</v>
      </c>
      <c r="BX6" s="656">
        <f t="shared" ref="BX6" si="20">BX5*$B$14</f>
        <v>24415.318200000005</v>
      </c>
      <c r="BY6" s="656">
        <f t="shared" ref="BY6" si="21">BY5*$B$14</f>
        <v>24415.318200000005</v>
      </c>
      <c r="BZ6" s="656">
        <f t="shared" ref="BZ6" si="22">BZ5*$B$14</f>
        <v>24415.318200000005</v>
      </c>
      <c r="CA6" s="656">
        <f t="shared" ref="CA6" si="23">CA5*$B$14</f>
        <v>24415.318200000005</v>
      </c>
      <c r="CB6" s="656">
        <f t="shared" ref="CB6" si="24">CB5*$B$14</f>
        <v>24415.318200000005</v>
      </c>
      <c r="CC6" s="656">
        <f t="shared" ref="CC6" si="25">CC5*$B$14</f>
        <v>24415.318200000005</v>
      </c>
      <c r="CD6" s="656">
        <f t="shared" ref="CD6" si="26">CD5*$B$14</f>
        <v>24415.318200000005</v>
      </c>
      <c r="CE6" s="656">
        <f t="shared" ref="CE6" si="27">CE5*$B$14</f>
        <v>24415.318200000005</v>
      </c>
      <c r="CF6" s="656">
        <f t="shared" ref="CF6" si="28">CF5*$B$14</f>
        <v>24415.318200000005</v>
      </c>
      <c r="CG6" s="656">
        <f t="shared" ref="CG6" si="29">CG5*$B$14</f>
        <v>24415.318200000005</v>
      </c>
      <c r="CH6" s="656">
        <f t="shared" ref="CH6" si="30">CH5*$B$14</f>
        <v>24415.318200000005</v>
      </c>
      <c r="CI6" s="656">
        <f t="shared" ref="CI6" si="31">CI5*$B$14</f>
        <v>24415.318200000005</v>
      </c>
    </row>
    <row r="7" spans="1:87" x14ac:dyDescent="0.25">
      <c r="A7" s="644" t="s">
        <v>34</v>
      </c>
      <c r="B7" s="621">
        <v>11289</v>
      </c>
      <c r="C7" s="375">
        <v>1</v>
      </c>
      <c r="D7" s="375">
        <v>90</v>
      </c>
      <c r="E7" s="375">
        <v>19</v>
      </c>
      <c r="F7" s="375">
        <v>6</v>
      </c>
      <c r="G7" s="375">
        <f t="shared" si="3"/>
        <v>11289</v>
      </c>
      <c r="H7" s="375">
        <f t="shared" si="4"/>
        <v>214491</v>
      </c>
      <c r="J7" s="124" t="s">
        <v>2444</v>
      </c>
      <c r="K7" s="656">
        <f>K5*$C$20</f>
        <v>8143.59</v>
      </c>
      <c r="L7" s="656">
        <f t="shared" ref="L7:BF7" si="32">L5*$C$20</f>
        <v>8110.83</v>
      </c>
      <c r="M7" s="656">
        <f t="shared" si="32"/>
        <v>8078.07</v>
      </c>
      <c r="N7" s="656">
        <f t="shared" si="32"/>
        <v>8045.31</v>
      </c>
      <c r="O7" s="656">
        <f t="shared" si="32"/>
        <v>8012.55</v>
      </c>
      <c r="P7" s="656">
        <f t="shared" si="32"/>
        <v>7979.79</v>
      </c>
      <c r="Q7" s="656">
        <f t="shared" si="32"/>
        <v>7947.03</v>
      </c>
      <c r="R7" s="656">
        <f t="shared" si="32"/>
        <v>7914.2699999999995</v>
      </c>
      <c r="S7" s="656">
        <f t="shared" si="32"/>
        <v>7881.51</v>
      </c>
      <c r="T7" s="656">
        <f t="shared" si="32"/>
        <v>7848.75</v>
      </c>
      <c r="U7" s="656">
        <f t="shared" si="32"/>
        <v>7815.99</v>
      </c>
      <c r="V7" s="656">
        <f t="shared" si="32"/>
        <v>7783.23</v>
      </c>
      <c r="W7" s="656">
        <f t="shared" si="32"/>
        <v>7750.47</v>
      </c>
      <c r="X7" s="656">
        <f t="shared" si="32"/>
        <v>7717.71</v>
      </c>
      <c r="Y7" s="656">
        <f t="shared" si="32"/>
        <v>7684.95</v>
      </c>
      <c r="Z7" s="656">
        <f t="shared" si="32"/>
        <v>7652.19</v>
      </c>
      <c r="AA7" s="656">
        <f t="shared" si="32"/>
        <v>6886.9710000000005</v>
      </c>
      <c r="AB7" s="656">
        <f t="shared" si="32"/>
        <v>6854.2110000000011</v>
      </c>
      <c r="AC7" s="656">
        <f t="shared" si="32"/>
        <v>6821.4510000000009</v>
      </c>
      <c r="AD7" s="656">
        <f t="shared" si="32"/>
        <v>6788.6910000000007</v>
      </c>
      <c r="AE7" s="656">
        <f t="shared" si="32"/>
        <v>6755.9310000000005</v>
      </c>
      <c r="AF7" s="656">
        <f t="shared" si="32"/>
        <v>6723.1710000000003</v>
      </c>
      <c r="AG7" s="656">
        <f t="shared" si="32"/>
        <v>6690.411000000001</v>
      </c>
      <c r="AH7" s="656">
        <f t="shared" si="32"/>
        <v>6657.6510000000007</v>
      </c>
      <c r="AI7" s="656">
        <f t="shared" si="32"/>
        <v>6624.8910000000005</v>
      </c>
      <c r="AJ7" s="656">
        <f t="shared" si="32"/>
        <v>6592.1310000000003</v>
      </c>
      <c r="AK7" s="656">
        <f t="shared" si="32"/>
        <v>6559.371000000001</v>
      </c>
      <c r="AL7" s="656">
        <f t="shared" si="32"/>
        <v>6526.6110000000008</v>
      </c>
      <c r="AM7" s="656">
        <f t="shared" si="32"/>
        <v>6493.8510000000006</v>
      </c>
      <c r="AN7" s="656">
        <f t="shared" si="32"/>
        <v>6461.0910000000003</v>
      </c>
      <c r="AO7" s="656">
        <f t="shared" si="32"/>
        <v>6428.331000000001</v>
      </c>
      <c r="AP7" s="656">
        <f t="shared" si="32"/>
        <v>6395.5710000000008</v>
      </c>
      <c r="AQ7" s="656">
        <f t="shared" si="32"/>
        <v>5756.0139000000008</v>
      </c>
      <c r="AR7" s="656">
        <f t="shared" si="32"/>
        <v>5723.2539000000006</v>
      </c>
      <c r="AS7" s="656">
        <f t="shared" si="32"/>
        <v>5690.4939000000004</v>
      </c>
      <c r="AT7" s="656">
        <f t="shared" si="32"/>
        <v>5657.7339000000011</v>
      </c>
      <c r="AU7" s="656">
        <f t="shared" si="32"/>
        <v>5624.9739000000009</v>
      </c>
      <c r="AV7" s="656">
        <f t="shared" si="32"/>
        <v>5592.2139000000006</v>
      </c>
      <c r="AW7" s="656">
        <f t="shared" si="32"/>
        <v>5559.4539000000004</v>
      </c>
      <c r="AX7" s="656">
        <f t="shared" si="32"/>
        <v>5526.6939000000011</v>
      </c>
      <c r="AY7" s="656">
        <f t="shared" si="32"/>
        <v>5493.9339000000009</v>
      </c>
      <c r="AZ7" s="656">
        <f t="shared" si="32"/>
        <v>5461.1739000000007</v>
      </c>
      <c r="BA7" s="656">
        <f t="shared" si="32"/>
        <v>5428.4139000000005</v>
      </c>
      <c r="BB7" s="656">
        <f t="shared" si="32"/>
        <v>5395.6539000000012</v>
      </c>
      <c r="BC7" s="656">
        <f t="shared" si="32"/>
        <v>5362.8939000000009</v>
      </c>
      <c r="BD7" s="656">
        <f t="shared" si="32"/>
        <v>5330.1339000000007</v>
      </c>
      <c r="BE7" s="656">
        <f t="shared" si="32"/>
        <v>5297.3739000000005</v>
      </c>
      <c r="BF7" s="656">
        <f t="shared" si="32"/>
        <v>5264.6139000000012</v>
      </c>
      <c r="BG7" s="656">
        <f t="shared" ref="BG7:BS7" si="33">BG5*$C$14</f>
        <v>9371.3427000000011</v>
      </c>
      <c r="BH7" s="656">
        <f t="shared" si="33"/>
        <v>9371.3427000000011</v>
      </c>
      <c r="BI7" s="656">
        <f t="shared" si="33"/>
        <v>9371.3427000000011</v>
      </c>
      <c r="BJ7" s="656">
        <f t="shared" si="33"/>
        <v>9371.3427000000011</v>
      </c>
      <c r="BK7" s="656">
        <f t="shared" si="33"/>
        <v>9371.3427000000011</v>
      </c>
      <c r="BL7" s="656">
        <f t="shared" si="33"/>
        <v>9371.3427000000011</v>
      </c>
      <c r="BM7" s="656">
        <f t="shared" si="33"/>
        <v>9371.3427000000011</v>
      </c>
      <c r="BN7" s="656">
        <f t="shared" si="33"/>
        <v>9371.3427000000011</v>
      </c>
      <c r="BO7" s="656">
        <f t="shared" si="33"/>
        <v>9371.3427000000011</v>
      </c>
      <c r="BP7" s="656">
        <f t="shared" si="33"/>
        <v>9371.3427000000011</v>
      </c>
      <c r="BQ7" s="656">
        <f t="shared" si="33"/>
        <v>9371.3427000000011</v>
      </c>
      <c r="BR7" s="656">
        <f t="shared" si="33"/>
        <v>9371.3427000000011</v>
      </c>
      <c r="BS7" s="656">
        <f t="shared" si="33"/>
        <v>9371.3427000000011</v>
      </c>
      <c r="BT7" s="656">
        <f>BT5*$C$14</f>
        <v>9371.3427000000011</v>
      </c>
      <c r="BU7" s="656">
        <f>BU5*$C$14</f>
        <v>9371.3427000000011</v>
      </c>
      <c r="BV7" s="656">
        <f>BV5*$C$14</f>
        <v>9371.3427000000011</v>
      </c>
      <c r="BW7" s="656">
        <f t="shared" ref="BW7:CI7" si="34">BW5*$C$14</f>
        <v>9371.3427000000011</v>
      </c>
      <c r="BX7" s="656">
        <f t="shared" si="34"/>
        <v>9371.3427000000011</v>
      </c>
      <c r="BY7" s="656">
        <f t="shared" si="34"/>
        <v>9371.3427000000011</v>
      </c>
      <c r="BZ7" s="656">
        <f t="shared" si="34"/>
        <v>9371.3427000000011</v>
      </c>
      <c r="CA7" s="656">
        <f t="shared" si="34"/>
        <v>9371.3427000000011</v>
      </c>
      <c r="CB7" s="656">
        <f t="shared" si="34"/>
        <v>9371.3427000000011</v>
      </c>
      <c r="CC7" s="656">
        <f t="shared" si="34"/>
        <v>9371.3427000000011</v>
      </c>
      <c r="CD7" s="656">
        <f t="shared" si="34"/>
        <v>9371.3427000000011</v>
      </c>
      <c r="CE7" s="656">
        <f t="shared" si="34"/>
        <v>9371.3427000000011</v>
      </c>
      <c r="CF7" s="656">
        <f t="shared" si="34"/>
        <v>9371.3427000000011</v>
      </c>
      <c r="CG7" s="656">
        <f t="shared" si="34"/>
        <v>9371.3427000000011</v>
      </c>
      <c r="CH7" s="656">
        <f t="shared" si="34"/>
        <v>9371.3427000000011</v>
      </c>
      <c r="CI7" s="656">
        <f t="shared" si="34"/>
        <v>9371.3427000000011</v>
      </c>
    </row>
    <row r="8" spans="1:87" x14ac:dyDescent="0.25">
      <c r="A8" s="644" t="s">
        <v>35</v>
      </c>
      <c r="B8" s="621">
        <v>1397</v>
      </c>
      <c r="C8" s="375">
        <v>2.5</v>
      </c>
      <c r="D8" s="375">
        <v>300</v>
      </c>
      <c r="E8" s="375">
        <v>35</v>
      </c>
      <c r="F8" s="375">
        <v>6</v>
      </c>
      <c r="G8" s="375">
        <f t="shared" si="3"/>
        <v>3492.5</v>
      </c>
      <c r="H8" s="375">
        <f t="shared" si="4"/>
        <v>48895</v>
      </c>
      <c r="J8" s="124" t="s">
        <v>2445</v>
      </c>
      <c r="K8" s="656">
        <f>K5*$D$20</f>
        <v>5121.5126999999993</v>
      </c>
      <c r="L8" s="656">
        <f t="shared" ref="L8:BF8" si="35">L5*$D$20</f>
        <v>5100.9098999999997</v>
      </c>
      <c r="M8" s="656">
        <f t="shared" si="35"/>
        <v>5080.3071</v>
      </c>
      <c r="N8" s="656">
        <f t="shared" si="35"/>
        <v>5059.7042999999994</v>
      </c>
      <c r="O8" s="656">
        <f t="shared" si="35"/>
        <v>5039.1014999999998</v>
      </c>
      <c r="P8" s="656">
        <f t="shared" si="35"/>
        <v>5018.4986999999992</v>
      </c>
      <c r="Q8" s="656">
        <f t="shared" si="35"/>
        <v>4997.8958999999995</v>
      </c>
      <c r="R8" s="656">
        <f t="shared" si="35"/>
        <v>4977.2930999999999</v>
      </c>
      <c r="S8" s="656">
        <f t="shared" si="35"/>
        <v>4956.6902999999993</v>
      </c>
      <c r="T8" s="656">
        <f t="shared" si="35"/>
        <v>4936.0874999999996</v>
      </c>
      <c r="U8" s="656">
        <f t="shared" si="35"/>
        <v>4915.4847</v>
      </c>
      <c r="V8" s="656">
        <f t="shared" si="35"/>
        <v>4894.8818999999994</v>
      </c>
      <c r="W8" s="656">
        <f t="shared" si="35"/>
        <v>4874.2790999999997</v>
      </c>
      <c r="X8" s="656">
        <f t="shared" si="35"/>
        <v>4853.6763000000001</v>
      </c>
      <c r="Y8" s="656">
        <f t="shared" si="35"/>
        <v>4833.0734999999995</v>
      </c>
      <c r="Z8" s="656">
        <f t="shared" si="35"/>
        <v>4812.4706999999999</v>
      </c>
      <c r="AA8" s="656">
        <f t="shared" si="35"/>
        <v>4331.2236300000004</v>
      </c>
      <c r="AB8" s="656">
        <f t="shared" si="35"/>
        <v>4310.6208299999998</v>
      </c>
      <c r="AC8" s="656">
        <f t="shared" si="35"/>
        <v>4290.0180300000002</v>
      </c>
      <c r="AD8" s="656">
        <f t="shared" si="35"/>
        <v>4269.4152300000005</v>
      </c>
      <c r="AE8" s="656">
        <f t="shared" si="35"/>
        <v>4248.8124299999999</v>
      </c>
      <c r="AF8" s="656">
        <f t="shared" si="35"/>
        <v>4228.2096300000003</v>
      </c>
      <c r="AG8" s="656">
        <f t="shared" si="35"/>
        <v>4207.6068299999997</v>
      </c>
      <c r="AH8" s="656">
        <f t="shared" si="35"/>
        <v>4187.0040300000001</v>
      </c>
      <c r="AI8" s="656">
        <f t="shared" si="35"/>
        <v>4166.4012300000004</v>
      </c>
      <c r="AJ8" s="656">
        <f t="shared" si="35"/>
        <v>4145.7984299999998</v>
      </c>
      <c r="AK8" s="656">
        <f t="shared" si="35"/>
        <v>4125.1956300000002</v>
      </c>
      <c r="AL8" s="656">
        <f t="shared" si="35"/>
        <v>4104.5928300000005</v>
      </c>
      <c r="AM8" s="656">
        <f t="shared" si="35"/>
        <v>4083.9900300000004</v>
      </c>
      <c r="AN8" s="656">
        <f t="shared" si="35"/>
        <v>4063.3872300000003</v>
      </c>
      <c r="AO8" s="656">
        <f t="shared" si="35"/>
        <v>4042.7844300000002</v>
      </c>
      <c r="AP8" s="656">
        <f t="shared" si="35"/>
        <v>4022.18163</v>
      </c>
      <c r="AQ8" s="656">
        <f t="shared" si="35"/>
        <v>3619.963467</v>
      </c>
      <c r="AR8" s="656">
        <f t="shared" si="35"/>
        <v>3599.3606670000004</v>
      </c>
      <c r="AS8" s="656">
        <f t="shared" si="35"/>
        <v>3578.7578670000003</v>
      </c>
      <c r="AT8" s="656">
        <f t="shared" si="35"/>
        <v>3558.1550670000001</v>
      </c>
      <c r="AU8" s="656">
        <f t="shared" si="35"/>
        <v>3537.552267</v>
      </c>
      <c r="AV8" s="656">
        <f t="shared" si="35"/>
        <v>3516.9494670000004</v>
      </c>
      <c r="AW8" s="656">
        <f t="shared" si="35"/>
        <v>3496.3466670000003</v>
      </c>
      <c r="AX8" s="656">
        <f t="shared" si="35"/>
        <v>3475.7438670000001</v>
      </c>
      <c r="AY8" s="656">
        <f t="shared" si="35"/>
        <v>3455.141067</v>
      </c>
      <c r="AZ8" s="656">
        <f t="shared" si="35"/>
        <v>3434.5382670000004</v>
      </c>
      <c r="BA8" s="656">
        <f t="shared" si="35"/>
        <v>3413.9354670000002</v>
      </c>
      <c r="BB8" s="656">
        <f t="shared" si="35"/>
        <v>3393.3326670000001</v>
      </c>
      <c r="BC8" s="656">
        <f t="shared" si="35"/>
        <v>3372.7298670000005</v>
      </c>
      <c r="BD8" s="656">
        <f t="shared" si="35"/>
        <v>3352.1270670000004</v>
      </c>
      <c r="BE8" s="656">
        <f t="shared" si="35"/>
        <v>3331.5242670000002</v>
      </c>
      <c r="BF8" s="656">
        <f t="shared" si="35"/>
        <v>3310.9214670000001</v>
      </c>
      <c r="BG8" s="656">
        <f t="shared" ref="BG8:BS8" si="36">BG5*$D$14</f>
        <v>7900.4826750000002</v>
      </c>
      <c r="BH8" s="656">
        <f t="shared" si="36"/>
        <v>7900.4826750000002</v>
      </c>
      <c r="BI8" s="656">
        <f t="shared" si="36"/>
        <v>7900.4826750000002</v>
      </c>
      <c r="BJ8" s="656">
        <f t="shared" si="36"/>
        <v>7900.4826750000002</v>
      </c>
      <c r="BK8" s="656">
        <f t="shared" si="36"/>
        <v>7900.4826750000002</v>
      </c>
      <c r="BL8" s="656">
        <f t="shared" si="36"/>
        <v>7900.4826750000002</v>
      </c>
      <c r="BM8" s="656">
        <f t="shared" si="36"/>
        <v>7900.4826750000002</v>
      </c>
      <c r="BN8" s="656">
        <f t="shared" si="36"/>
        <v>7900.4826750000002</v>
      </c>
      <c r="BO8" s="656">
        <f t="shared" si="36"/>
        <v>7900.4826750000002</v>
      </c>
      <c r="BP8" s="656">
        <f t="shared" si="36"/>
        <v>7900.4826750000002</v>
      </c>
      <c r="BQ8" s="656">
        <f t="shared" si="36"/>
        <v>7900.4826750000002</v>
      </c>
      <c r="BR8" s="656">
        <f t="shared" si="36"/>
        <v>7900.4826750000002</v>
      </c>
      <c r="BS8" s="656">
        <f t="shared" si="36"/>
        <v>7900.4826750000002</v>
      </c>
      <c r="BT8" s="656">
        <f>BT5*$D$14</f>
        <v>7900.4826750000002</v>
      </c>
      <c r="BU8" s="656">
        <f>BU5*$D$14</f>
        <v>7900.4826750000002</v>
      </c>
      <c r="BV8" s="656">
        <f>BV5*$D$14</f>
        <v>7900.4826750000002</v>
      </c>
      <c r="BW8" s="656">
        <f t="shared" ref="BW8:CI8" si="37">BW5*$D$14</f>
        <v>7900.4826750000002</v>
      </c>
      <c r="BX8" s="656">
        <f t="shared" si="37"/>
        <v>7900.4826750000002</v>
      </c>
      <c r="BY8" s="656">
        <f t="shared" si="37"/>
        <v>7900.4826750000002</v>
      </c>
      <c r="BZ8" s="656">
        <f t="shared" si="37"/>
        <v>7900.4826750000002</v>
      </c>
      <c r="CA8" s="656">
        <f t="shared" si="37"/>
        <v>7900.4826750000002</v>
      </c>
      <c r="CB8" s="656">
        <f t="shared" si="37"/>
        <v>7900.4826750000002</v>
      </c>
      <c r="CC8" s="656">
        <f t="shared" si="37"/>
        <v>7900.4826750000002</v>
      </c>
      <c r="CD8" s="656">
        <f t="shared" si="37"/>
        <v>7900.4826750000002</v>
      </c>
      <c r="CE8" s="656">
        <f t="shared" si="37"/>
        <v>7900.4826750000002</v>
      </c>
      <c r="CF8" s="656">
        <f t="shared" si="37"/>
        <v>7900.4826750000002</v>
      </c>
      <c r="CG8" s="656">
        <f t="shared" si="37"/>
        <v>7900.4826750000002</v>
      </c>
      <c r="CH8" s="656">
        <f t="shared" si="37"/>
        <v>7900.4826750000002</v>
      </c>
      <c r="CI8" s="656">
        <f t="shared" si="37"/>
        <v>7900.4826750000002</v>
      </c>
    </row>
    <row r="9" spans="1:87" x14ac:dyDescent="0.25">
      <c r="G9" s="666">
        <f>G8+G7+G6+G5</f>
        <v>41599.199999999997</v>
      </c>
      <c r="H9" s="666">
        <f>H8+H7+H6+H5</f>
        <v>641512</v>
      </c>
      <c r="J9" s="124" t="s">
        <v>2446</v>
      </c>
      <c r="K9" s="656">
        <f>K5*$E$20</f>
        <v>536.93999999999994</v>
      </c>
      <c r="L9" s="656">
        <f t="shared" ref="L9:BF9" si="38">L5*$E$20</f>
        <v>534.78</v>
      </c>
      <c r="M9" s="656">
        <f t="shared" si="38"/>
        <v>532.62</v>
      </c>
      <c r="N9" s="656">
        <f t="shared" si="38"/>
        <v>530.46</v>
      </c>
      <c r="O9" s="656">
        <f t="shared" si="38"/>
        <v>528.29999999999995</v>
      </c>
      <c r="P9" s="656">
        <f t="shared" si="38"/>
        <v>526.14</v>
      </c>
      <c r="Q9" s="656">
        <f t="shared" si="38"/>
        <v>523.98</v>
      </c>
      <c r="R9" s="656">
        <f t="shared" si="38"/>
        <v>521.81999999999994</v>
      </c>
      <c r="S9" s="656">
        <f t="shared" si="38"/>
        <v>519.66</v>
      </c>
      <c r="T9" s="656">
        <f t="shared" si="38"/>
        <v>517.5</v>
      </c>
      <c r="U9" s="656">
        <f t="shared" si="38"/>
        <v>515.34</v>
      </c>
      <c r="V9" s="656">
        <f t="shared" si="38"/>
        <v>513.17999999999995</v>
      </c>
      <c r="W9" s="656">
        <f t="shared" si="38"/>
        <v>511.02</v>
      </c>
      <c r="X9" s="656">
        <f t="shared" si="38"/>
        <v>508.85999999999996</v>
      </c>
      <c r="Y9" s="656">
        <f t="shared" si="38"/>
        <v>506.7</v>
      </c>
      <c r="Z9" s="656">
        <f t="shared" si="38"/>
        <v>504.53999999999996</v>
      </c>
      <c r="AA9" s="656">
        <f t="shared" si="38"/>
        <v>454.08600000000001</v>
      </c>
      <c r="AB9" s="656">
        <f t="shared" si="38"/>
        <v>451.92600000000004</v>
      </c>
      <c r="AC9" s="656">
        <f t="shared" si="38"/>
        <v>449.76600000000002</v>
      </c>
      <c r="AD9" s="656">
        <f t="shared" si="38"/>
        <v>447.60600000000005</v>
      </c>
      <c r="AE9" s="656">
        <f t="shared" si="38"/>
        <v>445.44600000000003</v>
      </c>
      <c r="AF9" s="656">
        <f t="shared" si="38"/>
        <v>443.28600000000006</v>
      </c>
      <c r="AG9" s="656">
        <f t="shared" si="38"/>
        <v>441.12600000000003</v>
      </c>
      <c r="AH9" s="656">
        <f t="shared" si="38"/>
        <v>438.96600000000001</v>
      </c>
      <c r="AI9" s="656">
        <f t="shared" si="38"/>
        <v>436.80600000000004</v>
      </c>
      <c r="AJ9" s="656">
        <f t="shared" si="38"/>
        <v>434.64600000000002</v>
      </c>
      <c r="AK9" s="656">
        <f t="shared" si="38"/>
        <v>432.48600000000005</v>
      </c>
      <c r="AL9" s="656">
        <f t="shared" si="38"/>
        <v>430.32600000000002</v>
      </c>
      <c r="AM9" s="656">
        <f t="shared" si="38"/>
        <v>428.16600000000005</v>
      </c>
      <c r="AN9" s="656">
        <f t="shared" si="38"/>
        <v>426.00600000000003</v>
      </c>
      <c r="AO9" s="656">
        <f t="shared" si="38"/>
        <v>423.84600000000006</v>
      </c>
      <c r="AP9" s="656">
        <f t="shared" si="38"/>
        <v>421.68600000000004</v>
      </c>
      <c r="AQ9" s="656">
        <f t="shared" si="38"/>
        <v>379.51740000000007</v>
      </c>
      <c r="AR9" s="656">
        <f t="shared" si="38"/>
        <v>377.35740000000004</v>
      </c>
      <c r="AS9" s="656">
        <f t="shared" si="38"/>
        <v>375.19740000000002</v>
      </c>
      <c r="AT9" s="656">
        <f t="shared" si="38"/>
        <v>373.03740000000005</v>
      </c>
      <c r="AU9" s="656">
        <f t="shared" si="38"/>
        <v>370.87740000000002</v>
      </c>
      <c r="AV9" s="656">
        <f t="shared" si="38"/>
        <v>368.71740000000005</v>
      </c>
      <c r="AW9" s="656">
        <f t="shared" si="38"/>
        <v>366.55740000000003</v>
      </c>
      <c r="AX9" s="656">
        <f t="shared" si="38"/>
        <v>364.39740000000006</v>
      </c>
      <c r="AY9" s="656">
        <f t="shared" si="38"/>
        <v>362.23740000000004</v>
      </c>
      <c r="AZ9" s="656">
        <f t="shared" si="38"/>
        <v>360.07740000000001</v>
      </c>
      <c r="BA9" s="656">
        <f t="shared" si="38"/>
        <v>357.91740000000004</v>
      </c>
      <c r="BB9" s="656">
        <f t="shared" si="38"/>
        <v>355.75740000000002</v>
      </c>
      <c r="BC9" s="656">
        <f t="shared" si="38"/>
        <v>353.59740000000005</v>
      </c>
      <c r="BD9" s="656">
        <f t="shared" si="38"/>
        <v>351.43740000000003</v>
      </c>
      <c r="BE9" s="656">
        <f t="shared" si="38"/>
        <v>349.27740000000006</v>
      </c>
      <c r="BF9" s="656">
        <f t="shared" si="38"/>
        <v>347.11740000000003</v>
      </c>
      <c r="BG9" s="656">
        <f t="shared" ref="BG9:BS9" si="39">BG5*$E$14</f>
        <v>977.37930000000017</v>
      </c>
      <c r="BH9" s="656">
        <f t="shared" si="39"/>
        <v>977.37930000000017</v>
      </c>
      <c r="BI9" s="656">
        <f t="shared" si="39"/>
        <v>977.37930000000017</v>
      </c>
      <c r="BJ9" s="656">
        <f t="shared" si="39"/>
        <v>977.37930000000017</v>
      </c>
      <c r="BK9" s="656">
        <f t="shared" si="39"/>
        <v>977.37930000000017</v>
      </c>
      <c r="BL9" s="656">
        <f t="shared" si="39"/>
        <v>977.37930000000017</v>
      </c>
      <c r="BM9" s="656">
        <f t="shared" si="39"/>
        <v>977.37930000000017</v>
      </c>
      <c r="BN9" s="656">
        <f t="shared" si="39"/>
        <v>977.37930000000017</v>
      </c>
      <c r="BO9" s="656">
        <f t="shared" si="39"/>
        <v>977.37930000000017</v>
      </c>
      <c r="BP9" s="656">
        <f t="shared" si="39"/>
        <v>977.37930000000017</v>
      </c>
      <c r="BQ9" s="656">
        <f t="shared" si="39"/>
        <v>977.37930000000017</v>
      </c>
      <c r="BR9" s="656">
        <f t="shared" si="39"/>
        <v>977.37930000000017</v>
      </c>
      <c r="BS9" s="656">
        <f t="shared" si="39"/>
        <v>977.37930000000017</v>
      </c>
      <c r="BT9" s="656">
        <f>BT5*$E$14</f>
        <v>977.37930000000017</v>
      </c>
      <c r="BU9" s="656">
        <f>BU5*$E$14</f>
        <v>977.37930000000017</v>
      </c>
      <c r="BV9" s="656">
        <f>BV5*$E$14</f>
        <v>977.37930000000017</v>
      </c>
      <c r="BW9" s="656">
        <f t="shared" ref="BW9:CI9" si="40">BW5*$E$14</f>
        <v>977.37930000000017</v>
      </c>
      <c r="BX9" s="656">
        <f t="shared" si="40"/>
        <v>977.37930000000017</v>
      </c>
      <c r="BY9" s="656">
        <f t="shared" si="40"/>
        <v>977.37930000000017</v>
      </c>
      <c r="BZ9" s="656">
        <f t="shared" si="40"/>
        <v>977.37930000000017</v>
      </c>
      <c r="CA9" s="656">
        <f t="shared" si="40"/>
        <v>977.37930000000017</v>
      </c>
      <c r="CB9" s="656">
        <f t="shared" si="40"/>
        <v>977.37930000000017</v>
      </c>
      <c r="CC9" s="656">
        <f t="shared" si="40"/>
        <v>977.37930000000017</v>
      </c>
      <c r="CD9" s="656">
        <f t="shared" si="40"/>
        <v>977.37930000000017</v>
      </c>
      <c r="CE9" s="656">
        <f t="shared" si="40"/>
        <v>977.37930000000017</v>
      </c>
      <c r="CF9" s="656">
        <f t="shared" si="40"/>
        <v>977.37930000000017</v>
      </c>
      <c r="CG9" s="656">
        <f t="shared" si="40"/>
        <v>977.37930000000017</v>
      </c>
      <c r="CH9" s="656">
        <f t="shared" si="40"/>
        <v>977.37930000000017</v>
      </c>
      <c r="CI9" s="656">
        <f t="shared" si="40"/>
        <v>977.37930000000017</v>
      </c>
    </row>
    <row r="10" spans="1:87" x14ac:dyDescent="0.25">
      <c r="A10" s="379" t="s">
        <v>2442</v>
      </c>
      <c r="B10" s="379" t="s">
        <v>2441</v>
      </c>
      <c r="C10" s="379" t="s">
        <v>39</v>
      </c>
      <c r="D10" s="379" t="s">
        <v>40</v>
      </c>
      <c r="E10" s="379" t="s">
        <v>41</v>
      </c>
      <c r="F10" s="379" t="s">
        <v>817</v>
      </c>
      <c r="G10" s="379"/>
      <c r="H10" s="379"/>
      <c r="J10" s="657" t="s">
        <v>2461</v>
      </c>
      <c r="K10" s="658">
        <f>B5</f>
        <v>34888</v>
      </c>
      <c r="L10" s="658">
        <f>K10</f>
        <v>34888</v>
      </c>
      <c r="M10" s="658">
        <f t="shared" ref="M10:AP10" si="41">L10</f>
        <v>34888</v>
      </c>
      <c r="N10" s="658">
        <f t="shared" si="41"/>
        <v>34888</v>
      </c>
      <c r="O10" s="658">
        <f t="shared" si="41"/>
        <v>34888</v>
      </c>
      <c r="P10" s="658">
        <f t="shared" si="41"/>
        <v>34888</v>
      </c>
      <c r="Q10" s="658">
        <f t="shared" si="41"/>
        <v>34888</v>
      </c>
      <c r="R10" s="658">
        <f t="shared" si="41"/>
        <v>34888</v>
      </c>
      <c r="S10" s="658">
        <f t="shared" si="41"/>
        <v>34888</v>
      </c>
      <c r="T10" s="658">
        <f t="shared" si="41"/>
        <v>34888</v>
      </c>
      <c r="U10" s="658">
        <f t="shared" si="41"/>
        <v>34888</v>
      </c>
      <c r="V10" s="658">
        <f t="shared" si="41"/>
        <v>34888</v>
      </c>
      <c r="W10" s="658">
        <f t="shared" si="41"/>
        <v>34888</v>
      </c>
      <c r="X10" s="658">
        <f t="shared" si="41"/>
        <v>34888</v>
      </c>
      <c r="Y10" s="658">
        <f t="shared" si="41"/>
        <v>34888</v>
      </c>
      <c r="Z10" s="658">
        <f t="shared" si="41"/>
        <v>34888</v>
      </c>
      <c r="AA10" s="658">
        <f t="shared" si="41"/>
        <v>34888</v>
      </c>
      <c r="AB10" s="658">
        <f t="shared" si="41"/>
        <v>34888</v>
      </c>
      <c r="AC10" s="658">
        <f t="shared" si="41"/>
        <v>34888</v>
      </c>
      <c r="AD10" s="658">
        <f t="shared" si="41"/>
        <v>34888</v>
      </c>
      <c r="AE10" s="658">
        <f t="shared" si="41"/>
        <v>34888</v>
      </c>
      <c r="AF10" s="658">
        <f t="shared" si="41"/>
        <v>34888</v>
      </c>
      <c r="AG10" s="658">
        <f t="shared" si="41"/>
        <v>34888</v>
      </c>
      <c r="AH10" s="658">
        <f t="shared" si="41"/>
        <v>34888</v>
      </c>
      <c r="AI10" s="658">
        <f t="shared" si="41"/>
        <v>34888</v>
      </c>
      <c r="AJ10" s="658">
        <f t="shared" si="41"/>
        <v>34888</v>
      </c>
      <c r="AK10" s="658">
        <f t="shared" si="41"/>
        <v>34888</v>
      </c>
      <c r="AL10" s="658">
        <f t="shared" si="41"/>
        <v>34888</v>
      </c>
      <c r="AM10" s="658">
        <f t="shared" si="41"/>
        <v>34888</v>
      </c>
      <c r="AN10" s="658">
        <f t="shared" si="41"/>
        <v>34888</v>
      </c>
      <c r="AO10" s="658">
        <f t="shared" si="41"/>
        <v>34888</v>
      </c>
      <c r="AP10" s="658">
        <f t="shared" si="41"/>
        <v>34888</v>
      </c>
      <c r="AQ10" s="658">
        <f t="shared" ref="AQ10:BF10" si="42">AP10</f>
        <v>34888</v>
      </c>
      <c r="AR10" s="658">
        <f t="shared" si="42"/>
        <v>34888</v>
      </c>
      <c r="AS10" s="658">
        <f t="shared" si="42"/>
        <v>34888</v>
      </c>
      <c r="AT10" s="658">
        <f t="shared" si="42"/>
        <v>34888</v>
      </c>
      <c r="AU10" s="658">
        <f t="shared" si="42"/>
        <v>34888</v>
      </c>
      <c r="AV10" s="658">
        <f t="shared" si="42"/>
        <v>34888</v>
      </c>
      <c r="AW10" s="658">
        <f t="shared" si="42"/>
        <v>34888</v>
      </c>
      <c r="AX10" s="658">
        <f t="shared" si="42"/>
        <v>34888</v>
      </c>
      <c r="AY10" s="658">
        <f t="shared" si="42"/>
        <v>34888</v>
      </c>
      <c r="AZ10" s="658">
        <f t="shared" si="42"/>
        <v>34888</v>
      </c>
      <c r="BA10" s="658">
        <f t="shared" si="42"/>
        <v>34888</v>
      </c>
      <c r="BB10" s="658">
        <f t="shared" si="42"/>
        <v>34888</v>
      </c>
      <c r="BC10" s="658">
        <f t="shared" si="42"/>
        <v>34888</v>
      </c>
      <c r="BD10" s="658">
        <f t="shared" si="42"/>
        <v>34888</v>
      </c>
      <c r="BE10" s="658">
        <f t="shared" si="42"/>
        <v>34888</v>
      </c>
      <c r="BF10" s="658">
        <f t="shared" si="42"/>
        <v>34888</v>
      </c>
      <c r="BG10" s="658">
        <f t="shared" ref="BG10:BV10" si="43">BF10</f>
        <v>34888</v>
      </c>
      <c r="BH10" s="658">
        <f t="shared" si="43"/>
        <v>34888</v>
      </c>
      <c r="BI10" s="658">
        <f t="shared" si="43"/>
        <v>34888</v>
      </c>
      <c r="BJ10" s="658">
        <f t="shared" si="43"/>
        <v>34888</v>
      </c>
      <c r="BK10" s="658">
        <f t="shared" si="43"/>
        <v>34888</v>
      </c>
      <c r="BL10" s="658">
        <f t="shared" si="43"/>
        <v>34888</v>
      </c>
      <c r="BM10" s="658">
        <f t="shared" si="43"/>
        <v>34888</v>
      </c>
      <c r="BN10" s="658">
        <f t="shared" si="43"/>
        <v>34888</v>
      </c>
      <c r="BO10" s="658">
        <f t="shared" si="43"/>
        <v>34888</v>
      </c>
      <c r="BP10" s="658">
        <f t="shared" si="43"/>
        <v>34888</v>
      </c>
      <c r="BQ10" s="658">
        <f t="shared" si="43"/>
        <v>34888</v>
      </c>
      <c r="BR10" s="658">
        <f t="shared" si="43"/>
        <v>34888</v>
      </c>
      <c r="BS10" s="658">
        <f t="shared" si="43"/>
        <v>34888</v>
      </c>
      <c r="BT10" s="658">
        <f t="shared" si="43"/>
        <v>34888</v>
      </c>
      <c r="BU10" s="658">
        <f t="shared" si="43"/>
        <v>34888</v>
      </c>
      <c r="BV10" s="658">
        <f t="shared" si="43"/>
        <v>34888</v>
      </c>
      <c r="BW10" s="658">
        <f t="shared" ref="BW10:CI10" si="44">BV10</f>
        <v>34888</v>
      </c>
      <c r="BX10" s="658">
        <f t="shared" si="44"/>
        <v>34888</v>
      </c>
      <c r="BY10" s="658">
        <f t="shared" si="44"/>
        <v>34888</v>
      </c>
      <c r="BZ10" s="658">
        <f t="shared" si="44"/>
        <v>34888</v>
      </c>
      <c r="CA10" s="658">
        <f t="shared" si="44"/>
        <v>34888</v>
      </c>
      <c r="CB10" s="658">
        <f t="shared" si="44"/>
        <v>34888</v>
      </c>
      <c r="CC10" s="658">
        <f t="shared" si="44"/>
        <v>34888</v>
      </c>
      <c r="CD10" s="658">
        <f t="shared" si="44"/>
        <v>34888</v>
      </c>
      <c r="CE10" s="658">
        <f t="shared" si="44"/>
        <v>34888</v>
      </c>
      <c r="CF10" s="658">
        <f t="shared" si="44"/>
        <v>34888</v>
      </c>
      <c r="CG10" s="658">
        <f t="shared" si="44"/>
        <v>34888</v>
      </c>
      <c r="CH10" s="658">
        <f t="shared" si="44"/>
        <v>34888</v>
      </c>
      <c r="CI10" s="658">
        <f t="shared" si="44"/>
        <v>34888</v>
      </c>
    </row>
    <row r="11" spans="1:87" x14ac:dyDescent="0.25">
      <c r="A11" s="131">
        <v>11</v>
      </c>
      <c r="B11" s="385">
        <v>14.98</v>
      </c>
      <c r="C11" s="385">
        <v>5.95</v>
      </c>
      <c r="D11" s="385">
        <v>5.3253000000000004</v>
      </c>
      <c r="E11" s="385">
        <v>0.68</v>
      </c>
      <c r="F11" s="649">
        <f>E11+D11+C11+B11</f>
        <v>26.935300000000002</v>
      </c>
      <c r="G11" s="649"/>
      <c r="H11" s="649"/>
      <c r="J11" s="657" t="s">
        <v>2462</v>
      </c>
      <c r="K11" s="658">
        <f>B6</f>
        <v>13391</v>
      </c>
      <c r="L11" s="658">
        <f>K11</f>
        <v>13391</v>
      </c>
      <c r="M11" s="658">
        <f t="shared" ref="M11:AP11" si="45">L11</f>
        <v>13391</v>
      </c>
      <c r="N11" s="658">
        <f t="shared" si="45"/>
        <v>13391</v>
      </c>
      <c r="O11" s="658">
        <f t="shared" si="45"/>
        <v>13391</v>
      </c>
      <c r="P11" s="658">
        <f t="shared" si="45"/>
        <v>13391</v>
      </c>
      <c r="Q11" s="658">
        <f t="shared" si="45"/>
        <v>13391</v>
      </c>
      <c r="R11" s="658">
        <f t="shared" si="45"/>
        <v>13391</v>
      </c>
      <c r="S11" s="658">
        <f t="shared" si="45"/>
        <v>13391</v>
      </c>
      <c r="T11" s="658">
        <f t="shared" si="45"/>
        <v>13391</v>
      </c>
      <c r="U11" s="658">
        <f t="shared" si="45"/>
        <v>13391</v>
      </c>
      <c r="V11" s="658">
        <f t="shared" si="45"/>
        <v>13391</v>
      </c>
      <c r="W11" s="658">
        <f t="shared" si="45"/>
        <v>13391</v>
      </c>
      <c r="X11" s="658">
        <f t="shared" si="45"/>
        <v>13391</v>
      </c>
      <c r="Y11" s="658">
        <f t="shared" si="45"/>
        <v>13391</v>
      </c>
      <c r="Z11" s="658">
        <f t="shared" si="45"/>
        <v>13391</v>
      </c>
      <c r="AA11" s="658">
        <f t="shared" si="45"/>
        <v>13391</v>
      </c>
      <c r="AB11" s="658">
        <f t="shared" si="45"/>
        <v>13391</v>
      </c>
      <c r="AC11" s="658">
        <f t="shared" si="45"/>
        <v>13391</v>
      </c>
      <c r="AD11" s="658">
        <f t="shared" si="45"/>
        <v>13391</v>
      </c>
      <c r="AE11" s="658">
        <f t="shared" si="45"/>
        <v>13391</v>
      </c>
      <c r="AF11" s="658">
        <f t="shared" si="45"/>
        <v>13391</v>
      </c>
      <c r="AG11" s="658">
        <f t="shared" si="45"/>
        <v>13391</v>
      </c>
      <c r="AH11" s="658">
        <f t="shared" si="45"/>
        <v>13391</v>
      </c>
      <c r="AI11" s="658">
        <f t="shared" si="45"/>
        <v>13391</v>
      </c>
      <c r="AJ11" s="658">
        <f t="shared" si="45"/>
        <v>13391</v>
      </c>
      <c r="AK11" s="658">
        <f t="shared" si="45"/>
        <v>13391</v>
      </c>
      <c r="AL11" s="658">
        <f t="shared" si="45"/>
        <v>13391</v>
      </c>
      <c r="AM11" s="658">
        <f t="shared" si="45"/>
        <v>13391</v>
      </c>
      <c r="AN11" s="658">
        <f t="shared" si="45"/>
        <v>13391</v>
      </c>
      <c r="AO11" s="658">
        <f t="shared" si="45"/>
        <v>13391</v>
      </c>
      <c r="AP11" s="658">
        <f t="shared" si="45"/>
        <v>13391</v>
      </c>
      <c r="AQ11" s="658">
        <f t="shared" ref="AQ11:BF11" si="46">AP11</f>
        <v>13391</v>
      </c>
      <c r="AR11" s="658">
        <f t="shared" si="46"/>
        <v>13391</v>
      </c>
      <c r="AS11" s="658">
        <f t="shared" si="46"/>
        <v>13391</v>
      </c>
      <c r="AT11" s="658">
        <f t="shared" si="46"/>
        <v>13391</v>
      </c>
      <c r="AU11" s="658">
        <f t="shared" si="46"/>
        <v>13391</v>
      </c>
      <c r="AV11" s="658">
        <f t="shared" si="46"/>
        <v>13391</v>
      </c>
      <c r="AW11" s="658">
        <f t="shared" si="46"/>
        <v>13391</v>
      </c>
      <c r="AX11" s="658">
        <f t="shared" si="46"/>
        <v>13391</v>
      </c>
      <c r="AY11" s="658">
        <f t="shared" si="46"/>
        <v>13391</v>
      </c>
      <c r="AZ11" s="658">
        <f t="shared" si="46"/>
        <v>13391</v>
      </c>
      <c r="BA11" s="658">
        <f t="shared" si="46"/>
        <v>13391</v>
      </c>
      <c r="BB11" s="658">
        <f t="shared" si="46"/>
        <v>13391</v>
      </c>
      <c r="BC11" s="658">
        <f t="shared" si="46"/>
        <v>13391</v>
      </c>
      <c r="BD11" s="658">
        <f t="shared" si="46"/>
        <v>13391</v>
      </c>
      <c r="BE11" s="658">
        <f t="shared" si="46"/>
        <v>13391</v>
      </c>
      <c r="BF11" s="658">
        <f t="shared" si="46"/>
        <v>13391</v>
      </c>
      <c r="BG11" s="658">
        <f t="shared" ref="BG11:BV11" si="47">BF11</f>
        <v>13391</v>
      </c>
      <c r="BH11" s="658">
        <f t="shared" si="47"/>
        <v>13391</v>
      </c>
      <c r="BI11" s="658">
        <f t="shared" si="47"/>
        <v>13391</v>
      </c>
      <c r="BJ11" s="658">
        <f t="shared" si="47"/>
        <v>13391</v>
      </c>
      <c r="BK11" s="658">
        <f t="shared" si="47"/>
        <v>13391</v>
      </c>
      <c r="BL11" s="658">
        <f t="shared" si="47"/>
        <v>13391</v>
      </c>
      <c r="BM11" s="658">
        <f t="shared" si="47"/>
        <v>13391</v>
      </c>
      <c r="BN11" s="658">
        <f t="shared" si="47"/>
        <v>13391</v>
      </c>
      <c r="BO11" s="658">
        <f t="shared" si="47"/>
        <v>13391</v>
      </c>
      <c r="BP11" s="658">
        <f t="shared" si="47"/>
        <v>13391</v>
      </c>
      <c r="BQ11" s="658">
        <f t="shared" si="47"/>
        <v>13391</v>
      </c>
      <c r="BR11" s="658">
        <f t="shared" si="47"/>
        <v>13391</v>
      </c>
      <c r="BS11" s="658">
        <f t="shared" si="47"/>
        <v>13391</v>
      </c>
      <c r="BT11" s="658">
        <f t="shared" si="47"/>
        <v>13391</v>
      </c>
      <c r="BU11" s="658">
        <f t="shared" si="47"/>
        <v>13391</v>
      </c>
      <c r="BV11" s="658">
        <f t="shared" si="47"/>
        <v>13391</v>
      </c>
      <c r="BW11" s="658">
        <f t="shared" ref="BW11:CI11" si="48">BV11</f>
        <v>13391</v>
      </c>
      <c r="BX11" s="658">
        <f t="shared" si="48"/>
        <v>13391</v>
      </c>
      <c r="BY11" s="658">
        <f t="shared" si="48"/>
        <v>13391</v>
      </c>
      <c r="BZ11" s="658">
        <f t="shared" si="48"/>
        <v>13391</v>
      </c>
      <c r="CA11" s="658">
        <f t="shared" si="48"/>
        <v>13391</v>
      </c>
      <c r="CB11" s="658">
        <f t="shared" si="48"/>
        <v>13391</v>
      </c>
      <c r="CC11" s="658">
        <f t="shared" si="48"/>
        <v>13391</v>
      </c>
      <c r="CD11" s="658">
        <f t="shared" si="48"/>
        <v>13391</v>
      </c>
      <c r="CE11" s="658">
        <f t="shared" si="48"/>
        <v>13391</v>
      </c>
      <c r="CF11" s="658">
        <f t="shared" si="48"/>
        <v>13391</v>
      </c>
      <c r="CG11" s="658">
        <f t="shared" si="48"/>
        <v>13391</v>
      </c>
      <c r="CH11" s="658">
        <f t="shared" si="48"/>
        <v>13391</v>
      </c>
      <c r="CI11" s="658">
        <f t="shared" si="48"/>
        <v>13391</v>
      </c>
    </row>
    <row r="12" spans="1:87" x14ac:dyDescent="0.25">
      <c r="A12" s="131">
        <v>10</v>
      </c>
      <c r="B12" s="648">
        <v>14.23</v>
      </c>
      <c r="C12" s="648">
        <v>5.59</v>
      </c>
      <c r="D12" s="648">
        <v>4.9179000000000004</v>
      </c>
      <c r="E12" s="648">
        <v>0.62</v>
      </c>
      <c r="F12" s="649">
        <f t="shared" ref="F12:F21" si="49">E12+D12+C12+B12</f>
        <v>25.357900000000001</v>
      </c>
      <c r="G12" s="649"/>
      <c r="H12" s="649"/>
      <c r="J12" s="657" t="s">
        <v>2463</v>
      </c>
      <c r="K12" s="658">
        <f>B7</f>
        <v>11289</v>
      </c>
      <c r="L12" s="658">
        <f>K12</f>
        <v>11289</v>
      </c>
      <c r="M12" s="658">
        <f t="shared" ref="M12:AP12" si="50">L12</f>
        <v>11289</v>
      </c>
      <c r="N12" s="658">
        <f t="shared" si="50"/>
        <v>11289</v>
      </c>
      <c r="O12" s="658">
        <f t="shared" si="50"/>
        <v>11289</v>
      </c>
      <c r="P12" s="658">
        <f t="shared" si="50"/>
        <v>11289</v>
      </c>
      <c r="Q12" s="658">
        <f t="shared" si="50"/>
        <v>11289</v>
      </c>
      <c r="R12" s="658">
        <f t="shared" si="50"/>
        <v>11289</v>
      </c>
      <c r="S12" s="658">
        <f t="shared" si="50"/>
        <v>11289</v>
      </c>
      <c r="T12" s="658">
        <f t="shared" si="50"/>
        <v>11289</v>
      </c>
      <c r="U12" s="658">
        <f t="shared" si="50"/>
        <v>11289</v>
      </c>
      <c r="V12" s="658">
        <f t="shared" si="50"/>
        <v>11289</v>
      </c>
      <c r="W12" s="658">
        <f t="shared" si="50"/>
        <v>11289</v>
      </c>
      <c r="X12" s="658">
        <f t="shared" si="50"/>
        <v>11289</v>
      </c>
      <c r="Y12" s="658">
        <f t="shared" si="50"/>
        <v>11289</v>
      </c>
      <c r="Z12" s="658">
        <f t="shared" si="50"/>
        <v>11289</v>
      </c>
      <c r="AA12" s="658">
        <f t="shared" si="50"/>
        <v>11289</v>
      </c>
      <c r="AB12" s="658">
        <f t="shared" si="50"/>
        <v>11289</v>
      </c>
      <c r="AC12" s="658">
        <f t="shared" si="50"/>
        <v>11289</v>
      </c>
      <c r="AD12" s="658">
        <f t="shared" si="50"/>
        <v>11289</v>
      </c>
      <c r="AE12" s="658">
        <f t="shared" si="50"/>
        <v>11289</v>
      </c>
      <c r="AF12" s="658">
        <f t="shared" si="50"/>
        <v>11289</v>
      </c>
      <c r="AG12" s="658">
        <f t="shared" si="50"/>
        <v>11289</v>
      </c>
      <c r="AH12" s="658">
        <f t="shared" si="50"/>
        <v>11289</v>
      </c>
      <c r="AI12" s="658">
        <f t="shared" si="50"/>
        <v>11289</v>
      </c>
      <c r="AJ12" s="658">
        <f t="shared" si="50"/>
        <v>11289</v>
      </c>
      <c r="AK12" s="658">
        <f t="shared" si="50"/>
        <v>11289</v>
      </c>
      <c r="AL12" s="658">
        <f t="shared" si="50"/>
        <v>11289</v>
      </c>
      <c r="AM12" s="658">
        <f t="shared" si="50"/>
        <v>11289</v>
      </c>
      <c r="AN12" s="658">
        <f t="shared" si="50"/>
        <v>11289</v>
      </c>
      <c r="AO12" s="658">
        <f t="shared" si="50"/>
        <v>11289</v>
      </c>
      <c r="AP12" s="658">
        <f t="shared" si="50"/>
        <v>11289</v>
      </c>
      <c r="AQ12" s="658">
        <f t="shared" ref="AQ12:BF12" si="51">AP12</f>
        <v>11289</v>
      </c>
      <c r="AR12" s="658">
        <f t="shared" si="51"/>
        <v>11289</v>
      </c>
      <c r="AS12" s="658">
        <f t="shared" si="51"/>
        <v>11289</v>
      </c>
      <c r="AT12" s="658">
        <f t="shared" si="51"/>
        <v>11289</v>
      </c>
      <c r="AU12" s="658">
        <f t="shared" si="51"/>
        <v>11289</v>
      </c>
      <c r="AV12" s="658">
        <f t="shared" si="51"/>
        <v>11289</v>
      </c>
      <c r="AW12" s="658">
        <f t="shared" si="51"/>
        <v>11289</v>
      </c>
      <c r="AX12" s="658">
        <f t="shared" si="51"/>
        <v>11289</v>
      </c>
      <c r="AY12" s="658">
        <f t="shared" si="51"/>
        <v>11289</v>
      </c>
      <c r="AZ12" s="658">
        <f t="shared" si="51"/>
        <v>11289</v>
      </c>
      <c r="BA12" s="658">
        <f t="shared" si="51"/>
        <v>11289</v>
      </c>
      <c r="BB12" s="658">
        <f t="shared" si="51"/>
        <v>11289</v>
      </c>
      <c r="BC12" s="658">
        <f t="shared" si="51"/>
        <v>11289</v>
      </c>
      <c r="BD12" s="658">
        <f t="shared" si="51"/>
        <v>11289</v>
      </c>
      <c r="BE12" s="658">
        <f t="shared" si="51"/>
        <v>11289</v>
      </c>
      <c r="BF12" s="658">
        <f t="shared" si="51"/>
        <v>11289</v>
      </c>
      <c r="BG12" s="658">
        <f t="shared" ref="BG12:BV12" si="52">BF12</f>
        <v>11289</v>
      </c>
      <c r="BH12" s="658">
        <f t="shared" si="52"/>
        <v>11289</v>
      </c>
      <c r="BI12" s="658">
        <f t="shared" si="52"/>
        <v>11289</v>
      </c>
      <c r="BJ12" s="658">
        <f t="shared" si="52"/>
        <v>11289</v>
      </c>
      <c r="BK12" s="658">
        <f t="shared" si="52"/>
        <v>11289</v>
      </c>
      <c r="BL12" s="658">
        <f t="shared" si="52"/>
        <v>11289</v>
      </c>
      <c r="BM12" s="658">
        <f t="shared" si="52"/>
        <v>11289</v>
      </c>
      <c r="BN12" s="658">
        <f t="shared" si="52"/>
        <v>11289</v>
      </c>
      <c r="BO12" s="658">
        <f t="shared" si="52"/>
        <v>11289</v>
      </c>
      <c r="BP12" s="658">
        <f t="shared" si="52"/>
        <v>11289</v>
      </c>
      <c r="BQ12" s="658">
        <f t="shared" si="52"/>
        <v>11289</v>
      </c>
      <c r="BR12" s="658">
        <f t="shared" si="52"/>
        <v>11289</v>
      </c>
      <c r="BS12" s="658">
        <f t="shared" si="52"/>
        <v>11289</v>
      </c>
      <c r="BT12" s="658">
        <f t="shared" si="52"/>
        <v>11289</v>
      </c>
      <c r="BU12" s="658">
        <f t="shared" si="52"/>
        <v>11289</v>
      </c>
      <c r="BV12" s="658">
        <f t="shared" si="52"/>
        <v>11289</v>
      </c>
      <c r="BW12" s="658">
        <f t="shared" ref="BW12:CI12" si="53">BV12</f>
        <v>11289</v>
      </c>
      <c r="BX12" s="658">
        <f t="shared" si="53"/>
        <v>11289</v>
      </c>
      <c r="BY12" s="658">
        <f t="shared" si="53"/>
        <v>11289</v>
      </c>
      <c r="BZ12" s="658">
        <f t="shared" si="53"/>
        <v>11289</v>
      </c>
      <c r="CA12" s="658">
        <f t="shared" si="53"/>
        <v>11289</v>
      </c>
      <c r="CB12" s="658">
        <f t="shared" si="53"/>
        <v>11289</v>
      </c>
      <c r="CC12" s="658">
        <f t="shared" si="53"/>
        <v>11289</v>
      </c>
      <c r="CD12" s="658">
        <f t="shared" si="53"/>
        <v>11289</v>
      </c>
      <c r="CE12" s="658">
        <f t="shared" si="53"/>
        <v>11289</v>
      </c>
      <c r="CF12" s="658">
        <f t="shared" si="53"/>
        <v>11289</v>
      </c>
      <c r="CG12" s="658">
        <f t="shared" si="53"/>
        <v>11289</v>
      </c>
      <c r="CH12" s="658">
        <f t="shared" si="53"/>
        <v>11289</v>
      </c>
      <c r="CI12" s="658">
        <f t="shared" si="53"/>
        <v>11289</v>
      </c>
    </row>
    <row r="13" spans="1:87" x14ac:dyDescent="0.25">
      <c r="A13" s="131">
        <v>9</v>
      </c>
      <c r="B13" s="385">
        <v>13.49</v>
      </c>
      <c r="C13" s="385">
        <v>5.24</v>
      </c>
      <c r="D13" s="385">
        <v>4.5202</v>
      </c>
      <c r="E13" s="385">
        <v>0.56999999999999995</v>
      </c>
      <c r="F13" s="649">
        <f t="shared" si="49"/>
        <v>23.8202</v>
      </c>
      <c r="G13" s="649"/>
      <c r="H13" s="649"/>
      <c r="J13" s="657" t="s">
        <v>2464</v>
      </c>
      <c r="K13" s="658">
        <f>B8</f>
        <v>1397</v>
      </c>
      <c r="L13" s="658">
        <f>K13</f>
        <v>1397</v>
      </c>
      <c r="M13" s="658">
        <f t="shared" ref="M13:AP13" si="54">L13</f>
        <v>1397</v>
      </c>
      <c r="N13" s="658">
        <f t="shared" si="54"/>
        <v>1397</v>
      </c>
      <c r="O13" s="658">
        <f t="shared" si="54"/>
        <v>1397</v>
      </c>
      <c r="P13" s="658">
        <f t="shared" si="54"/>
        <v>1397</v>
      </c>
      <c r="Q13" s="658">
        <f t="shared" si="54"/>
        <v>1397</v>
      </c>
      <c r="R13" s="658">
        <f t="shared" si="54"/>
        <v>1397</v>
      </c>
      <c r="S13" s="658">
        <f t="shared" si="54"/>
        <v>1397</v>
      </c>
      <c r="T13" s="658">
        <f t="shared" si="54"/>
        <v>1397</v>
      </c>
      <c r="U13" s="658">
        <f t="shared" si="54"/>
        <v>1397</v>
      </c>
      <c r="V13" s="658">
        <f t="shared" si="54"/>
        <v>1397</v>
      </c>
      <c r="W13" s="658">
        <f t="shared" si="54"/>
        <v>1397</v>
      </c>
      <c r="X13" s="658">
        <f t="shared" si="54"/>
        <v>1397</v>
      </c>
      <c r="Y13" s="658">
        <f t="shared" si="54"/>
        <v>1397</v>
      </c>
      <c r="Z13" s="658">
        <f t="shared" si="54"/>
        <v>1397</v>
      </c>
      <c r="AA13" s="658">
        <f t="shared" si="54"/>
        <v>1397</v>
      </c>
      <c r="AB13" s="658">
        <f t="shared" si="54"/>
        <v>1397</v>
      </c>
      <c r="AC13" s="658">
        <f t="shared" si="54"/>
        <v>1397</v>
      </c>
      <c r="AD13" s="658">
        <f t="shared" si="54"/>
        <v>1397</v>
      </c>
      <c r="AE13" s="658">
        <f t="shared" si="54"/>
        <v>1397</v>
      </c>
      <c r="AF13" s="658">
        <f t="shared" si="54"/>
        <v>1397</v>
      </c>
      <c r="AG13" s="658">
        <f t="shared" si="54"/>
        <v>1397</v>
      </c>
      <c r="AH13" s="658">
        <f t="shared" si="54"/>
        <v>1397</v>
      </c>
      <c r="AI13" s="658">
        <f t="shared" si="54"/>
        <v>1397</v>
      </c>
      <c r="AJ13" s="658">
        <f t="shared" si="54"/>
        <v>1397</v>
      </c>
      <c r="AK13" s="658">
        <f t="shared" si="54"/>
        <v>1397</v>
      </c>
      <c r="AL13" s="658">
        <f t="shared" si="54"/>
        <v>1397</v>
      </c>
      <c r="AM13" s="658">
        <f t="shared" si="54"/>
        <v>1397</v>
      </c>
      <c r="AN13" s="658">
        <f t="shared" si="54"/>
        <v>1397</v>
      </c>
      <c r="AO13" s="658">
        <f t="shared" si="54"/>
        <v>1397</v>
      </c>
      <c r="AP13" s="658">
        <f t="shared" si="54"/>
        <v>1397</v>
      </c>
      <c r="AQ13" s="658">
        <f t="shared" ref="AQ13:BF13" si="55">AP13</f>
        <v>1397</v>
      </c>
      <c r="AR13" s="658">
        <f t="shared" si="55"/>
        <v>1397</v>
      </c>
      <c r="AS13" s="658">
        <f t="shared" si="55"/>
        <v>1397</v>
      </c>
      <c r="AT13" s="658">
        <f t="shared" si="55"/>
        <v>1397</v>
      </c>
      <c r="AU13" s="658">
        <f t="shared" si="55"/>
        <v>1397</v>
      </c>
      <c r="AV13" s="658">
        <f t="shared" si="55"/>
        <v>1397</v>
      </c>
      <c r="AW13" s="658">
        <f t="shared" si="55"/>
        <v>1397</v>
      </c>
      <c r="AX13" s="658">
        <f t="shared" si="55"/>
        <v>1397</v>
      </c>
      <c r="AY13" s="658">
        <f t="shared" si="55"/>
        <v>1397</v>
      </c>
      <c r="AZ13" s="658">
        <f t="shared" si="55"/>
        <v>1397</v>
      </c>
      <c r="BA13" s="658">
        <f t="shared" si="55"/>
        <v>1397</v>
      </c>
      <c r="BB13" s="658">
        <f t="shared" si="55"/>
        <v>1397</v>
      </c>
      <c r="BC13" s="658">
        <f t="shared" si="55"/>
        <v>1397</v>
      </c>
      <c r="BD13" s="658">
        <f t="shared" si="55"/>
        <v>1397</v>
      </c>
      <c r="BE13" s="658">
        <f t="shared" si="55"/>
        <v>1397</v>
      </c>
      <c r="BF13" s="658">
        <f t="shared" si="55"/>
        <v>1397</v>
      </c>
      <c r="BG13" s="658">
        <f t="shared" ref="BG13:BV13" si="56">BF13</f>
        <v>1397</v>
      </c>
      <c r="BH13" s="658">
        <f t="shared" si="56"/>
        <v>1397</v>
      </c>
      <c r="BI13" s="658">
        <f t="shared" si="56"/>
        <v>1397</v>
      </c>
      <c r="BJ13" s="658">
        <f t="shared" si="56"/>
        <v>1397</v>
      </c>
      <c r="BK13" s="658">
        <f t="shared" si="56"/>
        <v>1397</v>
      </c>
      <c r="BL13" s="658">
        <f t="shared" si="56"/>
        <v>1397</v>
      </c>
      <c r="BM13" s="658">
        <f t="shared" si="56"/>
        <v>1397</v>
      </c>
      <c r="BN13" s="658">
        <f t="shared" si="56"/>
        <v>1397</v>
      </c>
      <c r="BO13" s="658">
        <f t="shared" si="56"/>
        <v>1397</v>
      </c>
      <c r="BP13" s="658">
        <f t="shared" si="56"/>
        <v>1397</v>
      </c>
      <c r="BQ13" s="658">
        <f t="shared" si="56"/>
        <v>1397</v>
      </c>
      <c r="BR13" s="658">
        <f t="shared" si="56"/>
        <v>1397</v>
      </c>
      <c r="BS13" s="658">
        <f t="shared" si="56"/>
        <v>1397</v>
      </c>
      <c r="BT13" s="658">
        <f t="shared" si="56"/>
        <v>1397</v>
      </c>
      <c r="BU13" s="658">
        <f t="shared" si="56"/>
        <v>1397</v>
      </c>
      <c r="BV13" s="658">
        <f t="shared" si="56"/>
        <v>1397</v>
      </c>
      <c r="BW13" s="658">
        <f t="shared" ref="BW13:CI13" si="57">BV13</f>
        <v>1397</v>
      </c>
      <c r="BX13" s="658">
        <f t="shared" si="57"/>
        <v>1397</v>
      </c>
      <c r="BY13" s="658">
        <f t="shared" si="57"/>
        <v>1397</v>
      </c>
      <c r="BZ13" s="658">
        <f t="shared" si="57"/>
        <v>1397</v>
      </c>
      <c r="CA13" s="658">
        <f t="shared" si="57"/>
        <v>1397</v>
      </c>
      <c r="CB13" s="658">
        <f t="shared" si="57"/>
        <v>1397</v>
      </c>
      <c r="CC13" s="658">
        <f t="shared" si="57"/>
        <v>1397</v>
      </c>
      <c r="CD13" s="658">
        <f t="shared" si="57"/>
        <v>1397</v>
      </c>
      <c r="CE13" s="658">
        <f t="shared" si="57"/>
        <v>1397</v>
      </c>
      <c r="CF13" s="658">
        <f t="shared" si="57"/>
        <v>1397</v>
      </c>
      <c r="CG13" s="658">
        <f t="shared" si="57"/>
        <v>1397</v>
      </c>
      <c r="CH13" s="658">
        <f t="shared" si="57"/>
        <v>1397</v>
      </c>
      <c r="CI13" s="658">
        <f t="shared" si="57"/>
        <v>1397</v>
      </c>
    </row>
    <row r="14" spans="1:87" x14ac:dyDescent="0.25">
      <c r="A14" s="131">
        <v>8</v>
      </c>
      <c r="B14" s="648">
        <v>12.74</v>
      </c>
      <c r="C14" s="648">
        <v>4.8899999999999997</v>
      </c>
      <c r="D14" s="648">
        <v>4.1224999999999996</v>
      </c>
      <c r="E14" s="648">
        <v>0.51</v>
      </c>
      <c r="F14" s="649">
        <f t="shared" si="49"/>
        <v>22.262499999999999</v>
      </c>
      <c r="G14" s="649"/>
      <c r="H14" s="649"/>
      <c r="J14" s="657" t="s">
        <v>2473</v>
      </c>
      <c r="K14" s="658">
        <f>B5</f>
        <v>34888</v>
      </c>
      <c r="L14" s="663">
        <f>B25</f>
        <v>24421.599999999999</v>
      </c>
      <c r="M14" s="658">
        <f t="shared" ref="M14:AP14" si="58">L14</f>
        <v>24421.599999999999</v>
      </c>
      <c r="N14" s="658">
        <f t="shared" si="58"/>
        <v>24421.599999999999</v>
      </c>
      <c r="O14" s="658">
        <f t="shared" si="58"/>
        <v>24421.599999999999</v>
      </c>
      <c r="P14" s="658">
        <f t="shared" si="58"/>
        <v>24421.599999999999</v>
      </c>
      <c r="Q14" s="658">
        <f t="shared" si="58"/>
        <v>24421.599999999999</v>
      </c>
      <c r="R14" s="658">
        <f t="shared" si="58"/>
        <v>24421.599999999999</v>
      </c>
      <c r="S14" s="658">
        <f t="shared" si="58"/>
        <v>24421.599999999999</v>
      </c>
      <c r="T14" s="658">
        <f t="shared" si="58"/>
        <v>24421.599999999999</v>
      </c>
      <c r="U14" s="658">
        <f t="shared" si="58"/>
        <v>24421.599999999999</v>
      </c>
      <c r="V14" s="658">
        <f t="shared" si="58"/>
        <v>24421.599999999999</v>
      </c>
      <c r="W14" s="658">
        <f t="shared" si="58"/>
        <v>24421.599999999999</v>
      </c>
      <c r="X14" s="658">
        <f t="shared" si="58"/>
        <v>24421.599999999999</v>
      </c>
      <c r="Y14" s="658">
        <f t="shared" si="58"/>
        <v>24421.599999999999</v>
      </c>
      <c r="Z14" s="658">
        <f t="shared" si="58"/>
        <v>24421.599999999999</v>
      </c>
      <c r="AA14" s="658">
        <f t="shared" si="58"/>
        <v>24421.599999999999</v>
      </c>
      <c r="AB14" s="658">
        <f t="shared" si="58"/>
        <v>24421.599999999999</v>
      </c>
      <c r="AC14" s="658">
        <f t="shared" si="58"/>
        <v>24421.599999999999</v>
      </c>
      <c r="AD14" s="658">
        <f t="shared" si="58"/>
        <v>24421.599999999999</v>
      </c>
      <c r="AE14" s="658">
        <f t="shared" si="58"/>
        <v>24421.599999999999</v>
      </c>
      <c r="AF14" s="658">
        <f t="shared" si="58"/>
        <v>24421.599999999999</v>
      </c>
      <c r="AG14" s="658">
        <f t="shared" si="58"/>
        <v>24421.599999999999</v>
      </c>
      <c r="AH14" s="658">
        <f t="shared" si="58"/>
        <v>24421.599999999999</v>
      </c>
      <c r="AI14" s="658">
        <f t="shared" si="58"/>
        <v>24421.599999999999</v>
      </c>
      <c r="AJ14" s="658">
        <f t="shared" si="58"/>
        <v>24421.599999999999</v>
      </c>
      <c r="AK14" s="658">
        <f t="shared" si="58"/>
        <v>24421.599999999999</v>
      </c>
      <c r="AL14" s="658">
        <f t="shared" si="58"/>
        <v>24421.599999999999</v>
      </c>
      <c r="AM14" s="658">
        <f t="shared" si="58"/>
        <v>24421.599999999999</v>
      </c>
      <c r="AN14" s="658">
        <f t="shared" si="58"/>
        <v>24421.599999999999</v>
      </c>
      <c r="AO14" s="658">
        <f t="shared" si="58"/>
        <v>24421.599999999999</v>
      </c>
      <c r="AP14" s="658">
        <f t="shared" si="58"/>
        <v>24421.599999999999</v>
      </c>
      <c r="AQ14" s="658">
        <f t="shared" ref="AQ14:BF14" si="59">AP14</f>
        <v>24421.599999999999</v>
      </c>
      <c r="AR14" s="658">
        <f t="shared" si="59"/>
        <v>24421.599999999999</v>
      </c>
      <c r="AS14" s="658">
        <f t="shared" si="59"/>
        <v>24421.599999999999</v>
      </c>
      <c r="AT14" s="658">
        <f t="shared" si="59"/>
        <v>24421.599999999999</v>
      </c>
      <c r="AU14" s="658">
        <f t="shared" si="59"/>
        <v>24421.599999999999</v>
      </c>
      <c r="AV14" s="658">
        <f t="shared" si="59"/>
        <v>24421.599999999999</v>
      </c>
      <c r="AW14" s="658">
        <f t="shared" si="59"/>
        <v>24421.599999999999</v>
      </c>
      <c r="AX14" s="658">
        <f t="shared" si="59"/>
        <v>24421.599999999999</v>
      </c>
      <c r="AY14" s="658">
        <f t="shared" si="59"/>
        <v>24421.599999999999</v>
      </c>
      <c r="AZ14" s="658">
        <f t="shared" si="59"/>
        <v>24421.599999999999</v>
      </c>
      <c r="BA14" s="658">
        <f t="shared" si="59"/>
        <v>24421.599999999999</v>
      </c>
      <c r="BB14" s="658">
        <f t="shared" si="59"/>
        <v>24421.599999999999</v>
      </c>
      <c r="BC14" s="658">
        <f t="shared" si="59"/>
        <v>24421.599999999999</v>
      </c>
      <c r="BD14" s="658">
        <f t="shared" si="59"/>
        <v>24421.599999999999</v>
      </c>
      <c r="BE14" s="658">
        <f t="shared" si="59"/>
        <v>24421.599999999999</v>
      </c>
      <c r="BF14" s="658">
        <f t="shared" si="59"/>
        <v>24421.599999999999</v>
      </c>
      <c r="BG14" s="658">
        <f t="shared" ref="BG14:BV14" si="60">BF14</f>
        <v>24421.599999999999</v>
      </c>
      <c r="BH14" s="658">
        <f t="shared" si="60"/>
        <v>24421.599999999999</v>
      </c>
      <c r="BI14" s="658">
        <f t="shared" si="60"/>
        <v>24421.599999999999</v>
      </c>
      <c r="BJ14" s="658">
        <f t="shared" si="60"/>
        <v>24421.599999999999</v>
      </c>
      <c r="BK14" s="658">
        <f t="shared" si="60"/>
        <v>24421.599999999999</v>
      </c>
      <c r="BL14" s="658">
        <f t="shared" si="60"/>
        <v>24421.599999999999</v>
      </c>
      <c r="BM14" s="658">
        <f t="shared" si="60"/>
        <v>24421.599999999999</v>
      </c>
      <c r="BN14" s="658">
        <f t="shared" si="60"/>
        <v>24421.599999999999</v>
      </c>
      <c r="BO14" s="658">
        <f t="shared" si="60"/>
        <v>24421.599999999999</v>
      </c>
      <c r="BP14" s="658">
        <f t="shared" si="60"/>
        <v>24421.599999999999</v>
      </c>
      <c r="BQ14" s="658">
        <f t="shared" si="60"/>
        <v>24421.599999999999</v>
      </c>
      <c r="BR14" s="658">
        <f t="shared" si="60"/>
        <v>24421.599999999999</v>
      </c>
      <c r="BS14" s="658">
        <f t="shared" si="60"/>
        <v>24421.599999999999</v>
      </c>
      <c r="BT14" s="658">
        <f t="shared" si="60"/>
        <v>24421.599999999999</v>
      </c>
      <c r="BU14" s="658">
        <f t="shared" si="60"/>
        <v>24421.599999999999</v>
      </c>
      <c r="BV14" s="658">
        <f t="shared" si="60"/>
        <v>24421.599999999999</v>
      </c>
      <c r="BW14" s="658">
        <f t="shared" ref="BW14:CI14" si="61">BV14</f>
        <v>24421.599999999999</v>
      </c>
      <c r="BX14" s="658">
        <f t="shared" si="61"/>
        <v>24421.599999999999</v>
      </c>
      <c r="BY14" s="658">
        <f t="shared" si="61"/>
        <v>24421.599999999999</v>
      </c>
      <c r="BZ14" s="658">
        <f t="shared" si="61"/>
        <v>24421.599999999999</v>
      </c>
      <c r="CA14" s="658">
        <f t="shared" si="61"/>
        <v>24421.599999999999</v>
      </c>
      <c r="CB14" s="658">
        <f t="shared" si="61"/>
        <v>24421.599999999999</v>
      </c>
      <c r="CC14" s="658">
        <f t="shared" si="61"/>
        <v>24421.599999999999</v>
      </c>
      <c r="CD14" s="658">
        <f t="shared" si="61"/>
        <v>24421.599999999999</v>
      </c>
      <c r="CE14" s="658">
        <f t="shared" si="61"/>
        <v>24421.599999999999</v>
      </c>
      <c r="CF14" s="658">
        <f t="shared" si="61"/>
        <v>24421.599999999999</v>
      </c>
      <c r="CG14" s="658">
        <f t="shared" si="61"/>
        <v>24421.599999999999</v>
      </c>
      <c r="CH14" s="658">
        <f t="shared" si="61"/>
        <v>24421.599999999999</v>
      </c>
      <c r="CI14" s="658">
        <f t="shared" si="61"/>
        <v>24421.599999999999</v>
      </c>
    </row>
    <row r="15" spans="1:87" x14ac:dyDescent="0.25">
      <c r="A15" s="131">
        <v>7</v>
      </c>
      <c r="B15" s="385">
        <v>12</v>
      </c>
      <c r="C15" s="385">
        <v>4.53</v>
      </c>
      <c r="D15" s="385">
        <v>3.7247999999999997</v>
      </c>
      <c r="E15" s="385">
        <v>0.46</v>
      </c>
      <c r="F15" s="649">
        <f t="shared" si="49"/>
        <v>20.7148</v>
      </c>
      <c r="G15" s="649"/>
      <c r="H15" s="649"/>
      <c r="J15" s="657" t="s">
        <v>2474</v>
      </c>
      <c r="K15" s="658">
        <f>B6</f>
        <v>13391</v>
      </c>
      <c r="L15" s="663">
        <f>B26</f>
        <v>9373.6999999999989</v>
      </c>
      <c r="M15" s="658">
        <f t="shared" ref="M15:AP15" si="62">L15</f>
        <v>9373.6999999999989</v>
      </c>
      <c r="N15" s="658">
        <f t="shared" si="62"/>
        <v>9373.6999999999989</v>
      </c>
      <c r="O15" s="658">
        <f t="shared" si="62"/>
        <v>9373.6999999999989</v>
      </c>
      <c r="P15" s="658">
        <f t="shared" si="62"/>
        <v>9373.6999999999989</v>
      </c>
      <c r="Q15" s="658">
        <f t="shared" si="62"/>
        <v>9373.6999999999989</v>
      </c>
      <c r="R15" s="658">
        <f t="shared" si="62"/>
        <v>9373.6999999999989</v>
      </c>
      <c r="S15" s="658">
        <f t="shared" si="62"/>
        <v>9373.6999999999989</v>
      </c>
      <c r="T15" s="658">
        <f t="shared" si="62"/>
        <v>9373.6999999999989</v>
      </c>
      <c r="U15" s="658">
        <f t="shared" si="62"/>
        <v>9373.6999999999989</v>
      </c>
      <c r="V15" s="658">
        <f t="shared" si="62"/>
        <v>9373.6999999999989</v>
      </c>
      <c r="W15" s="658">
        <f t="shared" si="62"/>
        <v>9373.6999999999989</v>
      </c>
      <c r="X15" s="658">
        <f t="shared" si="62"/>
        <v>9373.6999999999989</v>
      </c>
      <c r="Y15" s="658">
        <f t="shared" si="62"/>
        <v>9373.6999999999989</v>
      </c>
      <c r="Z15" s="658">
        <f t="shared" si="62"/>
        <v>9373.6999999999989</v>
      </c>
      <c r="AA15" s="658">
        <f t="shared" si="62"/>
        <v>9373.6999999999989</v>
      </c>
      <c r="AB15" s="658">
        <f t="shared" si="62"/>
        <v>9373.6999999999989</v>
      </c>
      <c r="AC15" s="658">
        <f t="shared" si="62"/>
        <v>9373.6999999999989</v>
      </c>
      <c r="AD15" s="658">
        <f t="shared" si="62"/>
        <v>9373.6999999999989</v>
      </c>
      <c r="AE15" s="658">
        <f t="shared" si="62"/>
        <v>9373.6999999999989</v>
      </c>
      <c r="AF15" s="658">
        <f t="shared" si="62"/>
        <v>9373.6999999999989</v>
      </c>
      <c r="AG15" s="658">
        <f t="shared" si="62"/>
        <v>9373.6999999999989</v>
      </c>
      <c r="AH15" s="658">
        <f t="shared" si="62"/>
        <v>9373.6999999999989</v>
      </c>
      <c r="AI15" s="658">
        <f t="shared" si="62"/>
        <v>9373.6999999999989</v>
      </c>
      <c r="AJ15" s="658">
        <f t="shared" si="62"/>
        <v>9373.6999999999989</v>
      </c>
      <c r="AK15" s="658">
        <f t="shared" si="62"/>
        <v>9373.6999999999989</v>
      </c>
      <c r="AL15" s="658">
        <f t="shared" si="62"/>
        <v>9373.6999999999989</v>
      </c>
      <c r="AM15" s="658">
        <f t="shared" si="62"/>
        <v>9373.6999999999989</v>
      </c>
      <c r="AN15" s="658">
        <f t="shared" si="62"/>
        <v>9373.6999999999989</v>
      </c>
      <c r="AO15" s="658">
        <f t="shared" si="62"/>
        <v>9373.6999999999989</v>
      </c>
      <c r="AP15" s="658">
        <f t="shared" si="62"/>
        <v>9373.6999999999989</v>
      </c>
      <c r="AQ15" s="658">
        <f t="shared" ref="AQ15:BF15" si="63">AP15</f>
        <v>9373.6999999999989</v>
      </c>
      <c r="AR15" s="658">
        <f t="shared" si="63"/>
        <v>9373.6999999999989</v>
      </c>
      <c r="AS15" s="658">
        <f t="shared" si="63"/>
        <v>9373.6999999999989</v>
      </c>
      <c r="AT15" s="658">
        <f t="shared" si="63"/>
        <v>9373.6999999999989</v>
      </c>
      <c r="AU15" s="658">
        <f t="shared" si="63"/>
        <v>9373.6999999999989</v>
      </c>
      <c r="AV15" s="658">
        <f t="shared" si="63"/>
        <v>9373.6999999999989</v>
      </c>
      <c r="AW15" s="658">
        <f t="shared" si="63"/>
        <v>9373.6999999999989</v>
      </c>
      <c r="AX15" s="658">
        <f t="shared" si="63"/>
        <v>9373.6999999999989</v>
      </c>
      <c r="AY15" s="658">
        <f t="shared" si="63"/>
        <v>9373.6999999999989</v>
      </c>
      <c r="AZ15" s="658">
        <f t="shared" si="63"/>
        <v>9373.6999999999989</v>
      </c>
      <c r="BA15" s="658">
        <f t="shared" si="63"/>
        <v>9373.6999999999989</v>
      </c>
      <c r="BB15" s="658">
        <f t="shared" si="63"/>
        <v>9373.6999999999989</v>
      </c>
      <c r="BC15" s="658">
        <f t="shared" si="63"/>
        <v>9373.6999999999989</v>
      </c>
      <c r="BD15" s="658">
        <f t="shared" si="63"/>
        <v>9373.6999999999989</v>
      </c>
      <c r="BE15" s="658">
        <f t="shared" si="63"/>
        <v>9373.6999999999989</v>
      </c>
      <c r="BF15" s="658">
        <f t="shared" si="63"/>
        <v>9373.6999999999989</v>
      </c>
      <c r="BG15" s="658">
        <f t="shared" ref="BG15:BV15" si="64">BF15</f>
        <v>9373.6999999999989</v>
      </c>
      <c r="BH15" s="658">
        <f t="shared" si="64"/>
        <v>9373.6999999999989</v>
      </c>
      <c r="BI15" s="658">
        <f t="shared" si="64"/>
        <v>9373.6999999999989</v>
      </c>
      <c r="BJ15" s="658">
        <f t="shared" si="64"/>
        <v>9373.6999999999989</v>
      </c>
      <c r="BK15" s="658">
        <f t="shared" si="64"/>
        <v>9373.6999999999989</v>
      </c>
      <c r="BL15" s="658">
        <f t="shared" si="64"/>
        <v>9373.6999999999989</v>
      </c>
      <c r="BM15" s="658">
        <f t="shared" si="64"/>
        <v>9373.6999999999989</v>
      </c>
      <c r="BN15" s="658">
        <f t="shared" si="64"/>
        <v>9373.6999999999989</v>
      </c>
      <c r="BO15" s="658">
        <f t="shared" si="64"/>
        <v>9373.6999999999989</v>
      </c>
      <c r="BP15" s="658">
        <f t="shared" si="64"/>
        <v>9373.6999999999989</v>
      </c>
      <c r="BQ15" s="658">
        <f t="shared" si="64"/>
        <v>9373.6999999999989</v>
      </c>
      <c r="BR15" s="658">
        <f t="shared" si="64"/>
        <v>9373.6999999999989</v>
      </c>
      <c r="BS15" s="658">
        <f t="shared" si="64"/>
        <v>9373.6999999999989</v>
      </c>
      <c r="BT15" s="658">
        <f t="shared" si="64"/>
        <v>9373.6999999999989</v>
      </c>
      <c r="BU15" s="658">
        <f t="shared" si="64"/>
        <v>9373.6999999999989</v>
      </c>
      <c r="BV15" s="658">
        <f t="shared" si="64"/>
        <v>9373.6999999999989</v>
      </c>
      <c r="BW15" s="658">
        <f t="shared" ref="BW15:CI15" si="65">BV15</f>
        <v>9373.6999999999989</v>
      </c>
      <c r="BX15" s="658">
        <f t="shared" si="65"/>
        <v>9373.6999999999989</v>
      </c>
      <c r="BY15" s="658">
        <f t="shared" si="65"/>
        <v>9373.6999999999989</v>
      </c>
      <c r="BZ15" s="658">
        <f t="shared" si="65"/>
        <v>9373.6999999999989</v>
      </c>
      <c r="CA15" s="658">
        <f t="shared" si="65"/>
        <v>9373.6999999999989</v>
      </c>
      <c r="CB15" s="658">
        <f t="shared" si="65"/>
        <v>9373.6999999999989</v>
      </c>
      <c r="CC15" s="658">
        <f t="shared" si="65"/>
        <v>9373.6999999999989</v>
      </c>
      <c r="CD15" s="658">
        <f t="shared" si="65"/>
        <v>9373.6999999999989</v>
      </c>
      <c r="CE15" s="658">
        <f t="shared" si="65"/>
        <v>9373.6999999999989</v>
      </c>
      <c r="CF15" s="658">
        <f t="shared" si="65"/>
        <v>9373.6999999999989</v>
      </c>
      <c r="CG15" s="658">
        <f t="shared" si="65"/>
        <v>9373.6999999999989</v>
      </c>
      <c r="CH15" s="658">
        <f t="shared" si="65"/>
        <v>9373.6999999999989</v>
      </c>
      <c r="CI15" s="658">
        <f t="shared" si="65"/>
        <v>9373.6999999999989</v>
      </c>
    </row>
    <row r="16" spans="1:87" x14ac:dyDescent="0.25">
      <c r="A16" s="131">
        <v>6</v>
      </c>
      <c r="B16" s="648">
        <v>11.26</v>
      </c>
      <c r="C16" s="648">
        <v>4.17</v>
      </c>
      <c r="D16" s="648">
        <v>3.3367999999999998</v>
      </c>
      <c r="E16" s="648">
        <v>0.41</v>
      </c>
      <c r="F16" s="649">
        <f t="shared" si="49"/>
        <v>19.1768</v>
      </c>
      <c r="G16" s="649"/>
      <c r="H16" s="649"/>
      <c r="J16" s="657" t="s">
        <v>2475</v>
      </c>
      <c r="K16" s="658">
        <f>B7</f>
        <v>11289</v>
      </c>
      <c r="L16" s="663">
        <f>B27</f>
        <v>7902.2999999999993</v>
      </c>
      <c r="M16" s="658">
        <f t="shared" ref="M16:AP16" si="66">L16</f>
        <v>7902.2999999999993</v>
      </c>
      <c r="N16" s="658">
        <f t="shared" si="66"/>
        <v>7902.2999999999993</v>
      </c>
      <c r="O16" s="658">
        <f t="shared" si="66"/>
        <v>7902.2999999999993</v>
      </c>
      <c r="P16" s="658">
        <f t="shared" si="66"/>
        <v>7902.2999999999993</v>
      </c>
      <c r="Q16" s="658">
        <f t="shared" si="66"/>
        <v>7902.2999999999993</v>
      </c>
      <c r="R16" s="658">
        <f t="shared" si="66"/>
        <v>7902.2999999999993</v>
      </c>
      <c r="S16" s="658">
        <f t="shared" si="66"/>
        <v>7902.2999999999993</v>
      </c>
      <c r="T16" s="658">
        <f t="shared" si="66"/>
        <v>7902.2999999999993</v>
      </c>
      <c r="U16" s="658">
        <f t="shared" si="66"/>
        <v>7902.2999999999993</v>
      </c>
      <c r="V16" s="658">
        <f t="shared" si="66"/>
        <v>7902.2999999999993</v>
      </c>
      <c r="W16" s="658">
        <f t="shared" si="66"/>
        <v>7902.2999999999993</v>
      </c>
      <c r="X16" s="658">
        <f t="shared" si="66"/>
        <v>7902.2999999999993</v>
      </c>
      <c r="Y16" s="658">
        <f t="shared" si="66"/>
        <v>7902.2999999999993</v>
      </c>
      <c r="Z16" s="658">
        <f t="shared" si="66"/>
        <v>7902.2999999999993</v>
      </c>
      <c r="AA16" s="658">
        <f t="shared" si="66"/>
        <v>7902.2999999999993</v>
      </c>
      <c r="AB16" s="658">
        <f t="shared" si="66"/>
        <v>7902.2999999999993</v>
      </c>
      <c r="AC16" s="658">
        <f t="shared" si="66"/>
        <v>7902.2999999999993</v>
      </c>
      <c r="AD16" s="658">
        <f t="shared" si="66"/>
        <v>7902.2999999999993</v>
      </c>
      <c r="AE16" s="658">
        <f t="shared" si="66"/>
        <v>7902.2999999999993</v>
      </c>
      <c r="AF16" s="658">
        <f t="shared" si="66"/>
        <v>7902.2999999999993</v>
      </c>
      <c r="AG16" s="658">
        <f t="shared" si="66"/>
        <v>7902.2999999999993</v>
      </c>
      <c r="AH16" s="658">
        <f t="shared" si="66"/>
        <v>7902.2999999999993</v>
      </c>
      <c r="AI16" s="658">
        <f t="shared" si="66"/>
        <v>7902.2999999999993</v>
      </c>
      <c r="AJ16" s="658">
        <f t="shared" si="66"/>
        <v>7902.2999999999993</v>
      </c>
      <c r="AK16" s="658">
        <f t="shared" si="66"/>
        <v>7902.2999999999993</v>
      </c>
      <c r="AL16" s="658">
        <f t="shared" si="66"/>
        <v>7902.2999999999993</v>
      </c>
      <c r="AM16" s="658">
        <f t="shared" si="66"/>
        <v>7902.2999999999993</v>
      </c>
      <c r="AN16" s="658">
        <f t="shared" si="66"/>
        <v>7902.2999999999993</v>
      </c>
      <c r="AO16" s="658">
        <f t="shared" si="66"/>
        <v>7902.2999999999993</v>
      </c>
      <c r="AP16" s="658">
        <f t="shared" si="66"/>
        <v>7902.2999999999993</v>
      </c>
      <c r="AQ16" s="658">
        <f t="shared" ref="AQ16:BF16" si="67">AP16</f>
        <v>7902.2999999999993</v>
      </c>
      <c r="AR16" s="658">
        <f t="shared" si="67"/>
        <v>7902.2999999999993</v>
      </c>
      <c r="AS16" s="658">
        <f t="shared" si="67"/>
        <v>7902.2999999999993</v>
      </c>
      <c r="AT16" s="658">
        <f t="shared" si="67"/>
        <v>7902.2999999999993</v>
      </c>
      <c r="AU16" s="658">
        <f t="shared" si="67"/>
        <v>7902.2999999999993</v>
      </c>
      <c r="AV16" s="658">
        <f t="shared" si="67"/>
        <v>7902.2999999999993</v>
      </c>
      <c r="AW16" s="658">
        <f t="shared" si="67"/>
        <v>7902.2999999999993</v>
      </c>
      <c r="AX16" s="658">
        <f t="shared" si="67"/>
        <v>7902.2999999999993</v>
      </c>
      <c r="AY16" s="658">
        <f t="shared" si="67"/>
        <v>7902.2999999999993</v>
      </c>
      <c r="AZ16" s="658">
        <f t="shared" si="67"/>
        <v>7902.2999999999993</v>
      </c>
      <c r="BA16" s="658">
        <f t="shared" si="67"/>
        <v>7902.2999999999993</v>
      </c>
      <c r="BB16" s="658">
        <f t="shared" si="67"/>
        <v>7902.2999999999993</v>
      </c>
      <c r="BC16" s="658">
        <f t="shared" si="67"/>
        <v>7902.2999999999993</v>
      </c>
      <c r="BD16" s="658">
        <f t="shared" si="67"/>
        <v>7902.2999999999993</v>
      </c>
      <c r="BE16" s="658">
        <f t="shared" si="67"/>
        <v>7902.2999999999993</v>
      </c>
      <c r="BF16" s="658">
        <f t="shared" si="67"/>
        <v>7902.2999999999993</v>
      </c>
      <c r="BG16" s="658">
        <f t="shared" ref="BG16:BV16" si="68">BF16</f>
        <v>7902.2999999999993</v>
      </c>
      <c r="BH16" s="658">
        <f t="shared" si="68"/>
        <v>7902.2999999999993</v>
      </c>
      <c r="BI16" s="658">
        <f t="shared" si="68"/>
        <v>7902.2999999999993</v>
      </c>
      <c r="BJ16" s="658">
        <f t="shared" si="68"/>
        <v>7902.2999999999993</v>
      </c>
      <c r="BK16" s="658">
        <f t="shared" si="68"/>
        <v>7902.2999999999993</v>
      </c>
      <c r="BL16" s="658">
        <f t="shared" si="68"/>
        <v>7902.2999999999993</v>
      </c>
      <c r="BM16" s="658">
        <f t="shared" si="68"/>
        <v>7902.2999999999993</v>
      </c>
      <c r="BN16" s="658">
        <f t="shared" si="68"/>
        <v>7902.2999999999993</v>
      </c>
      <c r="BO16" s="658">
        <f t="shared" si="68"/>
        <v>7902.2999999999993</v>
      </c>
      <c r="BP16" s="658">
        <f t="shared" si="68"/>
        <v>7902.2999999999993</v>
      </c>
      <c r="BQ16" s="658">
        <f t="shared" si="68"/>
        <v>7902.2999999999993</v>
      </c>
      <c r="BR16" s="658">
        <f t="shared" si="68"/>
        <v>7902.2999999999993</v>
      </c>
      <c r="BS16" s="658">
        <f t="shared" si="68"/>
        <v>7902.2999999999993</v>
      </c>
      <c r="BT16" s="658">
        <f t="shared" si="68"/>
        <v>7902.2999999999993</v>
      </c>
      <c r="BU16" s="658">
        <f t="shared" si="68"/>
        <v>7902.2999999999993</v>
      </c>
      <c r="BV16" s="658">
        <f t="shared" si="68"/>
        <v>7902.2999999999993</v>
      </c>
      <c r="BW16" s="658">
        <f t="shared" ref="BW16:CI16" si="69">BV16</f>
        <v>7902.2999999999993</v>
      </c>
      <c r="BX16" s="658">
        <f t="shared" si="69"/>
        <v>7902.2999999999993</v>
      </c>
      <c r="BY16" s="658">
        <f t="shared" si="69"/>
        <v>7902.2999999999993</v>
      </c>
      <c r="BZ16" s="658">
        <f t="shared" si="69"/>
        <v>7902.2999999999993</v>
      </c>
      <c r="CA16" s="658">
        <f t="shared" si="69"/>
        <v>7902.2999999999993</v>
      </c>
      <c r="CB16" s="658">
        <f t="shared" si="69"/>
        <v>7902.2999999999993</v>
      </c>
      <c r="CC16" s="658">
        <f t="shared" si="69"/>
        <v>7902.2999999999993</v>
      </c>
      <c r="CD16" s="658">
        <f t="shared" si="69"/>
        <v>7902.2999999999993</v>
      </c>
      <c r="CE16" s="658">
        <f t="shared" si="69"/>
        <v>7902.2999999999993</v>
      </c>
      <c r="CF16" s="658">
        <f t="shared" si="69"/>
        <v>7902.2999999999993</v>
      </c>
      <c r="CG16" s="658">
        <f t="shared" si="69"/>
        <v>7902.2999999999993</v>
      </c>
      <c r="CH16" s="658">
        <f t="shared" si="69"/>
        <v>7902.2999999999993</v>
      </c>
      <c r="CI16" s="658">
        <f t="shared" si="69"/>
        <v>7902.2999999999993</v>
      </c>
    </row>
    <row r="17" spans="1:87" x14ac:dyDescent="0.25">
      <c r="A17" s="131">
        <v>5</v>
      </c>
      <c r="B17" s="385">
        <v>10.52</v>
      </c>
      <c r="C17" s="385">
        <v>3.81</v>
      </c>
      <c r="D17" s="385">
        <v>2.9390999999999998</v>
      </c>
      <c r="E17" s="385">
        <v>0.35</v>
      </c>
      <c r="F17" s="649">
        <f t="shared" si="49"/>
        <v>17.6191</v>
      </c>
      <c r="G17" s="649"/>
      <c r="H17" s="649"/>
      <c r="J17" s="657" t="s">
        <v>2476</v>
      </c>
      <c r="K17" s="658">
        <f>B8</f>
        <v>1397</v>
      </c>
      <c r="L17" s="663">
        <f>B28</f>
        <v>977.9</v>
      </c>
      <c r="M17" s="658">
        <f t="shared" ref="M17:AP17" si="70">L17</f>
        <v>977.9</v>
      </c>
      <c r="N17" s="658">
        <f t="shared" si="70"/>
        <v>977.9</v>
      </c>
      <c r="O17" s="658">
        <f t="shared" si="70"/>
        <v>977.9</v>
      </c>
      <c r="P17" s="658">
        <f t="shared" si="70"/>
        <v>977.9</v>
      </c>
      <c r="Q17" s="658">
        <f t="shared" si="70"/>
        <v>977.9</v>
      </c>
      <c r="R17" s="658">
        <f t="shared" si="70"/>
        <v>977.9</v>
      </c>
      <c r="S17" s="658">
        <f t="shared" si="70"/>
        <v>977.9</v>
      </c>
      <c r="T17" s="658">
        <f t="shared" si="70"/>
        <v>977.9</v>
      </c>
      <c r="U17" s="658">
        <f t="shared" si="70"/>
        <v>977.9</v>
      </c>
      <c r="V17" s="658">
        <f t="shared" si="70"/>
        <v>977.9</v>
      </c>
      <c r="W17" s="658">
        <f t="shared" si="70"/>
        <v>977.9</v>
      </c>
      <c r="X17" s="658">
        <f t="shared" si="70"/>
        <v>977.9</v>
      </c>
      <c r="Y17" s="658">
        <f t="shared" si="70"/>
        <v>977.9</v>
      </c>
      <c r="Z17" s="658">
        <f t="shared" si="70"/>
        <v>977.9</v>
      </c>
      <c r="AA17" s="658">
        <f t="shared" si="70"/>
        <v>977.9</v>
      </c>
      <c r="AB17" s="658">
        <f t="shared" si="70"/>
        <v>977.9</v>
      </c>
      <c r="AC17" s="658">
        <f t="shared" si="70"/>
        <v>977.9</v>
      </c>
      <c r="AD17" s="658">
        <f t="shared" si="70"/>
        <v>977.9</v>
      </c>
      <c r="AE17" s="658">
        <f t="shared" si="70"/>
        <v>977.9</v>
      </c>
      <c r="AF17" s="658">
        <f t="shared" si="70"/>
        <v>977.9</v>
      </c>
      <c r="AG17" s="658">
        <f t="shared" si="70"/>
        <v>977.9</v>
      </c>
      <c r="AH17" s="658">
        <f t="shared" si="70"/>
        <v>977.9</v>
      </c>
      <c r="AI17" s="658">
        <f t="shared" si="70"/>
        <v>977.9</v>
      </c>
      <c r="AJ17" s="658">
        <f t="shared" si="70"/>
        <v>977.9</v>
      </c>
      <c r="AK17" s="658">
        <f t="shared" si="70"/>
        <v>977.9</v>
      </c>
      <c r="AL17" s="658">
        <f t="shared" si="70"/>
        <v>977.9</v>
      </c>
      <c r="AM17" s="658">
        <f t="shared" si="70"/>
        <v>977.9</v>
      </c>
      <c r="AN17" s="658">
        <f t="shared" si="70"/>
        <v>977.9</v>
      </c>
      <c r="AO17" s="658">
        <f t="shared" si="70"/>
        <v>977.9</v>
      </c>
      <c r="AP17" s="658">
        <f t="shared" si="70"/>
        <v>977.9</v>
      </c>
      <c r="AQ17" s="658">
        <f t="shared" ref="AQ17:BF17" si="71">AP17</f>
        <v>977.9</v>
      </c>
      <c r="AR17" s="658">
        <f t="shared" si="71"/>
        <v>977.9</v>
      </c>
      <c r="AS17" s="658">
        <f t="shared" si="71"/>
        <v>977.9</v>
      </c>
      <c r="AT17" s="658">
        <f t="shared" si="71"/>
        <v>977.9</v>
      </c>
      <c r="AU17" s="658">
        <f t="shared" si="71"/>
        <v>977.9</v>
      </c>
      <c r="AV17" s="658">
        <f t="shared" si="71"/>
        <v>977.9</v>
      </c>
      <c r="AW17" s="658">
        <f t="shared" si="71"/>
        <v>977.9</v>
      </c>
      <c r="AX17" s="658">
        <f t="shared" si="71"/>
        <v>977.9</v>
      </c>
      <c r="AY17" s="658">
        <f t="shared" si="71"/>
        <v>977.9</v>
      </c>
      <c r="AZ17" s="658">
        <f t="shared" si="71"/>
        <v>977.9</v>
      </c>
      <c r="BA17" s="658">
        <f t="shared" si="71"/>
        <v>977.9</v>
      </c>
      <c r="BB17" s="658">
        <f t="shared" si="71"/>
        <v>977.9</v>
      </c>
      <c r="BC17" s="658">
        <f t="shared" si="71"/>
        <v>977.9</v>
      </c>
      <c r="BD17" s="658">
        <f t="shared" si="71"/>
        <v>977.9</v>
      </c>
      <c r="BE17" s="658">
        <f t="shared" si="71"/>
        <v>977.9</v>
      </c>
      <c r="BF17" s="658">
        <f t="shared" si="71"/>
        <v>977.9</v>
      </c>
      <c r="BG17" s="658">
        <f t="shared" ref="BG17:BV17" si="72">BF17</f>
        <v>977.9</v>
      </c>
      <c r="BH17" s="658">
        <f t="shared" si="72"/>
        <v>977.9</v>
      </c>
      <c r="BI17" s="658">
        <f t="shared" si="72"/>
        <v>977.9</v>
      </c>
      <c r="BJ17" s="658">
        <f t="shared" si="72"/>
        <v>977.9</v>
      </c>
      <c r="BK17" s="658">
        <f t="shared" si="72"/>
        <v>977.9</v>
      </c>
      <c r="BL17" s="658">
        <f t="shared" si="72"/>
        <v>977.9</v>
      </c>
      <c r="BM17" s="658">
        <f t="shared" si="72"/>
        <v>977.9</v>
      </c>
      <c r="BN17" s="658">
        <f t="shared" si="72"/>
        <v>977.9</v>
      </c>
      <c r="BO17" s="658">
        <f t="shared" si="72"/>
        <v>977.9</v>
      </c>
      <c r="BP17" s="658">
        <f t="shared" si="72"/>
        <v>977.9</v>
      </c>
      <c r="BQ17" s="658">
        <f t="shared" si="72"/>
        <v>977.9</v>
      </c>
      <c r="BR17" s="658">
        <f t="shared" si="72"/>
        <v>977.9</v>
      </c>
      <c r="BS17" s="658">
        <f t="shared" si="72"/>
        <v>977.9</v>
      </c>
      <c r="BT17" s="658">
        <f t="shared" si="72"/>
        <v>977.9</v>
      </c>
      <c r="BU17" s="658">
        <f t="shared" si="72"/>
        <v>977.9</v>
      </c>
      <c r="BV17" s="658">
        <f t="shared" si="72"/>
        <v>977.9</v>
      </c>
      <c r="BW17" s="658">
        <f t="shared" ref="BW17:CI17" si="73">BV17</f>
        <v>977.9</v>
      </c>
      <c r="BX17" s="658">
        <f t="shared" si="73"/>
        <v>977.9</v>
      </c>
      <c r="BY17" s="658">
        <f t="shared" si="73"/>
        <v>977.9</v>
      </c>
      <c r="BZ17" s="658">
        <f t="shared" si="73"/>
        <v>977.9</v>
      </c>
      <c r="CA17" s="658">
        <f t="shared" si="73"/>
        <v>977.9</v>
      </c>
      <c r="CB17" s="658">
        <f t="shared" si="73"/>
        <v>977.9</v>
      </c>
      <c r="CC17" s="658">
        <f t="shared" si="73"/>
        <v>977.9</v>
      </c>
      <c r="CD17" s="658">
        <f t="shared" si="73"/>
        <v>977.9</v>
      </c>
      <c r="CE17" s="658">
        <f t="shared" si="73"/>
        <v>977.9</v>
      </c>
      <c r="CF17" s="658">
        <f t="shared" si="73"/>
        <v>977.9</v>
      </c>
      <c r="CG17" s="658">
        <f t="shared" si="73"/>
        <v>977.9</v>
      </c>
      <c r="CH17" s="658">
        <f t="shared" si="73"/>
        <v>977.9</v>
      </c>
      <c r="CI17" s="658">
        <f t="shared" si="73"/>
        <v>977.9</v>
      </c>
    </row>
    <row r="18" spans="1:87" x14ac:dyDescent="0.25">
      <c r="A18" s="131">
        <v>4</v>
      </c>
      <c r="B18" s="648">
        <v>9.8000000000000007</v>
      </c>
      <c r="C18" s="648">
        <v>3.46</v>
      </c>
      <c r="D18" s="648">
        <v>2.5510999999999999</v>
      </c>
      <c r="E18" s="648">
        <v>0.3</v>
      </c>
      <c r="F18" s="649">
        <f t="shared" si="49"/>
        <v>16.1111</v>
      </c>
      <c r="G18" s="649"/>
      <c r="H18" s="649"/>
      <c r="J18" s="667" t="s">
        <v>2465</v>
      </c>
      <c r="K18" s="668">
        <f>IF(K3=1,IF(K10&gt;K6,K6*$E$5,K10*$E$5),0)</f>
        <v>175818.02000000002</v>
      </c>
      <c r="L18" s="668">
        <f t="shared" ref="L18:AP18" si="74">IF(L3=1,IF(L10&gt;L6,L6*$E$5,L10*$E$5),0)</f>
        <v>0</v>
      </c>
      <c r="M18" s="668">
        <f t="shared" si="74"/>
        <v>174403.46</v>
      </c>
      <c r="N18" s="668">
        <f t="shared" si="74"/>
        <v>0</v>
      </c>
      <c r="O18" s="668">
        <f t="shared" si="74"/>
        <v>172988.9</v>
      </c>
      <c r="P18" s="668">
        <f t="shared" si="74"/>
        <v>0</v>
      </c>
      <c r="Q18" s="668">
        <f t="shared" si="74"/>
        <v>171574.34</v>
      </c>
      <c r="R18" s="668">
        <f t="shared" si="74"/>
        <v>0</v>
      </c>
      <c r="S18" s="668">
        <f t="shared" si="74"/>
        <v>170159.78</v>
      </c>
      <c r="T18" s="668">
        <f t="shared" si="74"/>
        <v>0</v>
      </c>
      <c r="U18" s="668">
        <f t="shared" si="74"/>
        <v>168745.22</v>
      </c>
      <c r="V18" s="668">
        <f t="shared" si="74"/>
        <v>0</v>
      </c>
      <c r="W18" s="668">
        <f t="shared" si="74"/>
        <v>0</v>
      </c>
      <c r="X18" s="668">
        <f t="shared" si="74"/>
        <v>0</v>
      </c>
      <c r="Y18" s="668">
        <f t="shared" si="74"/>
        <v>165916.1</v>
      </c>
      <c r="Z18" s="668">
        <f t="shared" si="74"/>
        <v>0</v>
      </c>
      <c r="AA18" s="668">
        <f t="shared" si="74"/>
        <v>148687.93800000002</v>
      </c>
      <c r="AB18" s="668">
        <f t="shared" si="74"/>
        <v>0</v>
      </c>
      <c r="AC18" s="668">
        <f t="shared" si="74"/>
        <v>147273.37800000003</v>
      </c>
      <c r="AD18" s="668">
        <f t="shared" si="74"/>
        <v>0</v>
      </c>
      <c r="AE18" s="668">
        <f t="shared" si="74"/>
        <v>145858.81800000003</v>
      </c>
      <c r="AF18" s="668">
        <f t="shared" si="74"/>
        <v>0</v>
      </c>
      <c r="AG18" s="668">
        <f t="shared" si="74"/>
        <v>144444.25800000003</v>
      </c>
      <c r="AH18" s="668">
        <f t="shared" si="74"/>
        <v>0</v>
      </c>
      <c r="AI18" s="668">
        <f t="shared" si="74"/>
        <v>143029.698</v>
      </c>
      <c r="AJ18" s="668">
        <f t="shared" si="74"/>
        <v>0</v>
      </c>
      <c r="AK18" s="668">
        <f t="shared" si="74"/>
        <v>141615.13800000001</v>
      </c>
      <c r="AL18" s="668">
        <f t="shared" si="74"/>
        <v>0</v>
      </c>
      <c r="AM18" s="668">
        <f t="shared" si="74"/>
        <v>0</v>
      </c>
      <c r="AN18" s="668">
        <f t="shared" si="74"/>
        <v>139493.29800000001</v>
      </c>
      <c r="AO18" s="668">
        <f t="shared" si="74"/>
        <v>0</v>
      </c>
      <c r="AP18" s="668">
        <f t="shared" si="74"/>
        <v>138078.73800000001</v>
      </c>
      <c r="AQ18" s="668">
        <f t="shared" ref="AQ18:BF18" si="75">IF(AQ3=1,IF(AQ10&gt;AQ6,AQ6*$E$5,AQ10*$E$5),0)</f>
        <v>0</v>
      </c>
      <c r="AR18" s="668">
        <f t="shared" si="75"/>
        <v>123563.58420000001</v>
      </c>
      <c r="AS18" s="668">
        <f t="shared" si="75"/>
        <v>0</v>
      </c>
      <c r="AT18" s="668">
        <f t="shared" si="75"/>
        <v>122149.02420000003</v>
      </c>
      <c r="AU18" s="668">
        <f t="shared" si="75"/>
        <v>0</v>
      </c>
      <c r="AV18" s="668">
        <f t="shared" si="75"/>
        <v>120734.46420000002</v>
      </c>
      <c r="AW18" s="668">
        <f t="shared" si="75"/>
        <v>0</v>
      </c>
      <c r="AX18" s="668">
        <f t="shared" si="75"/>
        <v>119319.90420000002</v>
      </c>
      <c r="AY18" s="668">
        <f t="shared" si="75"/>
        <v>0</v>
      </c>
      <c r="AZ18" s="668">
        <f t="shared" si="75"/>
        <v>117905.34420000002</v>
      </c>
      <c r="BA18" s="668">
        <f t="shared" si="75"/>
        <v>0</v>
      </c>
      <c r="BB18" s="668">
        <f t="shared" si="75"/>
        <v>0</v>
      </c>
      <c r="BC18" s="668">
        <f t="shared" si="75"/>
        <v>0</v>
      </c>
      <c r="BD18" s="668">
        <f t="shared" si="75"/>
        <v>115076.22420000001</v>
      </c>
      <c r="BE18" s="668">
        <f t="shared" si="75"/>
        <v>0</v>
      </c>
      <c r="BF18" s="668">
        <f t="shared" si="75"/>
        <v>113661.66420000001</v>
      </c>
      <c r="BG18" s="668">
        <f t="shared" ref="BG18:BV18" si="76">IF(BG3=1,IF(BG10&gt;BG6,BG6*$E$5,BG10*$E$5),0)</f>
        <v>0</v>
      </c>
      <c r="BH18" s="668">
        <f t="shared" si="76"/>
        <v>170907.22740000003</v>
      </c>
      <c r="BI18" s="668">
        <f t="shared" si="76"/>
        <v>0</v>
      </c>
      <c r="BJ18" s="668">
        <f t="shared" si="76"/>
        <v>170907.22740000003</v>
      </c>
      <c r="BK18" s="668">
        <f t="shared" si="76"/>
        <v>0</v>
      </c>
      <c r="BL18" s="668">
        <f t="shared" si="76"/>
        <v>170907.22740000003</v>
      </c>
      <c r="BM18" s="668">
        <f t="shared" si="76"/>
        <v>0</v>
      </c>
      <c r="BN18" s="668">
        <f t="shared" si="76"/>
        <v>170907.22740000003</v>
      </c>
      <c r="BO18" s="668">
        <f t="shared" si="76"/>
        <v>0</v>
      </c>
      <c r="BP18" s="668">
        <f t="shared" si="76"/>
        <v>170907.22740000003</v>
      </c>
      <c r="BQ18" s="668">
        <f t="shared" si="76"/>
        <v>0</v>
      </c>
      <c r="BR18" s="668">
        <f t="shared" si="76"/>
        <v>0</v>
      </c>
      <c r="BS18" s="668">
        <f t="shared" si="76"/>
        <v>0</v>
      </c>
      <c r="BT18" s="668">
        <f t="shared" si="76"/>
        <v>170907.22740000003</v>
      </c>
      <c r="BU18" s="668">
        <f t="shared" si="76"/>
        <v>0</v>
      </c>
      <c r="BV18" s="668">
        <f t="shared" si="76"/>
        <v>170907.22740000003</v>
      </c>
      <c r="BW18" s="668">
        <f t="shared" ref="BW18:CI18" si="77">IF(BW3=1,IF(BW10&gt;BW6,BW6*$E$5,BW10*$E$5),0)</f>
        <v>0</v>
      </c>
      <c r="BX18" s="668">
        <f t="shared" si="77"/>
        <v>170907.22740000003</v>
      </c>
      <c r="BY18" s="668">
        <f t="shared" si="77"/>
        <v>0</v>
      </c>
      <c r="BZ18" s="668">
        <f t="shared" si="77"/>
        <v>170907.22740000003</v>
      </c>
      <c r="CA18" s="668">
        <f t="shared" si="77"/>
        <v>0</v>
      </c>
      <c r="CB18" s="668">
        <f t="shared" si="77"/>
        <v>170907.22740000003</v>
      </c>
      <c r="CC18" s="668">
        <f t="shared" si="77"/>
        <v>0</v>
      </c>
      <c r="CD18" s="668">
        <f t="shared" si="77"/>
        <v>170907.22740000003</v>
      </c>
      <c r="CE18" s="668">
        <f t="shared" si="77"/>
        <v>0</v>
      </c>
      <c r="CF18" s="668">
        <f t="shared" si="77"/>
        <v>170907.22740000003</v>
      </c>
      <c r="CG18" s="668">
        <f t="shared" si="77"/>
        <v>0</v>
      </c>
      <c r="CH18" s="668">
        <f t="shared" si="77"/>
        <v>0</v>
      </c>
      <c r="CI18" s="668">
        <f t="shared" si="77"/>
        <v>0</v>
      </c>
    </row>
    <row r="19" spans="1:87" x14ac:dyDescent="0.25">
      <c r="A19" s="131">
        <v>3</v>
      </c>
      <c r="B19" s="385">
        <v>9.09</v>
      </c>
      <c r="C19" s="385">
        <v>3.1</v>
      </c>
      <c r="D19" s="385">
        <v>2.1436999999999999</v>
      </c>
      <c r="E19" s="385">
        <v>0.24</v>
      </c>
      <c r="F19" s="649">
        <f t="shared" si="49"/>
        <v>14.573700000000001</v>
      </c>
      <c r="G19" s="649"/>
      <c r="H19" s="649"/>
      <c r="J19" s="667" t="s">
        <v>2466</v>
      </c>
      <c r="K19" s="668">
        <f>IF(K3=1,IF(K11&gt;K7,K7*$E$6,K11*$E$6),0)</f>
        <v>81435.899999999994</v>
      </c>
      <c r="L19" s="668">
        <f t="shared" ref="L19:AP19" si="78">IF(L3=1,IF(L11&gt;L7,L7*$E$6,L11*$E$6),0)</f>
        <v>0</v>
      </c>
      <c r="M19" s="668">
        <f t="shared" si="78"/>
        <v>80780.7</v>
      </c>
      <c r="N19" s="668">
        <f t="shared" si="78"/>
        <v>0</v>
      </c>
      <c r="O19" s="668">
        <f t="shared" si="78"/>
        <v>80125.5</v>
      </c>
      <c r="P19" s="668">
        <f t="shared" si="78"/>
        <v>0</v>
      </c>
      <c r="Q19" s="668">
        <f t="shared" si="78"/>
        <v>79470.3</v>
      </c>
      <c r="R19" s="668">
        <f t="shared" si="78"/>
        <v>0</v>
      </c>
      <c r="S19" s="668">
        <f t="shared" si="78"/>
        <v>78815.100000000006</v>
      </c>
      <c r="T19" s="668">
        <f t="shared" si="78"/>
        <v>0</v>
      </c>
      <c r="U19" s="668">
        <f t="shared" si="78"/>
        <v>78159.899999999994</v>
      </c>
      <c r="V19" s="668">
        <f t="shared" si="78"/>
        <v>0</v>
      </c>
      <c r="W19" s="668">
        <f t="shared" si="78"/>
        <v>0</v>
      </c>
      <c r="X19" s="668">
        <f t="shared" si="78"/>
        <v>0</v>
      </c>
      <c r="Y19" s="668">
        <f t="shared" si="78"/>
        <v>76849.5</v>
      </c>
      <c r="Z19" s="668">
        <f t="shared" si="78"/>
        <v>0</v>
      </c>
      <c r="AA19" s="668">
        <f t="shared" si="78"/>
        <v>68869.710000000006</v>
      </c>
      <c r="AB19" s="668">
        <f t="shared" si="78"/>
        <v>0</v>
      </c>
      <c r="AC19" s="668">
        <f t="shared" si="78"/>
        <v>68214.510000000009</v>
      </c>
      <c r="AD19" s="668">
        <f t="shared" si="78"/>
        <v>0</v>
      </c>
      <c r="AE19" s="668">
        <f t="shared" si="78"/>
        <v>67559.31</v>
      </c>
      <c r="AF19" s="668">
        <f t="shared" si="78"/>
        <v>0</v>
      </c>
      <c r="AG19" s="668">
        <f t="shared" si="78"/>
        <v>66904.110000000015</v>
      </c>
      <c r="AH19" s="668">
        <f t="shared" si="78"/>
        <v>0</v>
      </c>
      <c r="AI19" s="668">
        <f t="shared" si="78"/>
        <v>66248.91</v>
      </c>
      <c r="AJ19" s="668">
        <f t="shared" si="78"/>
        <v>0</v>
      </c>
      <c r="AK19" s="668">
        <f t="shared" si="78"/>
        <v>65593.710000000006</v>
      </c>
      <c r="AL19" s="668">
        <f t="shared" si="78"/>
        <v>0</v>
      </c>
      <c r="AM19" s="668">
        <f t="shared" si="78"/>
        <v>0</v>
      </c>
      <c r="AN19" s="668">
        <f t="shared" si="78"/>
        <v>64610.91</v>
      </c>
      <c r="AO19" s="668">
        <f t="shared" si="78"/>
        <v>0</v>
      </c>
      <c r="AP19" s="668">
        <f t="shared" si="78"/>
        <v>63955.710000000006</v>
      </c>
      <c r="AQ19" s="668">
        <f t="shared" ref="AQ19:BF19" si="79">IF(AQ3=1,IF(AQ11&gt;AQ7,AQ7*$E$6,AQ11*$E$6),0)</f>
        <v>0</v>
      </c>
      <c r="AR19" s="668">
        <f t="shared" si="79"/>
        <v>57232.539000000004</v>
      </c>
      <c r="AS19" s="668">
        <f t="shared" si="79"/>
        <v>0</v>
      </c>
      <c r="AT19" s="668">
        <f t="shared" si="79"/>
        <v>56577.339000000007</v>
      </c>
      <c r="AU19" s="668">
        <f t="shared" si="79"/>
        <v>0</v>
      </c>
      <c r="AV19" s="668">
        <f t="shared" si="79"/>
        <v>55922.13900000001</v>
      </c>
      <c r="AW19" s="668">
        <f t="shared" si="79"/>
        <v>0</v>
      </c>
      <c r="AX19" s="668">
        <f t="shared" si="79"/>
        <v>55266.939000000013</v>
      </c>
      <c r="AY19" s="668">
        <f t="shared" si="79"/>
        <v>0</v>
      </c>
      <c r="AZ19" s="668">
        <f t="shared" si="79"/>
        <v>54611.739000000009</v>
      </c>
      <c r="BA19" s="668">
        <f t="shared" si="79"/>
        <v>0</v>
      </c>
      <c r="BB19" s="668">
        <f t="shared" si="79"/>
        <v>0</v>
      </c>
      <c r="BC19" s="668">
        <f t="shared" si="79"/>
        <v>0</v>
      </c>
      <c r="BD19" s="668">
        <f t="shared" si="79"/>
        <v>53301.339000000007</v>
      </c>
      <c r="BE19" s="668">
        <f t="shared" si="79"/>
        <v>0</v>
      </c>
      <c r="BF19" s="668">
        <f t="shared" si="79"/>
        <v>52646.13900000001</v>
      </c>
      <c r="BG19" s="668">
        <f t="shared" ref="BG19:BV19" si="80">IF(BG3=1,IF(BG11&gt;BG7,BG7*$E$6,BG11*$E$6),0)</f>
        <v>0</v>
      </c>
      <c r="BH19" s="668">
        <f t="shared" si="80"/>
        <v>93713.427000000011</v>
      </c>
      <c r="BI19" s="668">
        <f t="shared" si="80"/>
        <v>0</v>
      </c>
      <c r="BJ19" s="668">
        <f t="shared" si="80"/>
        <v>93713.427000000011</v>
      </c>
      <c r="BK19" s="668">
        <f t="shared" si="80"/>
        <v>0</v>
      </c>
      <c r="BL19" s="668">
        <f t="shared" si="80"/>
        <v>93713.427000000011</v>
      </c>
      <c r="BM19" s="668">
        <f t="shared" si="80"/>
        <v>0</v>
      </c>
      <c r="BN19" s="668">
        <f t="shared" si="80"/>
        <v>93713.427000000011</v>
      </c>
      <c r="BO19" s="668">
        <f t="shared" si="80"/>
        <v>0</v>
      </c>
      <c r="BP19" s="668">
        <f t="shared" si="80"/>
        <v>93713.427000000011</v>
      </c>
      <c r="BQ19" s="668">
        <f t="shared" si="80"/>
        <v>0</v>
      </c>
      <c r="BR19" s="668">
        <f t="shared" si="80"/>
        <v>0</v>
      </c>
      <c r="BS19" s="668">
        <f t="shared" si="80"/>
        <v>0</v>
      </c>
      <c r="BT19" s="668">
        <f t="shared" si="80"/>
        <v>93713.427000000011</v>
      </c>
      <c r="BU19" s="668">
        <f t="shared" si="80"/>
        <v>0</v>
      </c>
      <c r="BV19" s="668">
        <f t="shared" si="80"/>
        <v>93713.427000000011</v>
      </c>
      <c r="BW19" s="668">
        <f t="shared" ref="BW19:CI19" si="81">IF(BW3=1,IF(BW11&gt;BW7,BW7*$E$6,BW11*$E$6),0)</f>
        <v>0</v>
      </c>
      <c r="BX19" s="668">
        <f t="shared" si="81"/>
        <v>93713.427000000011</v>
      </c>
      <c r="BY19" s="668">
        <f t="shared" si="81"/>
        <v>0</v>
      </c>
      <c r="BZ19" s="668">
        <f t="shared" si="81"/>
        <v>93713.427000000011</v>
      </c>
      <c r="CA19" s="668">
        <f t="shared" si="81"/>
        <v>0</v>
      </c>
      <c r="CB19" s="668">
        <f t="shared" si="81"/>
        <v>93713.427000000011</v>
      </c>
      <c r="CC19" s="668">
        <f t="shared" si="81"/>
        <v>0</v>
      </c>
      <c r="CD19" s="668">
        <f t="shared" si="81"/>
        <v>93713.427000000011</v>
      </c>
      <c r="CE19" s="668">
        <f t="shared" si="81"/>
        <v>0</v>
      </c>
      <c r="CF19" s="668">
        <f t="shared" si="81"/>
        <v>93713.427000000011</v>
      </c>
      <c r="CG19" s="668">
        <f t="shared" si="81"/>
        <v>0</v>
      </c>
      <c r="CH19" s="668">
        <f t="shared" si="81"/>
        <v>0</v>
      </c>
      <c r="CI19" s="668">
        <f t="shared" si="81"/>
        <v>0</v>
      </c>
    </row>
    <row r="20" spans="1:87" x14ac:dyDescent="0.25">
      <c r="A20" s="131">
        <v>2</v>
      </c>
      <c r="B20" s="648">
        <v>8.42</v>
      </c>
      <c r="C20" s="648">
        <v>2.73</v>
      </c>
      <c r="D20" s="648">
        <v>1.7168999999999999</v>
      </c>
      <c r="E20" s="648">
        <v>0.18</v>
      </c>
      <c r="F20" s="649">
        <f t="shared" si="49"/>
        <v>13.046900000000001</v>
      </c>
      <c r="G20" s="649"/>
      <c r="H20" s="649"/>
      <c r="J20" s="667" t="s">
        <v>2467</v>
      </c>
      <c r="K20" s="668">
        <f>IF(K3=1,IF(K12&gt;K8,K8*$E$7,K12*$E$7),0)</f>
        <v>97308.741299999994</v>
      </c>
      <c r="L20" s="668">
        <f t="shared" ref="L20:AP20" si="82">IF(L3=1,IF(L12&gt;L8,L8*$E$7,L12*$E$7),0)</f>
        <v>0</v>
      </c>
      <c r="M20" s="668">
        <f t="shared" si="82"/>
        <v>96525.834900000002</v>
      </c>
      <c r="N20" s="668">
        <f t="shared" si="82"/>
        <v>0</v>
      </c>
      <c r="O20" s="668">
        <f t="shared" si="82"/>
        <v>95742.928499999995</v>
      </c>
      <c r="P20" s="668">
        <f t="shared" si="82"/>
        <v>0</v>
      </c>
      <c r="Q20" s="668">
        <f t="shared" si="82"/>
        <v>94960.022099999987</v>
      </c>
      <c r="R20" s="668">
        <f t="shared" si="82"/>
        <v>0</v>
      </c>
      <c r="S20" s="668">
        <f t="shared" si="82"/>
        <v>94177.11569999998</v>
      </c>
      <c r="T20" s="668">
        <f t="shared" si="82"/>
        <v>0</v>
      </c>
      <c r="U20" s="668">
        <f t="shared" si="82"/>
        <v>93394.209300000002</v>
      </c>
      <c r="V20" s="668">
        <f t="shared" si="82"/>
        <v>0</v>
      </c>
      <c r="W20" s="668">
        <f t="shared" si="82"/>
        <v>0</v>
      </c>
      <c r="X20" s="668">
        <f t="shared" si="82"/>
        <v>0</v>
      </c>
      <c r="Y20" s="668">
        <f t="shared" si="82"/>
        <v>91828.396499999988</v>
      </c>
      <c r="Z20" s="668">
        <f t="shared" si="82"/>
        <v>0</v>
      </c>
      <c r="AA20" s="668">
        <f t="shared" si="82"/>
        <v>82293.248970000015</v>
      </c>
      <c r="AB20" s="668">
        <f t="shared" si="82"/>
        <v>0</v>
      </c>
      <c r="AC20" s="668">
        <f t="shared" si="82"/>
        <v>81510.342570000008</v>
      </c>
      <c r="AD20" s="668">
        <f t="shared" si="82"/>
        <v>0</v>
      </c>
      <c r="AE20" s="668">
        <f t="shared" si="82"/>
        <v>80727.436170000001</v>
      </c>
      <c r="AF20" s="668">
        <f t="shared" si="82"/>
        <v>0</v>
      </c>
      <c r="AG20" s="668">
        <f t="shared" si="82"/>
        <v>79944.529769999994</v>
      </c>
      <c r="AH20" s="668">
        <f t="shared" si="82"/>
        <v>0</v>
      </c>
      <c r="AI20" s="668">
        <f t="shared" si="82"/>
        <v>79161.623370000001</v>
      </c>
      <c r="AJ20" s="668">
        <f t="shared" si="82"/>
        <v>0</v>
      </c>
      <c r="AK20" s="668">
        <f t="shared" si="82"/>
        <v>78378.716970000009</v>
      </c>
      <c r="AL20" s="668">
        <f t="shared" si="82"/>
        <v>0</v>
      </c>
      <c r="AM20" s="668">
        <f t="shared" si="82"/>
        <v>0</v>
      </c>
      <c r="AN20" s="668">
        <f t="shared" si="82"/>
        <v>77204.357370000012</v>
      </c>
      <c r="AO20" s="668">
        <f t="shared" si="82"/>
        <v>0</v>
      </c>
      <c r="AP20" s="668">
        <f t="shared" si="82"/>
        <v>76421.450970000005</v>
      </c>
      <c r="AQ20" s="668">
        <f t="shared" ref="AQ20:BF20" si="83">IF(AQ3=1,IF(AQ12&gt;AQ8,AQ8*$E$7,AQ12*$E$7),0)</f>
        <v>0</v>
      </c>
      <c r="AR20" s="668">
        <f t="shared" si="83"/>
        <v>68387.852673000001</v>
      </c>
      <c r="AS20" s="668">
        <f t="shared" si="83"/>
        <v>0</v>
      </c>
      <c r="AT20" s="668">
        <f t="shared" si="83"/>
        <v>67604.946273000009</v>
      </c>
      <c r="AU20" s="668">
        <f t="shared" si="83"/>
        <v>0</v>
      </c>
      <c r="AV20" s="668">
        <f t="shared" si="83"/>
        <v>66822.039873000002</v>
      </c>
      <c r="AW20" s="668">
        <f t="shared" si="83"/>
        <v>0</v>
      </c>
      <c r="AX20" s="668">
        <f t="shared" si="83"/>
        <v>66039.133473000009</v>
      </c>
      <c r="AY20" s="668">
        <f t="shared" si="83"/>
        <v>0</v>
      </c>
      <c r="AZ20" s="668">
        <f t="shared" si="83"/>
        <v>65256.227073000009</v>
      </c>
      <c r="BA20" s="668">
        <f t="shared" si="83"/>
        <v>0</v>
      </c>
      <c r="BB20" s="668">
        <f t="shared" si="83"/>
        <v>0</v>
      </c>
      <c r="BC20" s="668">
        <f t="shared" si="83"/>
        <v>0</v>
      </c>
      <c r="BD20" s="668">
        <f t="shared" si="83"/>
        <v>63690.414273000009</v>
      </c>
      <c r="BE20" s="668">
        <f t="shared" si="83"/>
        <v>0</v>
      </c>
      <c r="BF20" s="668">
        <f t="shared" si="83"/>
        <v>62907.507873000002</v>
      </c>
      <c r="BG20" s="668">
        <f t="shared" ref="BG20:BV20" si="84">IF(BG3=1,IF(BG12&gt;BG8,BG8*$E$7,BG12*$E$7),0)</f>
        <v>0</v>
      </c>
      <c r="BH20" s="668">
        <f t="shared" si="84"/>
        <v>150109.17082500001</v>
      </c>
      <c r="BI20" s="668">
        <f t="shared" si="84"/>
        <v>0</v>
      </c>
      <c r="BJ20" s="668">
        <f t="shared" si="84"/>
        <v>150109.17082500001</v>
      </c>
      <c r="BK20" s="668">
        <f t="shared" si="84"/>
        <v>0</v>
      </c>
      <c r="BL20" s="668">
        <f t="shared" si="84"/>
        <v>150109.17082500001</v>
      </c>
      <c r="BM20" s="668">
        <f t="shared" si="84"/>
        <v>0</v>
      </c>
      <c r="BN20" s="668">
        <f t="shared" si="84"/>
        <v>150109.17082500001</v>
      </c>
      <c r="BO20" s="668">
        <f t="shared" si="84"/>
        <v>0</v>
      </c>
      <c r="BP20" s="668">
        <f t="shared" si="84"/>
        <v>150109.17082500001</v>
      </c>
      <c r="BQ20" s="668">
        <f t="shared" si="84"/>
        <v>0</v>
      </c>
      <c r="BR20" s="668">
        <f t="shared" si="84"/>
        <v>0</v>
      </c>
      <c r="BS20" s="668">
        <f t="shared" si="84"/>
        <v>0</v>
      </c>
      <c r="BT20" s="668">
        <f t="shared" si="84"/>
        <v>150109.17082500001</v>
      </c>
      <c r="BU20" s="668">
        <f t="shared" si="84"/>
        <v>0</v>
      </c>
      <c r="BV20" s="668">
        <f t="shared" si="84"/>
        <v>150109.17082500001</v>
      </c>
      <c r="BW20" s="668">
        <f t="shared" ref="BW20:CI20" si="85">IF(BW3=1,IF(BW12&gt;BW8,BW8*$E$7,BW12*$E$7),0)</f>
        <v>0</v>
      </c>
      <c r="BX20" s="668">
        <f t="shared" si="85"/>
        <v>150109.17082500001</v>
      </c>
      <c r="BY20" s="668">
        <f t="shared" si="85"/>
        <v>0</v>
      </c>
      <c r="BZ20" s="668">
        <f t="shared" si="85"/>
        <v>150109.17082500001</v>
      </c>
      <c r="CA20" s="668">
        <f t="shared" si="85"/>
        <v>0</v>
      </c>
      <c r="CB20" s="668">
        <f t="shared" si="85"/>
        <v>150109.17082500001</v>
      </c>
      <c r="CC20" s="668">
        <f t="shared" si="85"/>
        <v>0</v>
      </c>
      <c r="CD20" s="668">
        <f t="shared" si="85"/>
        <v>150109.17082500001</v>
      </c>
      <c r="CE20" s="668">
        <f t="shared" si="85"/>
        <v>0</v>
      </c>
      <c r="CF20" s="668">
        <f t="shared" si="85"/>
        <v>150109.17082500001</v>
      </c>
      <c r="CG20" s="668">
        <f t="shared" si="85"/>
        <v>0</v>
      </c>
      <c r="CH20" s="668">
        <f t="shared" si="85"/>
        <v>0</v>
      </c>
      <c r="CI20" s="668">
        <f t="shared" si="85"/>
        <v>0</v>
      </c>
    </row>
    <row r="21" spans="1:87" x14ac:dyDescent="0.25">
      <c r="A21" s="131">
        <v>1</v>
      </c>
      <c r="B21" s="385">
        <v>7.85</v>
      </c>
      <c r="C21" s="385">
        <v>2.34</v>
      </c>
      <c r="D21" s="385">
        <v>1.1931</v>
      </c>
      <c r="E21" s="385">
        <v>0.1</v>
      </c>
      <c r="F21" s="649">
        <f t="shared" si="49"/>
        <v>11.4831</v>
      </c>
      <c r="G21" s="649"/>
      <c r="H21" s="649"/>
      <c r="J21" s="667" t="s">
        <v>2468</v>
      </c>
      <c r="K21" s="668">
        <f>IF(K3=1,IF(K13&gt;K9,K9*$E$8,K13*$E$8),0)</f>
        <v>18792.899999999998</v>
      </c>
      <c r="L21" s="668">
        <f t="shared" ref="L21:AP21" si="86">IF(L3=1,IF(L13&gt;L9,L9*$E$8,L13*$E$8),0)</f>
        <v>0</v>
      </c>
      <c r="M21" s="668">
        <f t="shared" si="86"/>
        <v>18641.7</v>
      </c>
      <c r="N21" s="668">
        <f t="shared" si="86"/>
        <v>0</v>
      </c>
      <c r="O21" s="668">
        <f t="shared" si="86"/>
        <v>18490.5</v>
      </c>
      <c r="P21" s="668">
        <f t="shared" si="86"/>
        <v>0</v>
      </c>
      <c r="Q21" s="668">
        <f t="shared" si="86"/>
        <v>18339.3</v>
      </c>
      <c r="R21" s="668">
        <f t="shared" si="86"/>
        <v>0</v>
      </c>
      <c r="S21" s="668">
        <f t="shared" si="86"/>
        <v>18188.099999999999</v>
      </c>
      <c r="T21" s="668">
        <f t="shared" si="86"/>
        <v>0</v>
      </c>
      <c r="U21" s="668">
        <f t="shared" si="86"/>
        <v>18036.900000000001</v>
      </c>
      <c r="V21" s="668">
        <f t="shared" si="86"/>
        <v>0</v>
      </c>
      <c r="W21" s="668">
        <f t="shared" si="86"/>
        <v>0</v>
      </c>
      <c r="X21" s="668">
        <f t="shared" si="86"/>
        <v>0</v>
      </c>
      <c r="Y21" s="668">
        <f t="shared" si="86"/>
        <v>17734.5</v>
      </c>
      <c r="Z21" s="668">
        <f t="shared" si="86"/>
        <v>0</v>
      </c>
      <c r="AA21" s="668">
        <f t="shared" si="86"/>
        <v>15893.01</v>
      </c>
      <c r="AB21" s="668">
        <f t="shared" si="86"/>
        <v>0</v>
      </c>
      <c r="AC21" s="668">
        <f t="shared" si="86"/>
        <v>15741.810000000001</v>
      </c>
      <c r="AD21" s="668">
        <f t="shared" si="86"/>
        <v>0</v>
      </c>
      <c r="AE21" s="668">
        <f t="shared" si="86"/>
        <v>15590.61</v>
      </c>
      <c r="AF21" s="668">
        <f t="shared" si="86"/>
        <v>0</v>
      </c>
      <c r="AG21" s="668">
        <f t="shared" si="86"/>
        <v>15439.410000000002</v>
      </c>
      <c r="AH21" s="668">
        <f t="shared" si="86"/>
        <v>0</v>
      </c>
      <c r="AI21" s="668">
        <f t="shared" si="86"/>
        <v>15288.210000000001</v>
      </c>
      <c r="AJ21" s="668">
        <f t="shared" si="86"/>
        <v>0</v>
      </c>
      <c r="AK21" s="668">
        <f t="shared" si="86"/>
        <v>15137.010000000002</v>
      </c>
      <c r="AL21" s="668">
        <f t="shared" si="86"/>
        <v>0</v>
      </c>
      <c r="AM21" s="668">
        <f t="shared" si="86"/>
        <v>0</v>
      </c>
      <c r="AN21" s="668">
        <f t="shared" si="86"/>
        <v>14910.210000000001</v>
      </c>
      <c r="AO21" s="668">
        <f t="shared" si="86"/>
        <v>0</v>
      </c>
      <c r="AP21" s="668">
        <f t="shared" si="86"/>
        <v>14759.010000000002</v>
      </c>
      <c r="AQ21" s="668">
        <f t="shared" ref="AQ21:BF21" si="87">IF(AQ3=1,IF(AQ13&gt;AQ9,AQ9*$E$8,AQ13*$E$8),0)</f>
        <v>0</v>
      </c>
      <c r="AR21" s="668">
        <f t="shared" si="87"/>
        <v>13207.509000000002</v>
      </c>
      <c r="AS21" s="668">
        <f t="shared" si="87"/>
        <v>0</v>
      </c>
      <c r="AT21" s="668">
        <f t="shared" si="87"/>
        <v>13056.309000000001</v>
      </c>
      <c r="AU21" s="668">
        <f t="shared" si="87"/>
        <v>0</v>
      </c>
      <c r="AV21" s="668">
        <f t="shared" si="87"/>
        <v>12905.109000000002</v>
      </c>
      <c r="AW21" s="668">
        <f t="shared" si="87"/>
        <v>0</v>
      </c>
      <c r="AX21" s="668">
        <f t="shared" si="87"/>
        <v>12753.909000000001</v>
      </c>
      <c r="AY21" s="668">
        <f t="shared" si="87"/>
        <v>0</v>
      </c>
      <c r="AZ21" s="668">
        <f t="shared" si="87"/>
        <v>12602.709000000001</v>
      </c>
      <c r="BA21" s="668">
        <f t="shared" si="87"/>
        <v>0</v>
      </c>
      <c r="BB21" s="668">
        <f t="shared" si="87"/>
        <v>0</v>
      </c>
      <c r="BC21" s="668">
        <f t="shared" si="87"/>
        <v>0</v>
      </c>
      <c r="BD21" s="668">
        <f t="shared" si="87"/>
        <v>12300.309000000001</v>
      </c>
      <c r="BE21" s="668">
        <f t="shared" si="87"/>
        <v>0</v>
      </c>
      <c r="BF21" s="668">
        <f t="shared" si="87"/>
        <v>12149.109</v>
      </c>
      <c r="BG21" s="668">
        <f t="shared" ref="BG21:BV21" si="88">IF(BG3=1,IF(BG13&gt;BG9,BG9*$E$8,BG13*$E$8),0)</f>
        <v>0</v>
      </c>
      <c r="BH21" s="668">
        <f t="shared" si="88"/>
        <v>34208.275500000003</v>
      </c>
      <c r="BI21" s="668">
        <f t="shared" si="88"/>
        <v>0</v>
      </c>
      <c r="BJ21" s="668">
        <f t="shared" si="88"/>
        <v>34208.275500000003</v>
      </c>
      <c r="BK21" s="668">
        <f t="shared" si="88"/>
        <v>0</v>
      </c>
      <c r="BL21" s="668">
        <f t="shared" si="88"/>
        <v>34208.275500000003</v>
      </c>
      <c r="BM21" s="668">
        <f t="shared" si="88"/>
        <v>0</v>
      </c>
      <c r="BN21" s="668">
        <f t="shared" si="88"/>
        <v>34208.275500000003</v>
      </c>
      <c r="BO21" s="668">
        <f t="shared" si="88"/>
        <v>0</v>
      </c>
      <c r="BP21" s="668">
        <f t="shared" si="88"/>
        <v>34208.275500000003</v>
      </c>
      <c r="BQ21" s="668">
        <f t="shared" si="88"/>
        <v>0</v>
      </c>
      <c r="BR21" s="668">
        <f t="shared" si="88"/>
        <v>0</v>
      </c>
      <c r="BS21" s="668">
        <f t="shared" si="88"/>
        <v>0</v>
      </c>
      <c r="BT21" s="668">
        <f t="shared" si="88"/>
        <v>34208.275500000003</v>
      </c>
      <c r="BU21" s="668">
        <f t="shared" si="88"/>
        <v>0</v>
      </c>
      <c r="BV21" s="668">
        <f t="shared" si="88"/>
        <v>34208.275500000003</v>
      </c>
      <c r="BW21" s="668">
        <f t="shared" ref="BW21:CI21" si="89">IF(BW3=1,IF(BW13&gt;BW9,BW9*$E$8,BW13*$E$8),0)</f>
        <v>0</v>
      </c>
      <c r="BX21" s="668">
        <f t="shared" si="89"/>
        <v>34208.275500000003</v>
      </c>
      <c r="BY21" s="668">
        <f t="shared" si="89"/>
        <v>0</v>
      </c>
      <c r="BZ21" s="668">
        <f t="shared" si="89"/>
        <v>34208.275500000003</v>
      </c>
      <c r="CA21" s="668">
        <f t="shared" si="89"/>
        <v>0</v>
      </c>
      <c r="CB21" s="668">
        <f t="shared" si="89"/>
        <v>34208.275500000003</v>
      </c>
      <c r="CC21" s="668">
        <f t="shared" si="89"/>
        <v>0</v>
      </c>
      <c r="CD21" s="668">
        <f t="shared" si="89"/>
        <v>34208.275500000003</v>
      </c>
      <c r="CE21" s="668">
        <f t="shared" si="89"/>
        <v>0</v>
      </c>
      <c r="CF21" s="668">
        <f t="shared" si="89"/>
        <v>34208.275500000003</v>
      </c>
      <c r="CG21" s="668">
        <f t="shared" si="89"/>
        <v>0</v>
      </c>
      <c r="CH21" s="668">
        <f t="shared" si="89"/>
        <v>0</v>
      </c>
      <c r="CI21" s="668">
        <f t="shared" si="89"/>
        <v>0</v>
      </c>
    </row>
    <row r="22" spans="1:87" x14ac:dyDescent="0.25">
      <c r="J22" s="126" t="s">
        <v>2469</v>
      </c>
      <c r="K22" s="665">
        <f>IF(K3=1,IF(K14&gt;K6,K6*$E$5,K14*$E$5),0)</f>
        <v>175818.02000000002</v>
      </c>
      <c r="L22" s="665">
        <f t="shared" ref="L22:AP22" si="90">IF(L3=1,IF(L14&gt;L6,L6*$E$5,L14*$E$5),0)</f>
        <v>0</v>
      </c>
      <c r="M22" s="665">
        <f t="shared" si="90"/>
        <v>170951.19999999998</v>
      </c>
      <c r="N22" s="665">
        <f t="shared" si="90"/>
        <v>0</v>
      </c>
      <c r="O22" s="665">
        <f t="shared" si="90"/>
        <v>170951.19999999998</v>
      </c>
      <c r="P22" s="665">
        <f t="shared" si="90"/>
        <v>0</v>
      </c>
      <c r="Q22" s="665">
        <f t="shared" si="90"/>
        <v>170951.19999999998</v>
      </c>
      <c r="R22" s="665">
        <f t="shared" si="90"/>
        <v>0</v>
      </c>
      <c r="S22" s="665">
        <f t="shared" si="90"/>
        <v>170159.78</v>
      </c>
      <c r="T22" s="665">
        <f t="shared" si="90"/>
        <v>0</v>
      </c>
      <c r="U22" s="665">
        <f t="shared" si="90"/>
        <v>168745.22</v>
      </c>
      <c r="V22" s="665">
        <f t="shared" si="90"/>
        <v>0</v>
      </c>
      <c r="W22" s="665">
        <f t="shared" si="90"/>
        <v>0</v>
      </c>
      <c r="X22" s="665">
        <f t="shared" si="90"/>
        <v>0</v>
      </c>
      <c r="Y22" s="665">
        <f t="shared" si="90"/>
        <v>165916.1</v>
      </c>
      <c r="Z22" s="665">
        <f t="shared" si="90"/>
        <v>0</v>
      </c>
      <c r="AA22" s="665">
        <f t="shared" si="90"/>
        <v>148687.93800000002</v>
      </c>
      <c r="AB22" s="665">
        <f t="shared" si="90"/>
        <v>0</v>
      </c>
      <c r="AC22" s="665">
        <f t="shared" si="90"/>
        <v>147273.37800000003</v>
      </c>
      <c r="AD22" s="665">
        <f t="shared" si="90"/>
        <v>0</v>
      </c>
      <c r="AE22" s="665">
        <f t="shared" si="90"/>
        <v>145858.81800000003</v>
      </c>
      <c r="AF22" s="665">
        <f t="shared" si="90"/>
        <v>0</v>
      </c>
      <c r="AG22" s="665">
        <f t="shared" si="90"/>
        <v>144444.25800000003</v>
      </c>
      <c r="AH22" s="665">
        <f t="shared" si="90"/>
        <v>0</v>
      </c>
      <c r="AI22" s="665">
        <f t="shared" si="90"/>
        <v>143029.698</v>
      </c>
      <c r="AJ22" s="665">
        <f t="shared" si="90"/>
        <v>0</v>
      </c>
      <c r="AK22" s="665">
        <f t="shared" si="90"/>
        <v>141615.13800000001</v>
      </c>
      <c r="AL22" s="665">
        <f t="shared" si="90"/>
        <v>0</v>
      </c>
      <c r="AM22" s="665">
        <f t="shared" si="90"/>
        <v>0</v>
      </c>
      <c r="AN22" s="665">
        <f t="shared" si="90"/>
        <v>139493.29800000001</v>
      </c>
      <c r="AO22" s="665">
        <f t="shared" si="90"/>
        <v>0</v>
      </c>
      <c r="AP22" s="665">
        <f t="shared" si="90"/>
        <v>138078.73800000001</v>
      </c>
      <c r="AQ22" s="665">
        <f t="shared" ref="AQ22:BF22" si="91">IF(AQ3=1,IF(AQ14&gt;AQ6,AQ6*$E$5,AQ14*$E$5),0)</f>
        <v>0</v>
      </c>
      <c r="AR22" s="665">
        <f t="shared" si="91"/>
        <v>123563.58420000001</v>
      </c>
      <c r="AS22" s="665">
        <f t="shared" si="91"/>
        <v>0</v>
      </c>
      <c r="AT22" s="665">
        <f t="shared" si="91"/>
        <v>122149.02420000003</v>
      </c>
      <c r="AU22" s="665">
        <f t="shared" si="91"/>
        <v>0</v>
      </c>
      <c r="AV22" s="665">
        <f t="shared" si="91"/>
        <v>120734.46420000002</v>
      </c>
      <c r="AW22" s="665">
        <f t="shared" si="91"/>
        <v>0</v>
      </c>
      <c r="AX22" s="665">
        <f t="shared" si="91"/>
        <v>119319.90420000002</v>
      </c>
      <c r="AY22" s="665">
        <f t="shared" si="91"/>
        <v>0</v>
      </c>
      <c r="AZ22" s="665">
        <f t="shared" si="91"/>
        <v>117905.34420000002</v>
      </c>
      <c r="BA22" s="665">
        <f t="shared" si="91"/>
        <v>0</v>
      </c>
      <c r="BB22" s="665">
        <f t="shared" si="91"/>
        <v>0</v>
      </c>
      <c r="BC22" s="665">
        <f t="shared" si="91"/>
        <v>0</v>
      </c>
      <c r="BD22" s="665">
        <f t="shared" si="91"/>
        <v>115076.22420000001</v>
      </c>
      <c r="BE22" s="665">
        <f t="shared" si="91"/>
        <v>0</v>
      </c>
      <c r="BF22" s="665">
        <f t="shared" si="91"/>
        <v>113661.66420000001</v>
      </c>
      <c r="BG22" s="665">
        <f t="shared" ref="BG22:BV22" si="92">IF(BG3=1,IF(BG14&gt;BG6,BG6*$E$5,BG14*$E$5),0)</f>
        <v>0</v>
      </c>
      <c r="BH22" s="665">
        <f t="shared" si="92"/>
        <v>170907.22740000003</v>
      </c>
      <c r="BI22" s="665">
        <f t="shared" si="92"/>
        <v>0</v>
      </c>
      <c r="BJ22" s="665">
        <f t="shared" si="92"/>
        <v>170907.22740000003</v>
      </c>
      <c r="BK22" s="665">
        <f t="shared" si="92"/>
        <v>0</v>
      </c>
      <c r="BL22" s="665">
        <f t="shared" si="92"/>
        <v>170907.22740000003</v>
      </c>
      <c r="BM22" s="665">
        <f t="shared" si="92"/>
        <v>0</v>
      </c>
      <c r="BN22" s="665">
        <f t="shared" si="92"/>
        <v>170907.22740000003</v>
      </c>
      <c r="BO22" s="665">
        <f t="shared" si="92"/>
        <v>0</v>
      </c>
      <c r="BP22" s="665">
        <f t="shared" si="92"/>
        <v>170907.22740000003</v>
      </c>
      <c r="BQ22" s="665">
        <f t="shared" si="92"/>
        <v>0</v>
      </c>
      <c r="BR22" s="665">
        <f t="shared" si="92"/>
        <v>0</v>
      </c>
      <c r="BS22" s="665">
        <f t="shared" si="92"/>
        <v>0</v>
      </c>
      <c r="BT22" s="665">
        <f t="shared" si="92"/>
        <v>170907.22740000003</v>
      </c>
      <c r="BU22" s="665">
        <f t="shared" si="92"/>
        <v>0</v>
      </c>
      <c r="BV22" s="665">
        <f t="shared" si="92"/>
        <v>170907.22740000003</v>
      </c>
      <c r="BW22" s="665">
        <f t="shared" ref="BW22:CI22" si="93">IF(BW3=1,IF(BW14&gt;BW6,BW6*$E$5,BW14*$E$5),0)</f>
        <v>0</v>
      </c>
      <c r="BX22" s="665">
        <f t="shared" si="93"/>
        <v>170907.22740000003</v>
      </c>
      <c r="BY22" s="665">
        <f t="shared" si="93"/>
        <v>0</v>
      </c>
      <c r="BZ22" s="665">
        <f t="shared" si="93"/>
        <v>170907.22740000003</v>
      </c>
      <c r="CA22" s="665">
        <f t="shared" si="93"/>
        <v>0</v>
      </c>
      <c r="CB22" s="665">
        <f t="shared" si="93"/>
        <v>170907.22740000003</v>
      </c>
      <c r="CC22" s="665">
        <f t="shared" si="93"/>
        <v>0</v>
      </c>
      <c r="CD22" s="665">
        <f t="shared" si="93"/>
        <v>170907.22740000003</v>
      </c>
      <c r="CE22" s="665">
        <f t="shared" si="93"/>
        <v>0</v>
      </c>
      <c r="CF22" s="665">
        <f t="shared" si="93"/>
        <v>170907.22740000003</v>
      </c>
      <c r="CG22" s="665">
        <f t="shared" si="93"/>
        <v>0</v>
      </c>
      <c r="CH22" s="665">
        <f t="shared" si="93"/>
        <v>0</v>
      </c>
      <c r="CI22" s="665">
        <f t="shared" si="93"/>
        <v>0</v>
      </c>
    </row>
    <row r="23" spans="1:87" x14ac:dyDescent="0.25">
      <c r="A23" s="117" t="s">
        <v>2447</v>
      </c>
      <c r="B23" s="650">
        <v>0.7</v>
      </c>
      <c r="C23" s="651"/>
      <c r="D23" s="651"/>
      <c r="E23" s="651"/>
      <c r="F23" s="652"/>
      <c r="G23" s="652"/>
      <c r="H23" s="652"/>
      <c r="J23" s="126" t="s">
        <v>2470</v>
      </c>
      <c r="K23" s="665">
        <f>IF(K3=1,IF(K15&gt;K7,K7*$E$6,K15*$E$6),0)</f>
        <v>81435.899999999994</v>
      </c>
      <c r="L23" s="665">
        <f t="shared" ref="L23:AP23" si="94">IF(L3=1,IF(L15&gt;L7,L7*$E$6,L15*$E$6),0)</f>
        <v>0</v>
      </c>
      <c r="M23" s="665">
        <f t="shared" si="94"/>
        <v>80780.7</v>
      </c>
      <c r="N23" s="665">
        <f t="shared" si="94"/>
        <v>0</v>
      </c>
      <c r="O23" s="665">
        <f t="shared" si="94"/>
        <v>80125.5</v>
      </c>
      <c r="P23" s="665">
        <f t="shared" si="94"/>
        <v>0</v>
      </c>
      <c r="Q23" s="665">
        <f t="shared" si="94"/>
        <v>79470.3</v>
      </c>
      <c r="R23" s="665">
        <f t="shared" si="94"/>
        <v>0</v>
      </c>
      <c r="S23" s="665">
        <f t="shared" si="94"/>
        <v>78815.100000000006</v>
      </c>
      <c r="T23" s="665">
        <f t="shared" si="94"/>
        <v>0</v>
      </c>
      <c r="U23" s="665">
        <f t="shared" si="94"/>
        <v>78159.899999999994</v>
      </c>
      <c r="V23" s="665">
        <f t="shared" si="94"/>
        <v>0</v>
      </c>
      <c r="W23" s="665">
        <f t="shared" si="94"/>
        <v>0</v>
      </c>
      <c r="X23" s="665">
        <f t="shared" si="94"/>
        <v>0</v>
      </c>
      <c r="Y23" s="665">
        <f t="shared" si="94"/>
        <v>76849.5</v>
      </c>
      <c r="Z23" s="665">
        <f t="shared" si="94"/>
        <v>0</v>
      </c>
      <c r="AA23" s="665">
        <f t="shared" si="94"/>
        <v>68869.710000000006</v>
      </c>
      <c r="AB23" s="665">
        <f t="shared" si="94"/>
        <v>0</v>
      </c>
      <c r="AC23" s="665">
        <f t="shared" si="94"/>
        <v>68214.510000000009</v>
      </c>
      <c r="AD23" s="665">
        <f t="shared" si="94"/>
        <v>0</v>
      </c>
      <c r="AE23" s="665">
        <f t="shared" si="94"/>
        <v>67559.31</v>
      </c>
      <c r="AF23" s="665">
        <f t="shared" si="94"/>
        <v>0</v>
      </c>
      <c r="AG23" s="665">
        <f t="shared" si="94"/>
        <v>66904.110000000015</v>
      </c>
      <c r="AH23" s="665">
        <f t="shared" si="94"/>
        <v>0</v>
      </c>
      <c r="AI23" s="665">
        <f t="shared" si="94"/>
        <v>66248.91</v>
      </c>
      <c r="AJ23" s="665">
        <f t="shared" si="94"/>
        <v>0</v>
      </c>
      <c r="AK23" s="665">
        <f t="shared" si="94"/>
        <v>65593.710000000006</v>
      </c>
      <c r="AL23" s="665">
        <f t="shared" si="94"/>
        <v>0</v>
      </c>
      <c r="AM23" s="665">
        <f t="shared" si="94"/>
        <v>0</v>
      </c>
      <c r="AN23" s="665">
        <f t="shared" si="94"/>
        <v>64610.91</v>
      </c>
      <c r="AO23" s="665">
        <f t="shared" si="94"/>
        <v>0</v>
      </c>
      <c r="AP23" s="665">
        <f t="shared" si="94"/>
        <v>63955.710000000006</v>
      </c>
      <c r="AQ23" s="665">
        <f t="shared" ref="AQ23:BF23" si="95">IF(AQ3=1,IF(AQ15&gt;AQ7,AQ7*$E$6,AQ15*$E$6),0)</f>
        <v>0</v>
      </c>
      <c r="AR23" s="665">
        <f t="shared" si="95"/>
        <v>57232.539000000004</v>
      </c>
      <c r="AS23" s="665">
        <f t="shared" si="95"/>
        <v>0</v>
      </c>
      <c r="AT23" s="665">
        <f t="shared" si="95"/>
        <v>56577.339000000007</v>
      </c>
      <c r="AU23" s="665">
        <f t="shared" si="95"/>
        <v>0</v>
      </c>
      <c r="AV23" s="665">
        <f t="shared" si="95"/>
        <v>55922.13900000001</v>
      </c>
      <c r="AW23" s="665">
        <f t="shared" si="95"/>
        <v>0</v>
      </c>
      <c r="AX23" s="665">
        <f t="shared" si="95"/>
        <v>55266.939000000013</v>
      </c>
      <c r="AY23" s="665">
        <f t="shared" si="95"/>
        <v>0</v>
      </c>
      <c r="AZ23" s="665">
        <f t="shared" si="95"/>
        <v>54611.739000000009</v>
      </c>
      <c r="BA23" s="665">
        <f t="shared" si="95"/>
        <v>0</v>
      </c>
      <c r="BB23" s="665">
        <f t="shared" si="95"/>
        <v>0</v>
      </c>
      <c r="BC23" s="665">
        <f t="shared" si="95"/>
        <v>0</v>
      </c>
      <c r="BD23" s="665">
        <f t="shared" si="95"/>
        <v>53301.339000000007</v>
      </c>
      <c r="BE23" s="665">
        <f t="shared" si="95"/>
        <v>0</v>
      </c>
      <c r="BF23" s="665">
        <f t="shared" si="95"/>
        <v>52646.13900000001</v>
      </c>
      <c r="BG23" s="665">
        <f t="shared" ref="BG23:BV23" si="96">IF(BG3=1,IF(BG15&gt;BG7,BG7*$E$6,BG15*$E$6),0)</f>
        <v>0</v>
      </c>
      <c r="BH23" s="665">
        <f t="shared" si="96"/>
        <v>93713.427000000011</v>
      </c>
      <c r="BI23" s="665">
        <f t="shared" si="96"/>
        <v>0</v>
      </c>
      <c r="BJ23" s="665">
        <f t="shared" si="96"/>
        <v>93713.427000000011</v>
      </c>
      <c r="BK23" s="665">
        <f t="shared" si="96"/>
        <v>0</v>
      </c>
      <c r="BL23" s="665">
        <f t="shared" si="96"/>
        <v>93713.427000000011</v>
      </c>
      <c r="BM23" s="665">
        <f t="shared" si="96"/>
        <v>0</v>
      </c>
      <c r="BN23" s="665">
        <f t="shared" si="96"/>
        <v>93713.427000000011</v>
      </c>
      <c r="BO23" s="665">
        <f t="shared" si="96"/>
        <v>0</v>
      </c>
      <c r="BP23" s="665">
        <f t="shared" si="96"/>
        <v>93713.427000000011</v>
      </c>
      <c r="BQ23" s="665">
        <f t="shared" si="96"/>
        <v>0</v>
      </c>
      <c r="BR23" s="665">
        <f t="shared" si="96"/>
        <v>0</v>
      </c>
      <c r="BS23" s="665">
        <f t="shared" si="96"/>
        <v>0</v>
      </c>
      <c r="BT23" s="665">
        <f t="shared" si="96"/>
        <v>93713.427000000011</v>
      </c>
      <c r="BU23" s="665">
        <f t="shared" si="96"/>
        <v>0</v>
      </c>
      <c r="BV23" s="665">
        <f t="shared" si="96"/>
        <v>93713.427000000011</v>
      </c>
      <c r="BW23" s="665">
        <f t="shared" ref="BW23:CI23" si="97">IF(BW3=1,IF(BW15&gt;BW7,BW7*$E$6,BW15*$E$6),0)</f>
        <v>0</v>
      </c>
      <c r="BX23" s="665">
        <f t="shared" si="97"/>
        <v>93713.427000000011</v>
      </c>
      <c r="BY23" s="665">
        <f t="shared" si="97"/>
        <v>0</v>
      </c>
      <c r="BZ23" s="665">
        <f t="shared" si="97"/>
        <v>93713.427000000011</v>
      </c>
      <c r="CA23" s="665">
        <f t="shared" si="97"/>
        <v>0</v>
      </c>
      <c r="CB23" s="665">
        <f t="shared" si="97"/>
        <v>93713.427000000011</v>
      </c>
      <c r="CC23" s="665">
        <f t="shared" si="97"/>
        <v>0</v>
      </c>
      <c r="CD23" s="665">
        <f t="shared" si="97"/>
        <v>93713.427000000011</v>
      </c>
      <c r="CE23" s="665">
        <f t="shared" si="97"/>
        <v>0</v>
      </c>
      <c r="CF23" s="665">
        <f t="shared" si="97"/>
        <v>93713.427000000011</v>
      </c>
      <c r="CG23" s="665">
        <f t="shared" si="97"/>
        <v>0</v>
      </c>
      <c r="CH23" s="665">
        <f t="shared" si="97"/>
        <v>0</v>
      </c>
      <c r="CI23" s="665">
        <f t="shared" si="97"/>
        <v>0</v>
      </c>
    </row>
    <row r="24" spans="1:87" x14ac:dyDescent="0.25">
      <c r="A24" s="644" t="s">
        <v>31</v>
      </c>
      <c r="B24" s="645">
        <f>B25+B26+B27+B28</f>
        <v>42675.499999999993</v>
      </c>
      <c r="C24" s="651" t="s">
        <v>2418</v>
      </c>
      <c r="D24" s="646" t="s">
        <v>2438</v>
      </c>
      <c r="E24" s="646" t="s">
        <v>2439</v>
      </c>
      <c r="F24" s="646" t="s">
        <v>2440</v>
      </c>
      <c r="G24" s="646"/>
      <c r="H24" s="646"/>
      <c r="J24" s="126" t="s">
        <v>2471</v>
      </c>
      <c r="K24" s="665">
        <f>IF(K3=1,IF(K16&gt;K8,K8*$E$7,K16*$E$7),0)</f>
        <v>97308.741299999994</v>
      </c>
      <c r="L24" s="665">
        <f t="shared" ref="L24:AP24" si="98">IF(L3=1,IF(L16&gt;L8,L8*$E$7,L16*$E$7),0)</f>
        <v>0</v>
      </c>
      <c r="M24" s="665">
        <f t="shared" si="98"/>
        <v>96525.834900000002</v>
      </c>
      <c r="N24" s="665">
        <f t="shared" si="98"/>
        <v>0</v>
      </c>
      <c r="O24" s="665">
        <f t="shared" si="98"/>
        <v>95742.928499999995</v>
      </c>
      <c r="P24" s="665">
        <f t="shared" si="98"/>
        <v>0</v>
      </c>
      <c r="Q24" s="665">
        <f t="shared" si="98"/>
        <v>94960.022099999987</v>
      </c>
      <c r="R24" s="665">
        <f t="shared" si="98"/>
        <v>0</v>
      </c>
      <c r="S24" s="665">
        <f t="shared" si="98"/>
        <v>94177.11569999998</v>
      </c>
      <c r="T24" s="665">
        <f t="shared" si="98"/>
        <v>0</v>
      </c>
      <c r="U24" s="665">
        <f t="shared" si="98"/>
        <v>93394.209300000002</v>
      </c>
      <c r="V24" s="665">
        <f t="shared" si="98"/>
        <v>0</v>
      </c>
      <c r="W24" s="665">
        <f t="shared" si="98"/>
        <v>0</v>
      </c>
      <c r="X24" s="665">
        <f t="shared" si="98"/>
        <v>0</v>
      </c>
      <c r="Y24" s="665">
        <f t="shared" si="98"/>
        <v>91828.396499999988</v>
      </c>
      <c r="Z24" s="665">
        <f t="shared" si="98"/>
        <v>0</v>
      </c>
      <c r="AA24" s="665">
        <f t="shared" si="98"/>
        <v>82293.248970000015</v>
      </c>
      <c r="AB24" s="665">
        <f t="shared" si="98"/>
        <v>0</v>
      </c>
      <c r="AC24" s="665">
        <f t="shared" si="98"/>
        <v>81510.342570000008</v>
      </c>
      <c r="AD24" s="665">
        <f t="shared" si="98"/>
        <v>0</v>
      </c>
      <c r="AE24" s="665">
        <f t="shared" si="98"/>
        <v>80727.436170000001</v>
      </c>
      <c r="AF24" s="665">
        <f t="shared" si="98"/>
        <v>0</v>
      </c>
      <c r="AG24" s="665">
        <f t="shared" si="98"/>
        <v>79944.529769999994</v>
      </c>
      <c r="AH24" s="665">
        <f t="shared" si="98"/>
        <v>0</v>
      </c>
      <c r="AI24" s="665">
        <f t="shared" si="98"/>
        <v>79161.623370000001</v>
      </c>
      <c r="AJ24" s="665">
        <f t="shared" si="98"/>
        <v>0</v>
      </c>
      <c r="AK24" s="665">
        <f t="shared" si="98"/>
        <v>78378.716970000009</v>
      </c>
      <c r="AL24" s="665">
        <f t="shared" si="98"/>
        <v>0</v>
      </c>
      <c r="AM24" s="665">
        <f t="shared" si="98"/>
        <v>0</v>
      </c>
      <c r="AN24" s="665">
        <f t="shared" si="98"/>
        <v>77204.357370000012</v>
      </c>
      <c r="AO24" s="665">
        <f t="shared" si="98"/>
        <v>0</v>
      </c>
      <c r="AP24" s="665">
        <f t="shared" si="98"/>
        <v>76421.450970000005</v>
      </c>
      <c r="AQ24" s="665">
        <f t="shared" ref="AQ24:BF24" si="99">IF(AQ3=1,IF(AQ16&gt;AQ8,AQ8*$E$7,AQ16*$E$7),0)</f>
        <v>0</v>
      </c>
      <c r="AR24" s="665">
        <f t="shared" si="99"/>
        <v>68387.852673000001</v>
      </c>
      <c r="AS24" s="665">
        <f t="shared" si="99"/>
        <v>0</v>
      </c>
      <c r="AT24" s="665">
        <f t="shared" si="99"/>
        <v>67604.946273000009</v>
      </c>
      <c r="AU24" s="665">
        <f t="shared" si="99"/>
        <v>0</v>
      </c>
      <c r="AV24" s="665">
        <f t="shared" si="99"/>
        <v>66822.039873000002</v>
      </c>
      <c r="AW24" s="665">
        <f t="shared" si="99"/>
        <v>0</v>
      </c>
      <c r="AX24" s="665">
        <f t="shared" si="99"/>
        <v>66039.133473000009</v>
      </c>
      <c r="AY24" s="665">
        <f t="shared" si="99"/>
        <v>0</v>
      </c>
      <c r="AZ24" s="665">
        <f t="shared" si="99"/>
        <v>65256.227073000009</v>
      </c>
      <c r="BA24" s="665">
        <f t="shared" si="99"/>
        <v>0</v>
      </c>
      <c r="BB24" s="665">
        <f t="shared" si="99"/>
        <v>0</v>
      </c>
      <c r="BC24" s="665">
        <f t="shared" si="99"/>
        <v>0</v>
      </c>
      <c r="BD24" s="665">
        <f t="shared" si="99"/>
        <v>63690.414273000009</v>
      </c>
      <c r="BE24" s="665">
        <f t="shared" si="99"/>
        <v>0</v>
      </c>
      <c r="BF24" s="665">
        <f t="shared" si="99"/>
        <v>62907.507873000002</v>
      </c>
      <c r="BG24" s="665">
        <f t="shared" ref="BG24:BV24" si="100">IF(BG3=1,IF(BG16&gt;BG8,BG8*$E$7,BG16*$E$7),0)</f>
        <v>0</v>
      </c>
      <c r="BH24" s="665">
        <f t="shared" si="100"/>
        <v>150109.17082500001</v>
      </c>
      <c r="BI24" s="665">
        <f t="shared" si="100"/>
        <v>0</v>
      </c>
      <c r="BJ24" s="665">
        <f t="shared" si="100"/>
        <v>150109.17082500001</v>
      </c>
      <c r="BK24" s="665">
        <f t="shared" si="100"/>
        <v>0</v>
      </c>
      <c r="BL24" s="665">
        <f t="shared" si="100"/>
        <v>150109.17082500001</v>
      </c>
      <c r="BM24" s="665">
        <f t="shared" si="100"/>
        <v>0</v>
      </c>
      <c r="BN24" s="665">
        <f t="shared" si="100"/>
        <v>150109.17082500001</v>
      </c>
      <c r="BO24" s="665">
        <f t="shared" si="100"/>
        <v>0</v>
      </c>
      <c r="BP24" s="665">
        <f t="shared" si="100"/>
        <v>150109.17082500001</v>
      </c>
      <c r="BQ24" s="665">
        <f t="shared" si="100"/>
        <v>0</v>
      </c>
      <c r="BR24" s="665">
        <f t="shared" si="100"/>
        <v>0</v>
      </c>
      <c r="BS24" s="665">
        <f t="shared" si="100"/>
        <v>0</v>
      </c>
      <c r="BT24" s="665">
        <f t="shared" si="100"/>
        <v>150109.17082500001</v>
      </c>
      <c r="BU24" s="665">
        <f t="shared" si="100"/>
        <v>0</v>
      </c>
      <c r="BV24" s="665">
        <f t="shared" si="100"/>
        <v>150109.17082500001</v>
      </c>
      <c r="BW24" s="665">
        <f t="shared" ref="BW24:CI24" si="101">IF(BW3=1,IF(BW16&gt;BW8,BW8*$E$7,BW16*$E$7),0)</f>
        <v>0</v>
      </c>
      <c r="BX24" s="665">
        <f t="shared" si="101"/>
        <v>150109.17082500001</v>
      </c>
      <c r="BY24" s="665">
        <f t="shared" si="101"/>
        <v>0</v>
      </c>
      <c r="BZ24" s="665">
        <f t="shared" si="101"/>
        <v>150109.17082500001</v>
      </c>
      <c r="CA24" s="665">
        <f t="shared" si="101"/>
        <v>0</v>
      </c>
      <c r="CB24" s="665">
        <f t="shared" si="101"/>
        <v>150109.17082500001</v>
      </c>
      <c r="CC24" s="665">
        <f t="shared" si="101"/>
        <v>0</v>
      </c>
      <c r="CD24" s="665">
        <f t="shared" si="101"/>
        <v>150109.17082500001</v>
      </c>
      <c r="CE24" s="665">
        <f t="shared" si="101"/>
        <v>0</v>
      </c>
      <c r="CF24" s="665">
        <f t="shared" si="101"/>
        <v>150109.17082500001</v>
      </c>
      <c r="CG24" s="665">
        <f t="shared" si="101"/>
        <v>0</v>
      </c>
      <c r="CH24" s="665">
        <f t="shared" si="101"/>
        <v>0</v>
      </c>
      <c r="CI24" s="665">
        <f t="shared" si="101"/>
        <v>0</v>
      </c>
    </row>
    <row r="25" spans="1:87" x14ac:dyDescent="0.25">
      <c r="A25" s="644" t="s">
        <v>32</v>
      </c>
      <c r="B25" s="660">
        <f>B5*B23</f>
        <v>24421.599999999999</v>
      </c>
      <c r="C25" s="655">
        <f>B25-B5</f>
        <v>-10466.400000000001</v>
      </c>
      <c r="D25" s="651">
        <f>C25*C5</f>
        <v>-5233.2000000000007</v>
      </c>
      <c r="E25" s="653">
        <f>IF(C25&gt;0,C25*D5,0)</f>
        <v>0</v>
      </c>
      <c r="F25" s="659">
        <f>IF(C25&lt;0,C25*F5,0)</f>
        <v>-62798.400000000009</v>
      </c>
      <c r="G25" s="659"/>
      <c r="H25" s="659"/>
      <c r="J25" s="126" t="s">
        <v>2472</v>
      </c>
      <c r="K25" s="665">
        <f>IF(K3=1,IF(K17&gt;K9,K9*$E$8,K17*$E$8),0)</f>
        <v>18792.899999999998</v>
      </c>
      <c r="L25" s="665">
        <f t="shared" ref="L25:AP25" si="102">IF(L3=1,IF(L17&gt;L9,L9*$E$8,L17*$E$8),0)</f>
        <v>0</v>
      </c>
      <c r="M25" s="665">
        <f t="shared" si="102"/>
        <v>18641.7</v>
      </c>
      <c r="N25" s="665">
        <f t="shared" si="102"/>
        <v>0</v>
      </c>
      <c r="O25" s="665">
        <f t="shared" si="102"/>
        <v>18490.5</v>
      </c>
      <c r="P25" s="665">
        <f t="shared" si="102"/>
        <v>0</v>
      </c>
      <c r="Q25" s="665">
        <f t="shared" si="102"/>
        <v>18339.3</v>
      </c>
      <c r="R25" s="665">
        <f t="shared" si="102"/>
        <v>0</v>
      </c>
      <c r="S25" s="665">
        <f t="shared" si="102"/>
        <v>18188.099999999999</v>
      </c>
      <c r="T25" s="665">
        <f t="shared" si="102"/>
        <v>0</v>
      </c>
      <c r="U25" s="665">
        <f t="shared" si="102"/>
        <v>18036.900000000001</v>
      </c>
      <c r="V25" s="665">
        <f t="shared" si="102"/>
        <v>0</v>
      </c>
      <c r="W25" s="665">
        <f t="shared" si="102"/>
        <v>0</v>
      </c>
      <c r="X25" s="665">
        <f t="shared" si="102"/>
        <v>0</v>
      </c>
      <c r="Y25" s="665">
        <f t="shared" si="102"/>
        <v>17734.5</v>
      </c>
      <c r="Z25" s="665">
        <f t="shared" si="102"/>
        <v>0</v>
      </c>
      <c r="AA25" s="665">
        <f t="shared" si="102"/>
        <v>15893.01</v>
      </c>
      <c r="AB25" s="665">
        <f t="shared" si="102"/>
        <v>0</v>
      </c>
      <c r="AC25" s="665">
        <f t="shared" si="102"/>
        <v>15741.810000000001</v>
      </c>
      <c r="AD25" s="665">
        <f t="shared" si="102"/>
        <v>0</v>
      </c>
      <c r="AE25" s="665">
        <f t="shared" si="102"/>
        <v>15590.61</v>
      </c>
      <c r="AF25" s="665">
        <f t="shared" si="102"/>
        <v>0</v>
      </c>
      <c r="AG25" s="665">
        <f t="shared" si="102"/>
        <v>15439.410000000002</v>
      </c>
      <c r="AH25" s="665">
        <f t="shared" si="102"/>
        <v>0</v>
      </c>
      <c r="AI25" s="665">
        <f t="shared" si="102"/>
        <v>15288.210000000001</v>
      </c>
      <c r="AJ25" s="665">
        <f t="shared" si="102"/>
        <v>0</v>
      </c>
      <c r="AK25" s="665">
        <f t="shared" si="102"/>
        <v>15137.010000000002</v>
      </c>
      <c r="AL25" s="665">
        <f t="shared" si="102"/>
        <v>0</v>
      </c>
      <c r="AM25" s="665">
        <f t="shared" si="102"/>
        <v>0</v>
      </c>
      <c r="AN25" s="665">
        <f t="shared" si="102"/>
        <v>14910.210000000001</v>
      </c>
      <c r="AO25" s="665">
        <f t="shared" si="102"/>
        <v>0</v>
      </c>
      <c r="AP25" s="665">
        <f t="shared" si="102"/>
        <v>14759.010000000002</v>
      </c>
      <c r="AQ25" s="665">
        <f t="shared" ref="AQ25:BF25" si="103">IF(AQ3=1,IF(AQ17&gt;AQ9,AQ9*$E$8,AQ17*$E$8),0)</f>
        <v>0</v>
      </c>
      <c r="AR25" s="665">
        <f t="shared" si="103"/>
        <v>13207.509000000002</v>
      </c>
      <c r="AS25" s="665">
        <f t="shared" si="103"/>
        <v>0</v>
      </c>
      <c r="AT25" s="665">
        <f t="shared" si="103"/>
        <v>13056.309000000001</v>
      </c>
      <c r="AU25" s="665">
        <f t="shared" si="103"/>
        <v>0</v>
      </c>
      <c r="AV25" s="665">
        <f t="shared" si="103"/>
        <v>12905.109000000002</v>
      </c>
      <c r="AW25" s="665">
        <f t="shared" si="103"/>
        <v>0</v>
      </c>
      <c r="AX25" s="665">
        <f t="shared" si="103"/>
        <v>12753.909000000001</v>
      </c>
      <c r="AY25" s="665">
        <f t="shared" si="103"/>
        <v>0</v>
      </c>
      <c r="AZ25" s="665">
        <f t="shared" si="103"/>
        <v>12602.709000000001</v>
      </c>
      <c r="BA25" s="665">
        <f t="shared" si="103"/>
        <v>0</v>
      </c>
      <c r="BB25" s="665">
        <f t="shared" si="103"/>
        <v>0</v>
      </c>
      <c r="BC25" s="665">
        <f t="shared" si="103"/>
        <v>0</v>
      </c>
      <c r="BD25" s="665">
        <f t="shared" si="103"/>
        <v>12300.309000000001</v>
      </c>
      <c r="BE25" s="665">
        <f t="shared" si="103"/>
        <v>0</v>
      </c>
      <c r="BF25" s="665">
        <f t="shared" si="103"/>
        <v>12149.109</v>
      </c>
      <c r="BG25" s="665">
        <f t="shared" ref="BG25:BV25" si="104">IF(BG3=1,IF(BG17&gt;BG9,BG9*$E$8,BG17*$E$8),0)</f>
        <v>0</v>
      </c>
      <c r="BH25" s="665">
        <f t="shared" si="104"/>
        <v>34208.275500000003</v>
      </c>
      <c r="BI25" s="665">
        <f t="shared" si="104"/>
        <v>0</v>
      </c>
      <c r="BJ25" s="665">
        <f t="shared" si="104"/>
        <v>34208.275500000003</v>
      </c>
      <c r="BK25" s="665">
        <f t="shared" si="104"/>
        <v>0</v>
      </c>
      <c r="BL25" s="665">
        <f t="shared" si="104"/>
        <v>34208.275500000003</v>
      </c>
      <c r="BM25" s="665">
        <f t="shared" si="104"/>
        <v>0</v>
      </c>
      <c r="BN25" s="665">
        <f t="shared" si="104"/>
        <v>34208.275500000003</v>
      </c>
      <c r="BO25" s="665">
        <f t="shared" si="104"/>
        <v>0</v>
      </c>
      <c r="BP25" s="665">
        <f t="shared" si="104"/>
        <v>34208.275500000003</v>
      </c>
      <c r="BQ25" s="665">
        <f t="shared" si="104"/>
        <v>0</v>
      </c>
      <c r="BR25" s="665">
        <f t="shared" si="104"/>
        <v>0</v>
      </c>
      <c r="BS25" s="665">
        <f t="shared" si="104"/>
        <v>0</v>
      </c>
      <c r="BT25" s="665">
        <f t="shared" si="104"/>
        <v>34208.275500000003</v>
      </c>
      <c r="BU25" s="665">
        <f t="shared" si="104"/>
        <v>0</v>
      </c>
      <c r="BV25" s="665">
        <f t="shared" si="104"/>
        <v>34208.275500000003</v>
      </c>
      <c r="BW25" s="665">
        <f t="shared" ref="BW25:CI25" si="105">IF(BW3=1,IF(BW17&gt;BW9,BW9*$E$8,BW17*$E$8),0)</f>
        <v>0</v>
      </c>
      <c r="BX25" s="665">
        <f t="shared" si="105"/>
        <v>34208.275500000003</v>
      </c>
      <c r="BY25" s="665">
        <f t="shared" si="105"/>
        <v>0</v>
      </c>
      <c r="BZ25" s="665">
        <f t="shared" si="105"/>
        <v>34208.275500000003</v>
      </c>
      <c r="CA25" s="665">
        <f t="shared" si="105"/>
        <v>0</v>
      </c>
      <c r="CB25" s="665">
        <f t="shared" si="105"/>
        <v>34208.275500000003</v>
      </c>
      <c r="CC25" s="665">
        <f t="shared" si="105"/>
        <v>0</v>
      </c>
      <c r="CD25" s="665">
        <f t="shared" si="105"/>
        <v>34208.275500000003</v>
      </c>
      <c r="CE25" s="665">
        <f t="shared" si="105"/>
        <v>0</v>
      </c>
      <c r="CF25" s="665">
        <f t="shared" si="105"/>
        <v>34208.275500000003</v>
      </c>
      <c r="CG25" s="665">
        <f t="shared" si="105"/>
        <v>0</v>
      </c>
      <c r="CH25" s="665">
        <f t="shared" si="105"/>
        <v>0</v>
      </c>
      <c r="CI25" s="665">
        <f t="shared" si="105"/>
        <v>0</v>
      </c>
    </row>
    <row r="26" spans="1:87" x14ac:dyDescent="0.25">
      <c r="A26" s="644" t="s">
        <v>33</v>
      </c>
      <c r="B26" s="660">
        <f>B6*B23</f>
        <v>9373.6999999999989</v>
      </c>
      <c r="C26" s="655">
        <f>B26-B6</f>
        <v>-4017.3000000000011</v>
      </c>
      <c r="D26" s="651">
        <f t="shared" ref="D26:D28" si="106">C26*C6</f>
        <v>-2812.1100000000006</v>
      </c>
      <c r="E26" s="653">
        <f t="shared" ref="E26:E28" si="107">IF(C26&gt;0,C26*D6,0)</f>
        <v>0</v>
      </c>
      <c r="F26" s="659">
        <f t="shared" ref="F26:F28" si="108">IF(C26&lt;0,C26*F6,0)</f>
        <v>-24103.800000000007</v>
      </c>
      <c r="G26" s="659"/>
      <c r="H26" s="659"/>
      <c r="J26" s="669" t="s">
        <v>2451</v>
      </c>
      <c r="K26" s="670">
        <f>(-1)*$G$9</f>
        <v>-41599.199999999997</v>
      </c>
      <c r="L26" s="670">
        <f t="shared" ref="L26:BW26" si="109">(-1)*$G$9</f>
        <v>-41599.199999999997</v>
      </c>
      <c r="M26" s="670">
        <f t="shared" si="109"/>
        <v>-41599.199999999997</v>
      </c>
      <c r="N26" s="670">
        <f t="shared" si="109"/>
        <v>-41599.199999999997</v>
      </c>
      <c r="O26" s="670">
        <f t="shared" si="109"/>
        <v>-41599.199999999997</v>
      </c>
      <c r="P26" s="670">
        <f t="shared" si="109"/>
        <v>-41599.199999999997</v>
      </c>
      <c r="Q26" s="670">
        <f t="shared" si="109"/>
        <v>-41599.199999999997</v>
      </c>
      <c r="R26" s="670">
        <f t="shared" si="109"/>
        <v>-41599.199999999997</v>
      </c>
      <c r="S26" s="670">
        <f t="shared" si="109"/>
        <v>-41599.199999999997</v>
      </c>
      <c r="T26" s="670">
        <f t="shared" si="109"/>
        <v>-41599.199999999997</v>
      </c>
      <c r="U26" s="670">
        <f t="shared" si="109"/>
        <v>-41599.199999999997</v>
      </c>
      <c r="V26" s="670">
        <f t="shared" si="109"/>
        <v>-41599.199999999997</v>
      </c>
      <c r="W26" s="670">
        <f t="shared" si="109"/>
        <v>-41599.199999999997</v>
      </c>
      <c r="X26" s="670">
        <f t="shared" si="109"/>
        <v>-41599.199999999997</v>
      </c>
      <c r="Y26" s="670">
        <f t="shared" si="109"/>
        <v>-41599.199999999997</v>
      </c>
      <c r="Z26" s="670">
        <f t="shared" si="109"/>
        <v>-41599.199999999997</v>
      </c>
      <c r="AA26" s="670">
        <f t="shared" si="109"/>
        <v>-41599.199999999997</v>
      </c>
      <c r="AB26" s="670">
        <f t="shared" si="109"/>
        <v>-41599.199999999997</v>
      </c>
      <c r="AC26" s="670">
        <f t="shared" si="109"/>
        <v>-41599.199999999997</v>
      </c>
      <c r="AD26" s="670">
        <f t="shared" si="109"/>
        <v>-41599.199999999997</v>
      </c>
      <c r="AE26" s="670">
        <f t="shared" si="109"/>
        <v>-41599.199999999997</v>
      </c>
      <c r="AF26" s="670">
        <f t="shared" si="109"/>
        <v>-41599.199999999997</v>
      </c>
      <c r="AG26" s="670">
        <f t="shared" si="109"/>
        <v>-41599.199999999997</v>
      </c>
      <c r="AH26" s="670">
        <f t="shared" si="109"/>
        <v>-41599.199999999997</v>
      </c>
      <c r="AI26" s="670">
        <f t="shared" si="109"/>
        <v>-41599.199999999997</v>
      </c>
      <c r="AJ26" s="670">
        <f t="shared" si="109"/>
        <v>-41599.199999999997</v>
      </c>
      <c r="AK26" s="670">
        <f t="shared" si="109"/>
        <v>-41599.199999999997</v>
      </c>
      <c r="AL26" s="670">
        <f t="shared" si="109"/>
        <v>-41599.199999999997</v>
      </c>
      <c r="AM26" s="670">
        <f t="shared" si="109"/>
        <v>-41599.199999999997</v>
      </c>
      <c r="AN26" s="670">
        <f t="shared" si="109"/>
        <v>-41599.199999999997</v>
      </c>
      <c r="AO26" s="670">
        <f t="shared" si="109"/>
        <v>-41599.199999999997</v>
      </c>
      <c r="AP26" s="670">
        <f t="shared" si="109"/>
        <v>-41599.199999999997</v>
      </c>
      <c r="AQ26" s="670">
        <f t="shared" si="109"/>
        <v>-41599.199999999997</v>
      </c>
      <c r="AR26" s="670">
        <f t="shared" si="109"/>
        <v>-41599.199999999997</v>
      </c>
      <c r="AS26" s="670">
        <f t="shared" si="109"/>
        <v>-41599.199999999997</v>
      </c>
      <c r="AT26" s="670">
        <f t="shared" si="109"/>
        <v>-41599.199999999997</v>
      </c>
      <c r="AU26" s="670">
        <f t="shared" si="109"/>
        <v>-41599.199999999997</v>
      </c>
      <c r="AV26" s="670">
        <f t="shared" si="109"/>
        <v>-41599.199999999997</v>
      </c>
      <c r="AW26" s="670">
        <f t="shared" si="109"/>
        <v>-41599.199999999997</v>
      </c>
      <c r="AX26" s="670">
        <f t="shared" si="109"/>
        <v>-41599.199999999997</v>
      </c>
      <c r="AY26" s="670">
        <f t="shared" si="109"/>
        <v>-41599.199999999997</v>
      </c>
      <c r="AZ26" s="670">
        <f t="shared" si="109"/>
        <v>-41599.199999999997</v>
      </c>
      <c r="BA26" s="670">
        <f t="shared" si="109"/>
        <v>-41599.199999999997</v>
      </c>
      <c r="BB26" s="670">
        <f t="shared" si="109"/>
        <v>-41599.199999999997</v>
      </c>
      <c r="BC26" s="670">
        <f t="shared" si="109"/>
        <v>-41599.199999999997</v>
      </c>
      <c r="BD26" s="670">
        <f t="shared" si="109"/>
        <v>-41599.199999999997</v>
      </c>
      <c r="BE26" s="670">
        <f t="shared" si="109"/>
        <v>-41599.199999999997</v>
      </c>
      <c r="BF26" s="670">
        <f t="shared" si="109"/>
        <v>-41599.199999999997</v>
      </c>
      <c r="BG26" s="670">
        <f t="shared" si="109"/>
        <v>-41599.199999999997</v>
      </c>
      <c r="BH26" s="670">
        <f t="shared" si="109"/>
        <v>-41599.199999999997</v>
      </c>
      <c r="BI26" s="670">
        <f t="shared" si="109"/>
        <v>-41599.199999999997</v>
      </c>
      <c r="BJ26" s="670">
        <f t="shared" si="109"/>
        <v>-41599.199999999997</v>
      </c>
      <c r="BK26" s="670">
        <f t="shared" si="109"/>
        <v>-41599.199999999997</v>
      </c>
      <c r="BL26" s="670">
        <f t="shared" si="109"/>
        <v>-41599.199999999997</v>
      </c>
      <c r="BM26" s="670">
        <f t="shared" si="109"/>
        <v>-41599.199999999997</v>
      </c>
      <c r="BN26" s="670">
        <f t="shared" si="109"/>
        <v>-41599.199999999997</v>
      </c>
      <c r="BO26" s="670">
        <f t="shared" si="109"/>
        <v>-41599.199999999997</v>
      </c>
      <c r="BP26" s="670">
        <f t="shared" si="109"/>
        <v>-41599.199999999997</v>
      </c>
      <c r="BQ26" s="670">
        <f t="shared" si="109"/>
        <v>-41599.199999999997</v>
      </c>
      <c r="BR26" s="670">
        <f t="shared" si="109"/>
        <v>-41599.199999999997</v>
      </c>
      <c r="BS26" s="670">
        <f t="shared" si="109"/>
        <v>-41599.199999999997</v>
      </c>
      <c r="BT26" s="670">
        <f t="shared" si="109"/>
        <v>-41599.199999999997</v>
      </c>
      <c r="BU26" s="670">
        <f t="shared" si="109"/>
        <v>-41599.199999999997</v>
      </c>
      <c r="BV26" s="670">
        <f t="shared" si="109"/>
        <v>-41599.199999999997</v>
      </c>
      <c r="BW26" s="670">
        <f t="shared" si="109"/>
        <v>-41599.199999999997</v>
      </c>
      <c r="BX26" s="670">
        <f t="shared" ref="BX26:CI26" si="110">(-1)*$G$9</f>
        <v>-41599.199999999997</v>
      </c>
      <c r="BY26" s="670">
        <f t="shared" si="110"/>
        <v>-41599.199999999997</v>
      </c>
      <c r="BZ26" s="670">
        <f t="shared" si="110"/>
        <v>-41599.199999999997</v>
      </c>
      <c r="CA26" s="670">
        <f t="shared" si="110"/>
        <v>-41599.199999999997</v>
      </c>
      <c r="CB26" s="670">
        <f t="shared" si="110"/>
        <v>-41599.199999999997</v>
      </c>
      <c r="CC26" s="670">
        <f t="shared" si="110"/>
        <v>-41599.199999999997</v>
      </c>
      <c r="CD26" s="670">
        <f t="shared" si="110"/>
        <v>-41599.199999999997</v>
      </c>
      <c r="CE26" s="670">
        <f t="shared" si="110"/>
        <v>-41599.199999999997</v>
      </c>
      <c r="CF26" s="670">
        <f t="shared" si="110"/>
        <v>-41599.199999999997</v>
      </c>
      <c r="CG26" s="670">
        <f t="shared" si="110"/>
        <v>-41599.199999999997</v>
      </c>
      <c r="CH26" s="670">
        <f t="shared" si="110"/>
        <v>-41599.199999999997</v>
      </c>
      <c r="CI26" s="670">
        <f t="shared" si="110"/>
        <v>-41599.199999999997</v>
      </c>
    </row>
    <row r="27" spans="1:87" x14ac:dyDescent="0.25">
      <c r="A27" s="644" t="s">
        <v>34</v>
      </c>
      <c r="B27" s="660">
        <f>B7*B23</f>
        <v>7902.2999999999993</v>
      </c>
      <c r="C27" s="655">
        <f>B27-B7</f>
        <v>-3386.7000000000007</v>
      </c>
      <c r="D27" s="651">
        <f t="shared" si="106"/>
        <v>-3386.7000000000007</v>
      </c>
      <c r="E27" s="653">
        <f t="shared" si="107"/>
        <v>0</v>
      </c>
      <c r="F27" s="659">
        <f t="shared" si="108"/>
        <v>-20320.200000000004</v>
      </c>
      <c r="G27" s="659"/>
      <c r="H27" s="659"/>
      <c r="J27" s="120" t="s">
        <v>2452</v>
      </c>
      <c r="K27" s="664">
        <f>IF(K14&gt;K6,$C$5*K6*(-1),K14*$C$5*(-1))</f>
        <v>-12558.43</v>
      </c>
      <c r="L27" s="664">
        <f t="shared" ref="L27:Q27" si="111">IF(L14&gt;L6,$C$5*L6*(-1),L14*$C$5*(-1))</f>
        <v>-12210.8</v>
      </c>
      <c r="M27" s="664">
        <f t="shared" si="111"/>
        <v>-12210.8</v>
      </c>
      <c r="N27" s="664">
        <f t="shared" si="111"/>
        <v>-12210.8</v>
      </c>
      <c r="O27" s="664">
        <f t="shared" si="111"/>
        <v>-12210.8</v>
      </c>
      <c r="P27" s="664">
        <f t="shared" si="111"/>
        <v>-12210.8</v>
      </c>
      <c r="Q27" s="664">
        <f t="shared" si="111"/>
        <v>-12210.8</v>
      </c>
      <c r="R27" s="664">
        <f t="shared" ref="R27:AP27" si="112">IF(R14&gt;R6,$C$5*R6*(-1),R14*$C$5*(-1))</f>
        <v>-12204.789999999999</v>
      </c>
      <c r="S27" s="664">
        <f t="shared" si="112"/>
        <v>-12154.27</v>
      </c>
      <c r="T27" s="664">
        <f t="shared" si="112"/>
        <v>-12103.75</v>
      </c>
      <c r="U27" s="664">
        <f t="shared" si="112"/>
        <v>-12053.23</v>
      </c>
      <c r="V27" s="664">
        <f t="shared" si="112"/>
        <v>-12002.71</v>
      </c>
      <c r="W27" s="664">
        <f t="shared" si="112"/>
        <v>-11952.19</v>
      </c>
      <c r="X27" s="664">
        <f t="shared" si="112"/>
        <v>-11901.67</v>
      </c>
      <c r="Y27" s="664">
        <f t="shared" si="112"/>
        <v>-11851.15</v>
      </c>
      <c r="Z27" s="664">
        <f t="shared" si="112"/>
        <v>-11800.63</v>
      </c>
      <c r="AA27" s="664">
        <f t="shared" si="112"/>
        <v>-10620.567000000001</v>
      </c>
      <c r="AB27" s="664">
        <f t="shared" si="112"/>
        <v>-10570.047</v>
      </c>
      <c r="AC27" s="664">
        <f t="shared" si="112"/>
        <v>-10519.527000000002</v>
      </c>
      <c r="AD27" s="664">
        <f t="shared" si="112"/>
        <v>-10469.007000000001</v>
      </c>
      <c r="AE27" s="664">
        <f t="shared" si="112"/>
        <v>-10418.487000000001</v>
      </c>
      <c r="AF27" s="664">
        <f t="shared" si="112"/>
        <v>-10367.967000000001</v>
      </c>
      <c r="AG27" s="664">
        <f t="shared" si="112"/>
        <v>-10317.447000000002</v>
      </c>
      <c r="AH27" s="664">
        <f t="shared" si="112"/>
        <v>-10266.927000000001</v>
      </c>
      <c r="AI27" s="664">
        <f t="shared" si="112"/>
        <v>-10216.407000000001</v>
      </c>
      <c r="AJ27" s="664">
        <f t="shared" si="112"/>
        <v>-10165.887000000001</v>
      </c>
      <c r="AK27" s="664">
        <f t="shared" si="112"/>
        <v>-10115.367</v>
      </c>
      <c r="AL27" s="664">
        <f t="shared" si="112"/>
        <v>-10064.847000000002</v>
      </c>
      <c r="AM27" s="664">
        <f t="shared" si="112"/>
        <v>-10014.327000000001</v>
      </c>
      <c r="AN27" s="664">
        <f t="shared" si="112"/>
        <v>-9963.8070000000007</v>
      </c>
      <c r="AO27" s="664">
        <f t="shared" si="112"/>
        <v>-9913.2870000000003</v>
      </c>
      <c r="AP27" s="664">
        <f t="shared" si="112"/>
        <v>-9862.7670000000016</v>
      </c>
      <c r="AQ27" s="664">
        <f t="shared" ref="AQ27:BF27" si="113">IF(AQ14&gt;AQ6,$C$5*AQ6*(-1),AQ14*$C$5*(-1))</f>
        <v>-8876.4903000000013</v>
      </c>
      <c r="AR27" s="664">
        <f t="shared" si="113"/>
        <v>-8825.9703000000009</v>
      </c>
      <c r="AS27" s="664">
        <f t="shared" si="113"/>
        <v>-8775.4503000000004</v>
      </c>
      <c r="AT27" s="664">
        <f t="shared" si="113"/>
        <v>-8724.9303000000018</v>
      </c>
      <c r="AU27" s="664">
        <f t="shared" si="113"/>
        <v>-8674.4103000000014</v>
      </c>
      <c r="AV27" s="664">
        <f t="shared" si="113"/>
        <v>-8623.8903000000009</v>
      </c>
      <c r="AW27" s="664">
        <f t="shared" si="113"/>
        <v>-8573.3703000000005</v>
      </c>
      <c r="AX27" s="664">
        <f t="shared" si="113"/>
        <v>-8522.8503000000019</v>
      </c>
      <c r="AY27" s="664">
        <f t="shared" si="113"/>
        <v>-8472.3303000000014</v>
      </c>
      <c r="AZ27" s="664">
        <f t="shared" si="113"/>
        <v>-8421.810300000001</v>
      </c>
      <c r="BA27" s="664">
        <f t="shared" si="113"/>
        <v>-8371.2903000000006</v>
      </c>
      <c r="BB27" s="664">
        <f t="shared" si="113"/>
        <v>-8320.770300000002</v>
      </c>
      <c r="BC27" s="664">
        <f t="shared" si="113"/>
        <v>-8270.2503000000015</v>
      </c>
      <c r="BD27" s="664">
        <f t="shared" si="113"/>
        <v>-8219.7303000000011</v>
      </c>
      <c r="BE27" s="664">
        <f t="shared" si="113"/>
        <v>-8169.2103000000016</v>
      </c>
      <c r="BF27" s="664">
        <f t="shared" si="113"/>
        <v>-8118.6903000000011</v>
      </c>
      <c r="BG27" s="664">
        <f t="shared" ref="BG27:BV27" si="114">IF(BG14&gt;BG6,$C$5*BG6*(-1),BG14*$C$5*(-1))</f>
        <v>-12207.659100000003</v>
      </c>
      <c r="BH27" s="664">
        <f t="shared" si="114"/>
        <v>-12207.659100000003</v>
      </c>
      <c r="BI27" s="664">
        <f t="shared" si="114"/>
        <v>-12207.659100000003</v>
      </c>
      <c r="BJ27" s="664">
        <f t="shared" si="114"/>
        <v>-12207.659100000003</v>
      </c>
      <c r="BK27" s="664">
        <f t="shared" si="114"/>
        <v>-12207.659100000003</v>
      </c>
      <c r="BL27" s="664">
        <f t="shared" si="114"/>
        <v>-12207.659100000003</v>
      </c>
      <c r="BM27" s="664">
        <f t="shared" si="114"/>
        <v>-12207.659100000003</v>
      </c>
      <c r="BN27" s="664">
        <f t="shared" si="114"/>
        <v>-12207.659100000003</v>
      </c>
      <c r="BO27" s="664">
        <f t="shared" si="114"/>
        <v>-12207.659100000003</v>
      </c>
      <c r="BP27" s="664">
        <f t="shared" si="114"/>
        <v>-12207.659100000003</v>
      </c>
      <c r="BQ27" s="664">
        <f t="shared" si="114"/>
        <v>-12207.659100000003</v>
      </c>
      <c r="BR27" s="664">
        <f t="shared" si="114"/>
        <v>-12207.659100000003</v>
      </c>
      <c r="BS27" s="664">
        <f t="shared" si="114"/>
        <v>-12207.659100000003</v>
      </c>
      <c r="BT27" s="664">
        <f t="shared" si="114"/>
        <v>-12207.659100000003</v>
      </c>
      <c r="BU27" s="664">
        <f t="shared" si="114"/>
        <v>-12207.659100000003</v>
      </c>
      <c r="BV27" s="664">
        <f t="shared" si="114"/>
        <v>-12207.659100000003</v>
      </c>
      <c r="BW27" s="664">
        <f t="shared" ref="BW27:CI27" si="115">IF(BW14&gt;BW6,$C$5*BW6*(-1),BW14*$C$5*(-1))</f>
        <v>-12207.659100000003</v>
      </c>
      <c r="BX27" s="664">
        <f t="shared" si="115"/>
        <v>-12207.659100000003</v>
      </c>
      <c r="BY27" s="664">
        <f t="shared" si="115"/>
        <v>-12207.659100000003</v>
      </c>
      <c r="BZ27" s="664">
        <f t="shared" si="115"/>
        <v>-12207.659100000003</v>
      </c>
      <c r="CA27" s="664">
        <f t="shared" si="115"/>
        <v>-12207.659100000003</v>
      </c>
      <c r="CB27" s="664">
        <f t="shared" si="115"/>
        <v>-12207.659100000003</v>
      </c>
      <c r="CC27" s="664">
        <f t="shared" si="115"/>
        <v>-12207.659100000003</v>
      </c>
      <c r="CD27" s="664">
        <f t="shared" si="115"/>
        <v>-12207.659100000003</v>
      </c>
      <c r="CE27" s="664">
        <f t="shared" si="115"/>
        <v>-12207.659100000003</v>
      </c>
      <c r="CF27" s="664">
        <f t="shared" si="115"/>
        <v>-12207.659100000003</v>
      </c>
      <c r="CG27" s="664">
        <f t="shared" si="115"/>
        <v>-12207.659100000003</v>
      </c>
      <c r="CH27" s="664">
        <f t="shared" si="115"/>
        <v>-12207.659100000003</v>
      </c>
      <c r="CI27" s="664">
        <f t="shared" si="115"/>
        <v>-12207.659100000003</v>
      </c>
    </row>
    <row r="28" spans="1:87" x14ac:dyDescent="0.25">
      <c r="A28" s="644" t="s">
        <v>35</v>
      </c>
      <c r="B28" s="660">
        <f>B8*B23</f>
        <v>977.9</v>
      </c>
      <c r="C28" s="655">
        <f>B28-B8</f>
        <v>-419.1</v>
      </c>
      <c r="D28" s="651">
        <f t="shared" si="106"/>
        <v>-1047.75</v>
      </c>
      <c r="E28" s="653">
        <f t="shared" si="107"/>
        <v>0</v>
      </c>
      <c r="F28" s="659">
        <f t="shared" si="108"/>
        <v>-2514.6000000000004</v>
      </c>
      <c r="G28" s="659"/>
      <c r="H28" s="659"/>
      <c r="J28" s="120" t="s">
        <v>2453</v>
      </c>
      <c r="K28" s="664">
        <f>IF(K15&gt;K7,$C$6*K7*(-1),K15*$C$6*(-1))</f>
        <v>-5700.5129999999999</v>
      </c>
      <c r="L28" s="664">
        <f t="shared" ref="L28:Q28" si="116">IF(L15&gt;L7,$C$6*L7*(-1),L15*$C$6*(-1))</f>
        <v>-5677.5809999999992</v>
      </c>
      <c r="M28" s="664">
        <f t="shared" si="116"/>
        <v>-5654.6489999999994</v>
      </c>
      <c r="N28" s="664">
        <f t="shared" si="116"/>
        <v>-5631.7169999999996</v>
      </c>
      <c r="O28" s="664">
        <f t="shared" si="116"/>
        <v>-5608.7849999999999</v>
      </c>
      <c r="P28" s="664">
        <f t="shared" si="116"/>
        <v>-5585.8530000000001</v>
      </c>
      <c r="Q28" s="664">
        <f t="shared" si="116"/>
        <v>-5562.9209999999994</v>
      </c>
      <c r="R28" s="664">
        <f t="shared" ref="R28:AP28" si="117">IF(R15&gt;R7,$C$6*R7*(-1),R15*$C$6*(-1))</f>
        <v>-5539.9889999999996</v>
      </c>
      <c r="S28" s="664">
        <f t="shared" si="117"/>
        <v>-5517.0569999999998</v>
      </c>
      <c r="T28" s="664">
        <f t="shared" si="117"/>
        <v>-5494.125</v>
      </c>
      <c r="U28" s="664">
        <f t="shared" si="117"/>
        <v>-5471.1929999999993</v>
      </c>
      <c r="V28" s="664">
        <f t="shared" si="117"/>
        <v>-5448.2609999999995</v>
      </c>
      <c r="W28" s="664">
        <f t="shared" si="117"/>
        <v>-5425.3289999999997</v>
      </c>
      <c r="X28" s="664">
        <f t="shared" si="117"/>
        <v>-5402.3969999999999</v>
      </c>
      <c r="Y28" s="664">
        <f t="shared" si="117"/>
        <v>-5379.4649999999992</v>
      </c>
      <c r="Z28" s="664">
        <f t="shared" si="117"/>
        <v>-5356.5329999999994</v>
      </c>
      <c r="AA28" s="664">
        <f t="shared" si="117"/>
        <v>-4820.8797000000004</v>
      </c>
      <c r="AB28" s="664">
        <f t="shared" si="117"/>
        <v>-4797.9477000000006</v>
      </c>
      <c r="AC28" s="664">
        <f t="shared" si="117"/>
        <v>-4775.0156999999999</v>
      </c>
      <c r="AD28" s="664">
        <f t="shared" si="117"/>
        <v>-4752.0837000000001</v>
      </c>
      <c r="AE28" s="664">
        <f t="shared" si="117"/>
        <v>-4729.1517000000003</v>
      </c>
      <c r="AF28" s="664">
        <f t="shared" si="117"/>
        <v>-4706.2196999999996</v>
      </c>
      <c r="AG28" s="664">
        <f t="shared" si="117"/>
        <v>-4683.2877000000008</v>
      </c>
      <c r="AH28" s="664">
        <f t="shared" si="117"/>
        <v>-4660.3557000000001</v>
      </c>
      <c r="AI28" s="664">
        <f t="shared" si="117"/>
        <v>-4637.4237000000003</v>
      </c>
      <c r="AJ28" s="664">
        <f t="shared" si="117"/>
        <v>-4614.4916999999996</v>
      </c>
      <c r="AK28" s="664">
        <f t="shared" si="117"/>
        <v>-4591.5597000000007</v>
      </c>
      <c r="AL28" s="664">
        <f t="shared" si="117"/>
        <v>-4568.6277</v>
      </c>
      <c r="AM28" s="664">
        <f t="shared" si="117"/>
        <v>-4545.6957000000002</v>
      </c>
      <c r="AN28" s="664">
        <f t="shared" si="117"/>
        <v>-4522.7636999999995</v>
      </c>
      <c r="AO28" s="664">
        <f t="shared" si="117"/>
        <v>-4499.8317000000006</v>
      </c>
      <c r="AP28" s="664">
        <f t="shared" si="117"/>
        <v>-4476.8996999999999</v>
      </c>
      <c r="AQ28" s="664">
        <f t="shared" ref="AQ28:BF28" si="118">IF(AQ15&gt;AQ7,$C$6*AQ7*(-1),AQ15*$C$6*(-1))</f>
        <v>-4029.2097300000005</v>
      </c>
      <c r="AR28" s="664">
        <f t="shared" si="118"/>
        <v>-4006.2777300000002</v>
      </c>
      <c r="AS28" s="664">
        <f t="shared" si="118"/>
        <v>-3983.34573</v>
      </c>
      <c r="AT28" s="664">
        <f t="shared" si="118"/>
        <v>-3960.4137300000007</v>
      </c>
      <c r="AU28" s="664">
        <f t="shared" si="118"/>
        <v>-3937.4817300000004</v>
      </c>
      <c r="AV28" s="664">
        <f t="shared" si="118"/>
        <v>-3914.5497300000002</v>
      </c>
      <c r="AW28" s="664">
        <f t="shared" si="118"/>
        <v>-3891.6177299999999</v>
      </c>
      <c r="AX28" s="664">
        <f t="shared" si="118"/>
        <v>-3868.6857300000006</v>
      </c>
      <c r="AY28" s="664">
        <f t="shared" si="118"/>
        <v>-3845.7537300000004</v>
      </c>
      <c r="AZ28" s="664">
        <f t="shared" si="118"/>
        <v>-3822.8217300000001</v>
      </c>
      <c r="BA28" s="664">
        <f t="shared" si="118"/>
        <v>-3799.8897299999999</v>
      </c>
      <c r="BB28" s="664">
        <f t="shared" si="118"/>
        <v>-3776.9577300000005</v>
      </c>
      <c r="BC28" s="664">
        <f t="shared" si="118"/>
        <v>-3754.0257300000003</v>
      </c>
      <c r="BD28" s="664">
        <f t="shared" si="118"/>
        <v>-3731.0937300000001</v>
      </c>
      <c r="BE28" s="664">
        <f t="shared" si="118"/>
        <v>-3708.1617300000003</v>
      </c>
      <c r="BF28" s="664">
        <f t="shared" si="118"/>
        <v>-3685.2297300000005</v>
      </c>
      <c r="BG28" s="664">
        <f t="shared" ref="BG28:BV28" si="119">IF(BG15&gt;BG7,$C$6*BG7*(-1),BG15*$C$6*(-1))</f>
        <v>-6559.9398900000006</v>
      </c>
      <c r="BH28" s="664">
        <f t="shared" si="119"/>
        <v>-6559.9398900000006</v>
      </c>
      <c r="BI28" s="664">
        <f t="shared" si="119"/>
        <v>-6559.9398900000006</v>
      </c>
      <c r="BJ28" s="664">
        <f t="shared" si="119"/>
        <v>-6559.9398900000006</v>
      </c>
      <c r="BK28" s="664">
        <f t="shared" si="119"/>
        <v>-6559.9398900000006</v>
      </c>
      <c r="BL28" s="664">
        <f t="shared" si="119"/>
        <v>-6559.9398900000006</v>
      </c>
      <c r="BM28" s="664">
        <f t="shared" si="119"/>
        <v>-6559.9398900000006</v>
      </c>
      <c r="BN28" s="664">
        <f t="shared" si="119"/>
        <v>-6559.9398900000006</v>
      </c>
      <c r="BO28" s="664">
        <f t="shared" si="119"/>
        <v>-6559.9398900000006</v>
      </c>
      <c r="BP28" s="664">
        <f t="shared" si="119"/>
        <v>-6559.9398900000006</v>
      </c>
      <c r="BQ28" s="664">
        <f t="shared" si="119"/>
        <v>-6559.9398900000006</v>
      </c>
      <c r="BR28" s="664">
        <f t="shared" si="119"/>
        <v>-6559.9398900000006</v>
      </c>
      <c r="BS28" s="664">
        <f t="shared" si="119"/>
        <v>-6559.9398900000006</v>
      </c>
      <c r="BT28" s="664">
        <f t="shared" si="119"/>
        <v>-6559.9398900000006</v>
      </c>
      <c r="BU28" s="664">
        <f t="shared" si="119"/>
        <v>-6559.9398900000006</v>
      </c>
      <c r="BV28" s="664">
        <f t="shared" si="119"/>
        <v>-6559.9398900000006</v>
      </c>
      <c r="BW28" s="664">
        <f t="shared" ref="BW28:CI28" si="120">IF(BW15&gt;BW7,$C$6*BW7*(-1),BW15*$C$6*(-1))</f>
        <v>-6559.9398900000006</v>
      </c>
      <c r="BX28" s="664">
        <f t="shared" si="120"/>
        <v>-6559.9398900000006</v>
      </c>
      <c r="BY28" s="664">
        <f t="shared" si="120"/>
        <v>-6559.9398900000006</v>
      </c>
      <c r="BZ28" s="664">
        <f t="shared" si="120"/>
        <v>-6559.9398900000006</v>
      </c>
      <c r="CA28" s="664">
        <f t="shared" si="120"/>
        <v>-6559.9398900000006</v>
      </c>
      <c r="CB28" s="664">
        <f t="shared" si="120"/>
        <v>-6559.9398900000006</v>
      </c>
      <c r="CC28" s="664">
        <f t="shared" si="120"/>
        <v>-6559.9398900000006</v>
      </c>
      <c r="CD28" s="664">
        <f t="shared" si="120"/>
        <v>-6559.9398900000006</v>
      </c>
      <c r="CE28" s="664">
        <f t="shared" si="120"/>
        <v>-6559.9398900000006</v>
      </c>
      <c r="CF28" s="664">
        <f t="shared" si="120"/>
        <v>-6559.9398900000006</v>
      </c>
      <c r="CG28" s="664">
        <f t="shared" si="120"/>
        <v>-6559.9398900000006</v>
      </c>
      <c r="CH28" s="664">
        <f t="shared" si="120"/>
        <v>-6559.9398900000006</v>
      </c>
      <c r="CI28" s="664">
        <f t="shared" si="120"/>
        <v>-6559.9398900000006</v>
      </c>
    </row>
    <row r="29" spans="1:87" x14ac:dyDescent="0.25">
      <c r="J29" s="120" t="s">
        <v>2454</v>
      </c>
      <c r="K29" s="664">
        <f>IF(K16&gt;K8,$C$7*K8*(-1),K16*$C$7*(-1))</f>
        <v>-5121.5126999999993</v>
      </c>
      <c r="L29" s="664">
        <f t="shared" ref="L29:Q29" si="121">IF(L16&gt;L8,$C$7*L8*(-1),L16*$C$7*(-1))</f>
        <v>-5100.9098999999997</v>
      </c>
      <c r="M29" s="664">
        <f t="shared" si="121"/>
        <v>-5080.3071</v>
      </c>
      <c r="N29" s="664">
        <f t="shared" si="121"/>
        <v>-5059.7042999999994</v>
      </c>
      <c r="O29" s="664">
        <f t="shared" si="121"/>
        <v>-5039.1014999999998</v>
      </c>
      <c r="P29" s="664">
        <f t="shared" si="121"/>
        <v>-5018.4986999999992</v>
      </c>
      <c r="Q29" s="664">
        <f t="shared" si="121"/>
        <v>-4997.8958999999995</v>
      </c>
      <c r="R29" s="664">
        <f t="shared" ref="R29:AP29" si="122">IF(R16&gt;R8,$C$7*R8*(-1),R16*$C$7*(-1))</f>
        <v>-4977.2930999999999</v>
      </c>
      <c r="S29" s="664">
        <f t="shared" si="122"/>
        <v>-4956.6902999999993</v>
      </c>
      <c r="T29" s="664">
        <f t="shared" si="122"/>
        <v>-4936.0874999999996</v>
      </c>
      <c r="U29" s="664">
        <f t="shared" si="122"/>
        <v>-4915.4847</v>
      </c>
      <c r="V29" s="664">
        <f t="shared" si="122"/>
        <v>-4894.8818999999994</v>
      </c>
      <c r="W29" s="664">
        <f t="shared" si="122"/>
        <v>-4874.2790999999997</v>
      </c>
      <c r="X29" s="664">
        <f t="shared" si="122"/>
        <v>-4853.6763000000001</v>
      </c>
      <c r="Y29" s="664">
        <f t="shared" si="122"/>
        <v>-4833.0734999999995</v>
      </c>
      <c r="Z29" s="664">
        <f t="shared" si="122"/>
        <v>-4812.4706999999999</v>
      </c>
      <c r="AA29" s="664">
        <f t="shared" si="122"/>
        <v>-4331.2236300000004</v>
      </c>
      <c r="AB29" s="664">
        <f t="shared" si="122"/>
        <v>-4310.6208299999998</v>
      </c>
      <c r="AC29" s="664">
        <f t="shared" si="122"/>
        <v>-4290.0180300000002</v>
      </c>
      <c r="AD29" s="664">
        <f t="shared" si="122"/>
        <v>-4269.4152300000005</v>
      </c>
      <c r="AE29" s="664">
        <f t="shared" si="122"/>
        <v>-4248.8124299999999</v>
      </c>
      <c r="AF29" s="664">
        <f t="shared" si="122"/>
        <v>-4228.2096300000003</v>
      </c>
      <c r="AG29" s="664">
        <f t="shared" si="122"/>
        <v>-4207.6068299999997</v>
      </c>
      <c r="AH29" s="664">
        <f t="shared" si="122"/>
        <v>-4187.0040300000001</v>
      </c>
      <c r="AI29" s="664">
        <f t="shared" si="122"/>
        <v>-4166.4012300000004</v>
      </c>
      <c r="AJ29" s="664">
        <f t="shared" si="122"/>
        <v>-4145.7984299999998</v>
      </c>
      <c r="AK29" s="664">
        <f t="shared" si="122"/>
        <v>-4125.1956300000002</v>
      </c>
      <c r="AL29" s="664">
        <f t="shared" si="122"/>
        <v>-4104.5928300000005</v>
      </c>
      <c r="AM29" s="664">
        <f t="shared" si="122"/>
        <v>-4083.9900300000004</v>
      </c>
      <c r="AN29" s="664">
        <f t="shared" si="122"/>
        <v>-4063.3872300000003</v>
      </c>
      <c r="AO29" s="664">
        <f t="shared" si="122"/>
        <v>-4042.7844300000002</v>
      </c>
      <c r="AP29" s="664">
        <f t="shared" si="122"/>
        <v>-4022.18163</v>
      </c>
      <c r="AQ29" s="664">
        <f t="shared" ref="AQ29:BF29" si="123">IF(AQ16&gt;AQ8,$C$7*AQ8*(-1),AQ16*$C$7*(-1))</f>
        <v>-3619.963467</v>
      </c>
      <c r="AR29" s="664">
        <f t="shared" si="123"/>
        <v>-3599.3606670000004</v>
      </c>
      <c r="AS29" s="664">
        <f t="shared" si="123"/>
        <v>-3578.7578670000003</v>
      </c>
      <c r="AT29" s="664">
        <f t="shared" si="123"/>
        <v>-3558.1550670000001</v>
      </c>
      <c r="AU29" s="664">
        <f t="shared" si="123"/>
        <v>-3537.552267</v>
      </c>
      <c r="AV29" s="664">
        <f t="shared" si="123"/>
        <v>-3516.9494670000004</v>
      </c>
      <c r="AW29" s="664">
        <f t="shared" si="123"/>
        <v>-3496.3466670000003</v>
      </c>
      <c r="AX29" s="664">
        <f t="shared" si="123"/>
        <v>-3475.7438670000001</v>
      </c>
      <c r="AY29" s="664">
        <f t="shared" si="123"/>
        <v>-3455.141067</v>
      </c>
      <c r="AZ29" s="664">
        <f t="shared" si="123"/>
        <v>-3434.5382670000004</v>
      </c>
      <c r="BA29" s="664">
        <f t="shared" si="123"/>
        <v>-3413.9354670000002</v>
      </c>
      <c r="BB29" s="664">
        <f t="shared" si="123"/>
        <v>-3393.3326670000001</v>
      </c>
      <c r="BC29" s="664">
        <f t="shared" si="123"/>
        <v>-3372.7298670000005</v>
      </c>
      <c r="BD29" s="664">
        <f t="shared" si="123"/>
        <v>-3352.1270670000004</v>
      </c>
      <c r="BE29" s="664">
        <f t="shared" si="123"/>
        <v>-3331.5242670000002</v>
      </c>
      <c r="BF29" s="664">
        <f t="shared" si="123"/>
        <v>-3310.9214670000001</v>
      </c>
      <c r="BG29" s="664">
        <f t="shared" ref="BG29:BV29" si="124">IF(BG16&gt;BG8,$C$7*BG8*(-1),BG16*$C$7*(-1))</f>
        <v>-7900.4826750000002</v>
      </c>
      <c r="BH29" s="664">
        <f t="shared" si="124"/>
        <v>-7900.4826750000002</v>
      </c>
      <c r="BI29" s="664">
        <f t="shared" si="124"/>
        <v>-7900.4826750000002</v>
      </c>
      <c r="BJ29" s="664">
        <f t="shared" si="124"/>
        <v>-7900.4826750000002</v>
      </c>
      <c r="BK29" s="664">
        <f t="shared" si="124"/>
        <v>-7900.4826750000002</v>
      </c>
      <c r="BL29" s="664">
        <f t="shared" si="124"/>
        <v>-7900.4826750000002</v>
      </c>
      <c r="BM29" s="664">
        <f t="shared" si="124"/>
        <v>-7900.4826750000002</v>
      </c>
      <c r="BN29" s="664">
        <f t="shared" si="124"/>
        <v>-7900.4826750000002</v>
      </c>
      <c r="BO29" s="664">
        <f t="shared" si="124"/>
        <v>-7900.4826750000002</v>
      </c>
      <c r="BP29" s="664">
        <f t="shared" si="124"/>
        <v>-7900.4826750000002</v>
      </c>
      <c r="BQ29" s="664">
        <f t="shared" si="124"/>
        <v>-7900.4826750000002</v>
      </c>
      <c r="BR29" s="664">
        <f t="shared" si="124"/>
        <v>-7900.4826750000002</v>
      </c>
      <c r="BS29" s="664">
        <f t="shared" si="124"/>
        <v>-7900.4826750000002</v>
      </c>
      <c r="BT29" s="664">
        <f t="shared" si="124"/>
        <v>-7900.4826750000002</v>
      </c>
      <c r="BU29" s="664">
        <f t="shared" si="124"/>
        <v>-7900.4826750000002</v>
      </c>
      <c r="BV29" s="664">
        <f t="shared" si="124"/>
        <v>-7900.4826750000002</v>
      </c>
      <c r="BW29" s="664">
        <f t="shared" ref="BW29:CI29" si="125">IF(BW16&gt;BW8,$C$7*BW8*(-1),BW16*$C$7*(-1))</f>
        <v>-7900.4826750000002</v>
      </c>
      <c r="BX29" s="664">
        <f t="shared" si="125"/>
        <v>-7900.4826750000002</v>
      </c>
      <c r="BY29" s="664">
        <f t="shared" si="125"/>
        <v>-7900.4826750000002</v>
      </c>
      <c r="BZ29" s="664">
        <f t="shared" si="125"/>
        <v>-7900.4826750000002</v>
      </c>
      <c r="CA29" s="664">
        <f t="shared" si="125"/>
        <v>-7900.4826750000002</v>
      </c>
      <c r="CB29" s="664">
        <f t="shared" si="125"/>
        <v>-7900.4826750000002</v>
      </c>
      <c r="CC29" s="664">
        <f t="shared" si="125"/>
        <v>-7900.4826750000002</v>
      </c>
      <c r="CD29" s="664">
        <f t="shared" si="125"/>
        <v>-7900.4826750000002</v>
      </c>
      <c r="CE29" s="664">
        <f t="shared" si="125"/>
        <v>-7900.4826750000002</v>
      </c>
      <c r="CF29" s="664">
        <f t="shared" si="125"/>
        <v>-7900.4826750000002</v>
      </c>
      <c r="CG29" s="664">
        <f t="shared" si="125"/>
        <v>-7900.4826750000002</v>
      </c>
      <c r="CH29" s="664">
        <f t="shared" si="125"/>
        <v>-7900.4826750000002</v>
      </c>
      <c r="CI29" s="664">
        <f t="shared" si="125"/>
        <v>-7900.4826750000002</v>
      </c>
    </row>
    <row r="30" spans="1:87" x14ac:dyDescent="0.25">
      <c r="A30" s="673"/>
      <c r="D30" s="674" t="s">
        <v>2483</v>
      </c>
      <c r="E30" s="675">
        <f>K40</f>
        <v>-119737.00000000001</v>
      </c>
      <c r="J30" s="120" t="s">
        <v>2455</v>
      </c>
      <c r="K30" s="664">
        <f>IF(K17&gt;K9,$C$8*K9*(-1),K17*$C$8*(-1))</f>
        <v>-1342.35</v>
      </c>
      <c r="L30" s="664">
        <f t="shared" ref="L30:Q30" si="126">IF(L17&gt;L9,$C$8*L9*(-1),L17*$C$8*(-1))</f>
        <v>-1336.9499999999998</v>
      </c>
      <c r="M30" s="664">
        <f t="shared" si="126"/>
        <v>-1331.55</v>
      </c>
      <c r="N30" s="664">
        <f t="shared" si="126"/>
        <v>-1326.15</v>
      </c>
      <c r="O30" s="664">
        <f t="shared" si="126"/>
        <v>-1320.75</v>
      </c>
      <c r="P30" s="664">
        <f t="shared" si="126"/>
        <v>-1315.35</v>
      </c>
      <c r="Q30" s="664">
        <f t="shared" si="126"/>
        <v>-1309.95</v>
      </c>
      <c r="R30" s="664">
        <f t="shared" ref="R30:AP30" si="127">IF(R17&gt;R9,$C$8*R9*(-1),R17*$C$8*(-1))</f>
        <v>-1304.5499999999997</v>
      </c>
      <c r="S30" s="664">
        <f t="shared" si="127"/>
        <v>-1299.1499999999999</v>
      </c>
      <c r="T30" s="664">
        <f t="shared" si="127"/>
        <v>-1293.75</v>
      </c>
      <c r="U30" s="664">
        <f t="shared" si="127"/>
        <v>-1288.3500000000001</v>
      </c>
      <c r="V30" s="664">
        <f t="shared" si="127"/>
        <v>-1282.9499999999998</v>
      </c>
      <c r="W30" s="664">
        <f t="shared" si="127"/>
        <v>-1277.55</v>
      </c>
      <c r="X30" s="664">
        <f t="shared" si="127"/>
        <v>-1272.1499999999999</v>
      </c>
      <c r="Y30" s="664">
        <f t="shared" si="127"/>
        <v>-1266.75</v>
      </c>
      <c r="Z30" s="664">
        <f t="shared" si="127"/>
        <v>-1261.3499999999999</v>
      </c>
      <c r="AA30" s="664">
        <f t="shared" si="127"/>
        <v>-1135.2150000000001</v>
      </c>
      <c r="AB30" s="664">
        <f t="shared" si="127"/>
        <v>-1129.8150000000001</v>
      </c>
      <c r="AC30" s="664">
        <f t="shared" si="127"/>
        <v>-1124.415</v>
      </c>
      <c r="AD30" s="664">
        <f t="shared" si="127"/>
        <v>-1119.0150000000001</v>
      </c>
      <c r="AE30" s="664">
        <f t="shared" si="127"/>
        <v>-1113.615</v>
      </c>
      <c r="AF30" s="664">
        <f t="shared" si="127"/>
        <v>-1108.2150000000001</v>
      </c>
      <c r="AG30" s="664">
        <f t="shared" si="127"/>
        <v>-1102.8150000000001</v>
      </c>
      <c r="AH30" s="664">
        <f t="shared" si="127"/>
        <v>-1097.415</v>
      </c>
      <c r="AI30" s="664">
        <f t="shared" si="127"/>
        <v>-1092.0150000000001</v>
      </c>
      <c r="AJ30" s="664">
        <f t="shared" si="127"/>
        <v>-1086.615</v>
      </c>
      <c r="AK30" s="664">
        <f t="shared" si="127"/>
        <v>-1081.2150000000001</v>
      </c>
      <c r="AL30" s="664">
        <f t="shared" si="127"/>
        <v>-1075.8150000000001</v>
      </c>
      <c r="AM30" s="664">
        <f t="shared" si="127"/>
        <v>-1070.4150000000002</v>
      </c>
      <c r="AN30" s="664">
        <f t="shared" si="127"/>
        <v>-1065.0150000000001</v>
      </c>
      <c r="AO30" s="664">
        <f t="shared" si="127"/>
        <v>-1059.6150000000002</v>
      </c>
      <c r="AP30" s="664">
        <f t="shared" si="127"/>
        <v>-1054.2150000000001</v>
      </c>
      <c r="AQ30" s="664">
        <f t="shared" ref="AQ30:BF30" si="128">IF(AQ17&gt;AQ9,$C$8*AQ9*(-1),AQ17*$C$8*(-1))</f>
        <v>-948.79350000000022</v>
      </c>
      <c r="AR30" s="664">
        <f t="shared" si="128"/>
        <v>-943.39350000000013</v>
      </c>
      <c r="AS30" s="664">
        <f t="shared" si="128"/>
        <v>-937.99350000000004</v>
      </c>
      <c r="AT30" s="664">
        <f t="shared" si="128"/>
        <v>-932.59350000000018</v>
      </c>
      <c r="AU30" s="664">
        <f t="shared" si="128"/>
        <v>-927.19350000000009</v>
      </c>
      <c r="AV30" s="664">
        <f t="shared" si="128"/>
        <v>-921.79350000000011</v>
      </c>
      <c r="AW30" s="664">
        <f t="shared" si="128"/>
        <v>-916.39350000000013</v>
      </c>
      <c r="AX30" s="664">
        <f t="shared" si="128"/>
        <v>-910.99350000000015</v>
      </c>
      <c r="AY30" s="664">
        <f t="shared" si="128"/>
        <v>-905.59350000000006</v>
      </c>
      <c r="AZ30" s="664">
        <f t="shared" si="128"/>
        <v>-900.19350000000009</v>
      </c>
      <c r="BA30" s="664">
        <f t="shared" si="128"/>
        <v>-894.79350000000011</v>
      </c>
      <c r="BB30" s="664">
        <f t="shared" si="128"/>
        <v>-889.39350000000002</v>
      </c>
      <c r="BC30" s="664">
        <f t="shared" si="128"/>
        <v>-883.99350000000015</v>
      </c>
      <c r="BD30" s="664">
        <f t="shared" si="128"/>
        <v>-878.59350000000006</v>
      </c>
      <c r="BE30" s="664">
        <f t="shared" si="128"/>
        <v>-873.19350000000009</v>
      </c>
      <c r="BF30" s="664">
        <f t="shared" si="128"/>
        <v>-867.79350000000011</v>
      </c>
      <c r="BG30" s="664">
        <f t="shared" ref="BG30:BV30" si="129">IF(BG17&gt;BG9,$C$8*BG9*(-1),BG17*$C$8*(-1))</f>
        <v>-2443.4482500000004</v>
      </c>
      <c r="BH30" s="664">
        <f t="shared" si="129"/>
        <v>-2443.4482500000004</v>
      </c>
      <c r="BI30" s="664">
        <f t="shared" si="129"/>
        <v>-2443.4482500000004</v>
      </c>
      <c r="BJ30" s="664">
        <f t="shared" si="129"/>
        <v>-2443.4482500000004</v>
      </c>
      <c r="BK30" s="664">
        <f t="shared" si="129"/>
        <v>-2443.4482500000004</v>
      </c>
      <c r="BL30" s="664">
        <f t="shared" si="129"/>
        <v>-2443.4482500000004</v>
      </c>
      <c r="BM30" s="664">
        <f t="shared" si="129"/>
        <v>-2443.4482500000004</v>
      </c>
      <c r="BN30" s="664">
        <f t="shared" si="129"/>
        <v>-2443.4482500000004</v>
      </c>
      <c r="BO30" s="664">
        <f t="shared" si="129"/>
        <v>-2443.4482500000004</v>
      </c>
      <c r="BP30" s="664">
        <f t="shared" si="129"/>
        <v>-2443.4482500000004</v>
      </c>
      <c r="BQ30" s="664">
        <f t="shared" si="129"/>
        <v>-2443.4482500000004</v>
      </c>
      <c r="BR30" s="664">
        <f t="shared" si="129"/>
        <v>-2443.4482500000004</v>
      </c>
      <c r="BS30" s="664">
        <f t="shared" si="129"/>
        <v>-2443.4482500000004</v>
      </c>
      <c r="BT30" s="664">
        <f t="shared" si="129"/>
        <v>-2443.4482500000004</v>
      </c>
      <c r="BU30" s="664">
        <f t="shared" si="129"/>
        <v>-2443.4482500000004</v>
      </c>
      <c r="BV30" s="664">
        <f t="shared" si="129"/>
        <v>-2443.4482500000004</v>
      </c>
      <c r="BW30" s="664">
        <f t="shared" ref="BW30:CI30" si="130">IF(BW17&gt;BW9,$C$8*BW9*(-1),BW17*$C$8*(-1))</f>
        <v>-2443.4482500000004</v>
      </c>
      <c r="BX30" s="664">
        <f t="shared" si="130"/>
        <v>-2443.4482500000004</v>
      </c>
      <c r="BY30" s="664">
        <f t="shared" si="130"/>
        <v>-2443.4482500000004</v>
      </c>
      <c r="BZ30" s="664">
        <f t="shared" si="130"/>
        <v>-2443.4482500000004</v>
      </c>
      <c r="CA30" s="664">
        <f t="shared" si="130"/>
        <v>-2443.4482500000004</v>
      </c>
      <c r="CB30" s="664">
        <f t="shared" si="130"/>
        <v>-2443.4482500000004</v>
      </c>
      <c r="CC30" s="664">
        <f t="shared" si="130"/>
        <v>-2443.4482500000004</v>
      </c>
      <c r="CD30" s="664">
        <f t="shared" si="130"/>
        <v>-2443.4482500000004</v>
      </c>
      <c r="CE30" s="664">
        <f t="shared" si="130"/>
        <v>-2443.4482500000004</v>
      </c>
      <c r="CF30" s="664">
        <f t="shared" si="130"/>
        <v>-2443.4482500000004</v>
      </c>
      <c r="CG30" s="664">
        <f t="shared" si="130"/>
        <v>-2443.4482500000004</v>
      </c>
      <c r="CH30" s="664">
        <f t="shared" si="130"/>
        <v>-2443.4482500000004</v>
      </c>
      <c r="CI30" s="664">
        <f t="shared" si="130"/>
        <v>-2443.4482500000004</v>
      </c>
    </row>
    <row r="31" spans="1:87" x14ac:dyDescent="0.25">
      <c r="D31" s="505" t="s">
        <v>2608</v>
      </c>
      <c r="E31" s="704">
        <f>BV44</f>
        <v>660374.78000000014</v>
      </c>
      <c r="J31" s="120" t="s">
        <v>2456</v>
      </c>
      <c r="K31" s="664">
        <f>IF(K14&gt;K6,$C$5*(K14-K6)*(-1),0)</f>
        <v>-4885.57</v>
      </c>
      <c r="L31" s="664">
        <f t="shared" ref="L31:Q31" si="131">IF(L14&gt;L6,$C$5*(L14-L6)*(-1),0)</f>
        <v>0</v>
      </c>
      <c r="M31" s="664">
        <f t="shared" si="131"/>
        <v>0</v>
      </c>
      <c r="N31" s="664">
        <f t="shared" si="131"/>
        <v>0</v>
      </c>
      <c r="O31" s="664">
        <f t="shared" si="131"/>
        <v>0</v>
      </c>
      <c r="P31" s="664">
        <f t="shared" si="131"/>
        <v>0</v>
      </c>
      <c r="Q31" s="664">
        <f t="shared" si="131"/>
        <v>0</v>
      </c>
      <c r="R31" s="664">
        <f t="shared" ref="R31:AP31" si="132">IF(R14&gt;R6,$C$5*(R14-R6)*(-1),0)</f>
        <v>-6.0100000000002183</v>
      </c>
      <c r="S31" s="664">
        <f t="shared" si="132"/>
        <v>-56.529999999998836</v>
      </c>
      <c r="T31" s="664">
        <f t="shared" si="132"/>
        <v>-107.04999999999927</v>
      </c>
      <c r="U31" s="664">
        <f t="shared" si="132"/>
        <v>-157.56999999999971</v>
      </c>
      <c r="V31" s="664">
        <f t="shared" si="132"/>
        <v>-208.09000000000015</v>
      </c>
      <c r="W31" s="664">
        <f t="shared" si="132"/>
        <v>-258.60999999999876</v>
      </c>
      <c r="X31" s="664">
        <f t="shared" si="132"/>
        <v>-309.1299999999992</v>
      </c>
      <c r="Y31" s="664">
        <f t="shared" si="132"/>
        <v>-359.64999999999964</v>
      </c>
      <c r="Z31" s="664">
        <f t="shared" si="132"/>
        <v>-410.17000000000007</v>
      </c>
      <c r="AA31" s="664">
        <f t="shared" si="132"/>
        <v>-1590.2329999999984</v>
      </c>
      <c r="AB31" s="664">
        <f t="shared" si="132"/>
        <v>-1640.7529999999988</v>
      </c>
      <c r="AC31" s="664">
        <f t="shared" si="132"/>
        <v>-1691.2729999999974</v>
      </c>
      <c r="AD31" s="664">
        <f t="shared" si="132"/>
        <v>-1741.7929999999978</v>
      </c>
      <c r="AE31" s="664">
        <f t="shared" si="132"/>
        <v>-1792.3129999999983</v>
      </c>
      <c r="AF31" s="664">
        <f t="shared" si="132"/>
        <v>-1842.8329999999987</v>
      </c>
      <c r="AG31" s="664">
        <f t="shared" si="132"/>
        <v>-1893.3529999999973</v>
      </c>
      <c r="AH31" s="664">
        <f t="shared" si="132"/>
        <v>-1943.8729999999978</v>
      </c>
      <c r="AI31" s="664">
        <f t="shared" si="132"/>
        <v>-1994.3929999999982</v>
      </c>
      <c r="AJ31" s="664">
        <f t="shared" si="132"/>
        <v>-2044.9129999999986</v>
      </c>
      <c r="AK31" s="664">
        <f t="shared" si="132"/>
        <v>-2095.4329999999991</v>
      </c>
      <c r="AL31" s="664">
        <f t="shared" si="132"/>
        <v>-2145.9529999999977</v>
      </c>
      <c r="AM31" s="664">
        <f t="shared" si="132"/>
        <v>-2196.4729999999981</v>
      </c>
      <c r="AN31" s="664">
        <f t="shared" si="132"/>
        <v>-2246.9929999999986</v>
      </c>
      <c r="AO31" s="664">
        <f t="shared" si="132"/>
        <v>-2297.512999999999</v>
      </c>
      <c r="AP31" s="664">
        <f t="shared" si="132"/>
        <v>-2348.0329999999976</v>
      </c>
      <c r="AQ31" s="664">
        <f t="shared" ref="AQ31:BF31" si="133">IF(AQ14&gt;AQ6,$C$5*(AQ14-AQ6)*(-1),0)</f>
        <v>-3334.309699999998</v>
      </c>
      <c r="AR31" s="664">
        <f t="shared" si="133"/>
        <v>-3384.8296999999984</v>
      </c>
      <c r="AS31" s="664">
        <f t="shared" si="133"/>
        <v>-3435.3496999999988</v>
      </c>
      <c r="AT31" s="664">
        <f t="shared" si="133"/>
        <v>-3485.8696999999975</v>
      </c>
      <c r="AU31" s="664">
        <f t="shared" si="133"/>
        <v>-3536.3896999999979</v>
      </c>
      <c r="AV31" s="664">
        <f t="shared" si="133"/>
        <v>-3586.9096999999983</v>
      </c>
      <c r="AW31" s="664">
        <f t="shared" si="133"/>
        <v>-3637.4296999999988</v>
      </c>
      <c r="AX31" s="664">
        <f t="shared" si="133"/>
        <v>-3687.9496999999974</v>
      </c>
      <c r="AY31" s="664">
        <f t="shared" si="133"/>
        <v>-3738.4696999999978</v>
      </c>
      <c r="AZ31" s="664">
        <f t="shared" si="133"/>
        <v>-3788.9896999999983</v>
      </c>
      <c r="BA31" s="664">
        <f t="shared" si="133"/>
        <v>-3839.5096999999987</v>
      </c>
      <c r="BB31" s="664">
        <f t="shared" si="133"/>
        <v>-3890.0296999999973</v>
      </c>
      <c r="BC31" s="664">
        <f t="shared" si="133"/>
        <v>-3940.5496999999978</v>
      </c>
      <c r="BD31" s="664">
        <f t="shared" si="133"/>
        <v>-3991.0696999999982</v>
      </c>
      <c r="BE31" s="664">
        <f t="shared" si="133"/>
        <v>-4041.5896999999977</v>
      </c>
      <c r="BF31" s="664">
        <f t="shared" si="133"/>
        <v>-4092.1096999999982</v>
      </c>
      <c r="BG31" s="664">
        <f t="shared" ref="BG31:BV31" si="134">IF(BG14&gt;BG6,$C$5*(BG14-BG6)*(-1),0)</f>
        <v>-3.1408999999966909</v>
      </c>
      <c r="BH31" s="664">
        <f t="shared" si="134"/>
        <v>-3.1408999999966909</v>
      </c>
      <c r="BI31" s="664">
        <f t="shared" si="134"/>
        <v>-3.1408999999966909</v>
      </c>
      <c r="BJ31" s="664">
        <f t="shared" si="134"/>
        <v>-3.1408999999966909</v>
      </c>
      <c r="BK31" s="664">
        <f t="shared" si="134"/>
        <v>-3.1408999999966909</v>
      </c>
      <c r="BL31" s="664">
        <f t="shared" si="134"/>
        <v>-3.1408999999966909</v>
      </c>
      <c r="BM31" s="664">
        <f t="shared" si="134"/>
        <v>-3.1408999999966909</v>
      </c>
      <c r="BN31" s="664">
        <f t="shared" si="134"/>
        <v>-3.1408999999966909</v>
      </c>
      <c r="BO31" s="664">
        <f t="shared" si="134"/>
        <v>-3.1408999999966909</v>
      </c>
      <c r="BP31" s="664">
        <f t="shared" si="134"/>
        <v>-3.1408999999966909</v>
      </c>
      <c r="BQ31" s="664">
        <f t="shared" si="134"/>
        <v>-3.1408999999966909</v>
      </c>
      <c r="BR31" s="664">
        <f t="shared" si="134"/>
        <v>-3.1408999999966909</v>
      </c>
      <c r="BS31" s="664">
        <f t="shared" si="134"/>
        <v>-3.1408999999966909</v>
      </c>
      <c r="BT31" s="664">
        <f t="shared" si="134"/>
        <v>-3.1408999999966909</v>
      </c>
      <c r="BU31" s="664">
        <f t="shared" si="134"/>
        <v>-3.1408999999966909</v>
      </c>
      <c r="BV31" s="664">
        <f t="shared" si="134"/>
        <v>-3.1408999999966909</v>
      </c>
      <c r="BW31" s="664">
        <f t="shared" ref="BW31:CI31" si="135">IF(BW14&gt;BW6,$C$5*(BW14-BW6)*(-1),0)</f>
        <v>-3.1408999999966909</v>
      </c>
      <c r="BX31" s="664">
        <f t="shared" si="135"/>
        <v>-3.1408999999966909</v>
      </c>
      <c r="BY31" s="664">
        <f t="shared" si="135"/>
        <v>-3.1408999999966909</v>
      </c>
      <c r="BZ31" s="664">
        <f t="shared" si="135"/>
        <v>-3.1408999999966909</v>
      </c>
      <c r="CA31" s="664">
        <f t="shared" si="135"/>
        <v>-3.1408999999966909</v>
      </c>
      <c r="CB31" s="664">
        <f t="shared" si="135"/>
        <v>-3.1408999999966909</v>
      </c>
      <c r="CC31" s="664">
        <f t="shared" si="135"/>
        <v>-3.1408999999966909</v>
      </c>
      <c r="CD31" s="664">
        <f t="shared" si="135"/>
        <v>-3.1408999999966909</v>
      </c>
      <c r="CE31" s="664">
        <f t="shared" si="135"/>
        <v>-3.1408999999966909</v>
      </c>
      <c r="CF31" s="664">
        <f t="shared" si="135"/>
        <v>-3.1408999999966909</v>
      </c>
      <c r="CG31" s="664">
        <f t="shared" si="135"/>
        <v>-3.1408999999966909</v>
      </c>
      <c r="CH31" s="664">
        <f t="shared" si="135"/>
        <v>-3.1408999999966909</v>
      </c>
      <c r="CI31" s="664">
        <f t="shared" si="135"/>
        <v>-3.1408999999966909</v>
      </c>
    </row>
    <row r="32" spans="1:87" x14ac:dyDescent="0.25">
      <c r="J32" s="120" t="s">
        <v>2457</v>
      </c>
      <c r="K32" s="664">
        <f>IF(K15&gt;K7,$C$6*(K15-K7)*(-1),0)</f>
        <v>-3673.1869999999994</v>
      </c>
      <c r="L32" s="664">
        <f t="shared" ref="L32:Q32" si="136">IF(L15&gt;L7,$C$6*(L15-L7)*(-1),0)</f>
        <v>-884.00899999999922</v>
      </c>
      <c r="M32" s="664">
        <f t="shared" si="136"/>
        <v>-906.94099999999935</v>
      </c>
      <c r="N32" s="664">
        <f t="shared" si="136"/>
        <v>-929.87299999999891</v>
      </c>
      <c r="O32" s="664">
        <f t="shared" si="136"/>
        <v>-952.80499999999904</v>
      </c>
      <c r="P32" s="664">
        <f t="shared" si="136"/>
        <v>-975.73699999999917</v>
      </c>
      <c r="Q32" s="664">
        <f t="shared" si="136"/>
        <v>-998.6689999999993</v>
      </c>
      <c r="R32" s="664">
        <f t="shared" ref="R32:AP32" si="137">IF(R15&gt;R7,$C$6*(R15-R7)*(-1),0)</f>
        <v>-1021.6009999999995</v>
      </c>
      <c r="S32" s="664">
        <f t="shared" si="137"/>
        <v>-1044.532999999999</v>
      </c>
      <c r="T32" s="664">
        <f t="shared" si="137"/>
        <v>-1067.4649999999992</v>
      </c>
      <c r="U32" s="664">
        <f t="shared" si="137"/>
        <v>-1090.3969999999993</v>
      </c>
      <c r="V32" s="664">
        <f t="shared" si="137"/>
        <v>-1113.3289999999995</v>
      </c>
      <c r="W32" s="664">
        <f t="shared" si="137"/>
        <v>-1136.2609999999991</v>
      </c>
      <c r="X32" s="664">
        <f t="shared" si="137"/>
        <v>-1159.1929999999991</v>
      </c>
      <c r="Y32" s="664">
        <f t="shared" si="137"/>
        <v>-1182.1249999999993</v>
      </c>
      <c r="Z32" s="664">
        <f t="shared" si="137"/>
        <v>-1205.0569999999993</v>
      </c>
      <c r="AA32" s="664">
        <f t="shared" si="137"/>
        <v>-1740.7102999999988</v>
      </c>
      <c r="AB32" s="664">
        <f t="shared" si="137"/>
        <v>-1763.6422999999984</v>
      </c>
      <c r="AC32" s="664">
        <f t="shared" si="137"/>
        <v>-1786.5742999999984</v>
      </c>
      <c r="AD32" s="664">
        <f t="shared" si="137"/>
        <v>-1809.5062999999986</v>
      </c>
      <c r="AE32" s="664">
        <f t="shared" si="137"/>
        <v>-1832.4382999999987</v>
      </c>
      <c r="AF32" s="664">
        <f t="shared" si="137"/>
        <v>-1855.3702999999989</v>
      </c>
      <c r="AG32" s="664">
        <f t="shared" si="137"/>
        <v>-1878.3022999999985</v>
      </c>
      <c r="AH32" s="664">
        <f t="shared" si="137"/>
        <v>-1901.2342999999985</v>
      </c>
      <c r="AI32" s="664">
        <f t="shared" si="137"/>
        <v>-1924.1662999999987</v>
      </c>
      <c r="AJ32" s="664">
        <f t="shared" si="137"/>
        <v>-1947.098299999999</v>
      </c>
      <c r="AK32" s="664">
        <f t="shared" si="137"/>
        <v>-1970.0302999999983</v>
      </c>
      <c r="AL32" s="664">
        <f t="shared" si="137"/>
        <v>-1992.9622999999985</v>
      </c>
      <c r="AM32" s="664">
        <f t="shared" si="137"/>
        <v>-2015.8942999999988</v>
      </c>
      <c r="AN32" s="664">
        <f t="shared" si="137"/>
        <v>-2038.8262999999988</v>
      </c>
      <c r="AO32" s="664">
        <f t="shared" si="137"/>
        <v>-2061.7582999999986</v>
      </c>
      <c r="AP32" s="664">
        <f t="shared" si="137"/>
        <v>-2084.6902999999984</v>
      </c>
      <c r="AQ32" s="664">
        <f t="shared" ref="AQ32:BF32" si="138">IF(AQ15&gt;AQ7,$C$6*(AQ15-AQ7)*(-1),0)</f>
        <v>-2532.3802699999983</v>
      </c>
      <c r="AR32" s="664">
        <f t="shared" si="138"/>
        <v>-2555.3122699999985</v>
      </c>
      <c r="AS32" s="664">
        <f t="shared" si="138"/>
        <v>-2578.2442699999988</v>
      </c>
      <c r="AT32" s="664">
        <f t="shared" si="138"/>
        <v>-2601.1762699999981</v>
      </c>
      <c r="AU32" s="664">
        <f t="shared" si="138"/>
        <v>-2624.1082699999984</v>
      </c>
      <c r="AV32" s="664">
        <f t="shared" si="138"/>
        <v>-2647.0402699999986</v>
      </c>
      <c r="AW32" s="664">
        <f t="shared" si="138"/>
        <v>-2669.9722699999988</v>
      </c>
      <c r="AX32" s="664">
        <f t="shared" si="138"/>
        <v>-2692.9042699999982</v>
      </c>
      <c r="AY32" s="664">
        <f t="shared" si="138"/>
        <v>-2715.8362699999984</v>
      </c>
      <c r="AZ32" s="664">
        <f t="shared" si="138"/>
        <v>-2738.7682699999987</v>
      </c>
      <c r="BA32" s="664">
        <f t="shared" si="138"/>
        <v>-2761.7002699999989</v>
      </c>
      <c r="BB32" s="664">
        <f t="shared" si="138"/>
        <v>-2784.6322699999982</v>
      </c>
      <c r="BC32" s="664">
        <f t="shared" si="138"/>
        <v>-2807.5642699999985</v>
      </c>
      <c r="BD32" s="664">
        <f t="shared" si="138"/>
        <v>-2830.4962699999987</v>
      </c>
      <c r="BE32" s="664">
        <f t="shared" si="138"/>
        <v>-2853.4282699999985</v>
      </c>
      <c r="BF32" s="664">
        <f t="shared" si="138"/>
        <v>-2876.3602699999983</v>
      </c>
      <c r="BG32" s="664">
        <f t="shared" ref="BG32:BV32" si="139">IF(BG15&gt;BG7,$C$6*(BG15-BG7)*(-1),0)</f>
        <v>-1.6501099999984943</v>
      </c>
      <c r="BH32" s="664">
        <f t="shared" si="139"/>
        <v>-1.6501099999984943</v>
      </c>
      <c r="BI32" s="664">
        <f t="shared" si="139"/>
        <v>-1.6501099999984943</v>
      </c>
      <c r="BJ32" s="664">
        <f t="shared" si="139"/>
        <v>-1.6501099999984943</v>
      </c>
      <c r="BK32" s="664">
        <f t="shared" si="139"/>
        <v>-1.6501099999984943</v>
      </c>
      <c r="BL32" s="664">
        <f t="shared" si="139"/>
        <v>-1.6501099999984943</v>
      </c>
      <c r="BM32" s="664">
        <f t="shared" si="139"/>
        <v>-1.6501099999984943</v>
      </c>
      <c r="BN32" s="664">
        <f t="shared" si="139"/>
        <v>-1.6501099999984943</v>
      </c>
      <c r="BO32" s="664">
        <f t="shared" si="139"/>
        <v>-1.6501099999984943</v>
      </c>
      <c r="BP32" s="664">
        <f t="shared" si="139"/>
        <v>-1.6501099999984943</v>
      </c>
      <c r="BQ32" s="664">
        <f t="shared" si="139"/>
        <v>-1.6501099999984943</v>
      </c>
      <c r="BR32" s="664">
        <f t="shared" si="139"/>
        <v>-1.6501099999984943</v>
      </c>
      <c r="BS32" s="664">
        <f t="shared" si="139"/>
        <v>-1.6501099999984943</v>
      </c>
      <c r="BT32" s="664">
        <f t="shared" si="139"/>
        <v>-1.6501099999984943</v>
      </c>
      <c r="BU32" s="664">
        <f t="shared" si="139"/>
        <v>-1.6501099999984943</v>
      </c>
      <c r="BV32" s="664">
        <f t="shared" si="139"/>
        <v>-1.6501099999984943</v>
      </c>
      <c r="BW32" s="664">
        <f t="shared" ref="BW32:CI32" si="140">IF(BW15&gt;BW7,$C$6*(BW15-BW7)*(-1),0)</f>
        <v>-1.6501099999984943</v>
      </c>
      <c r="BX32" s="664">
        <f t="shared" si="140"/>
        <v>-1.6501099999984943</v>
      </c>
      <c r="BY32" s="664">
        <f t="shared" si="140"/>
        <v>-1.6501099999984943</v>
      </c>
      <c r="BZ32" s="664">
        <f t="shared" si="140"/>
        <v>-1.6501099999984943</v>
      </c>
      <c r="CA32" s="664">
        <f t="shared" si="140"/>
        <v>-1.6501099999984943</v>
      </c>
      <c r="CB32" s="664">
        <f t="shared" si="140"/>
        <v>-1.6501099999984943</v>
      </c>
      <c r="CC32" s="664">
        <f t="shared" si="140"/>
        <v>-1.6501099999984943</v>
      </c>
      <c r="CD32" s="664">
        <f t="shared" si="140"/>
        <v>-1.6501099999984943</v>
      </c>
      <c r="CE32" s="664">
        <f t="shared" si="140"/>
        <v>-1.6501099999984943</v>
      </c>
      <c r="CF32" s="664">
        <f t="shared" si="140"/>
        <v>-1.6501099999984943</v>
      </c>
      <c r="CG32" s="664">
        <f t="shared" si="140"/>
        <v>-1.6501099999984943</v>
      </c>
      <c r="CH32" s="664">
        <f t="shared" si="140"/>
        <v>-1.6501099999984943</v>
      </c>
      <c r="CI32" s="664">
        <f t="shared" si="140"/>
        <v>-1.6501099999984943</v>
      </c>
    </row>
    <row r="33" spans="1:87" x14ac:dyDescent="0.25">
      <c r="J33" s="120" t="s">
        <v>2458</v>
      </c>
      <c r="K33" s="664">
        <f>IF(K16&gt;K8,$C$7*(K16-K8)*(-1),0)</f>
        <v>-6167.4873000000007</v>
      </c>
      <c r="L33" s="664">
        <f t="shared" ref="L33:Q33" si="141">IF(L16&gt;L8,$C$7*(L16-L8)*(-1),0)</f>
        <v>-2801.3900999999996</v>
      </c>
      <c r="M33" s="664">
        <f t="shared" si="141"/>
        <v>-2821.9928999999993</v>
      </c>
      <c r="N33" s="664">
        <f t="shared" si="141"/>
        <v>-2842.5956999999999</v>
      </c>
      <c r="O33" s="664">
        <f t="shared" si="141"/>
        <v>-2863.1984999999995</v>
      </c>
      <c r="P33" s="664">
        <f t="shared" si="141"/>
        <v>-2883.8013000000001</v>
      </c>
      <c r="Q33" s="664">
        <f t="shared" si="141"/>
        <v>-2904.4040999999997</v>
      </c>
      <c r="R33" s="664">
        <f t="shared" ref="R33:AP33" si="142">IF(R16&gt;R8,$C$7*(R16-R8)*(-1),0)</f>
        <v>-2925.0068999999994</v>
      </c>
      <c r="S33" s="664">
        <f t="shared" si="142"/>
        <v>-2945.6097</v>
      </c>
      <c r="T33" s="664">
        <f t="shared" si="142"/>
        <v>-2966.2124999999996</v>
      </c>
      <c r="U33" s="664">
        <f t="shared" si="142"/>
        <v>-2986.8152999999993</v>
      </c>
      <c r="V33" s="664">
        <f t="shared" si="142"/>
        <v>-3007.4180999999999</v>
      </c>
      <c r="W33" s="664">
        <f t="shared" si="142"/>
        <v>-3028.0208999999995</v>
      </c>
      <c r="X33" s="664">
        <f t="shared" si="142"/>
        <v>-3048.6236999999992</v>
      </c>
      <c r="Y33" s="664">
        <f t="shared" si="142"/>
        <v>-3069.2264999999998</v>
      </c>
      <c r="Z33" s="664">
        <f t="shared" si="142"/>
        <v>-3089.8292999999994</v>
      </c>
      <c r="AA33" s="664">
        <f t="shared" si="142"/>
        <v>-3571.0763699999989</v>
      </c>
      <c r="AB33" s="664">
        <f t="shared" si="142"/>
        <v>-3591.6791699999994</v>
      </c>
      <c r="AC33" s="664">
        <f t="shared" si="142"/>
        <v>-3612.2819699999991</v>
      </c>
      <c r="AD33" s="664">
        <f t="shared" si="142"/>
        <v>-3632.8847699999988</v>
      </c>
      <c r="AE33" s="664">
        <f t="shared" si="142"/>
        <v>-3653.4875699999993</v>
      </c>
      <c r="AF33" s="664">
        <f t="shared" si="142"/>
        <v>-3674.090369999999</v>
      </c>
      <c r="AG33" s="664">
        <f t="shared" si="142"/>
        <v>-3694.6931699999996</v>
      </c>
      <c r="AH33" s="664">
        <f t="shared" si="142"/>
        <v>-3715.2959699999992</v>
      </c>
      <c r="AI33" s="664">
        <f t="shared" si="142"/>
        <v>-3735.8987699999989</v>
      </c>
      <c r="AJ33" s="664">
        <f t="shared" si="142"/>
        <v>-3756.5015699999994</v>
      </c>
      <c r="AK33" s="664">
        <f t="shared" si="142"/>
        <v>-3777.1043699999991</v>
      </c>
      <c r="AL33" s="664">
        <f t="shared" si="142"/>
        <v>-3797.7071699999988</v>
      </c>
      <c r="AM33" s="664">
        <f t="shared" si="142"/>
        <v>-3818.3099699999989</v>
      </c>
      <c r="AN33" s="664">
        <f t="shared" si="142"/>
        <v>-3838.912769999999</v>
      </c>
      <c r="AO33" s="664">
        <f t="shared" si="142"/>
        <v>-3859.5155699999991</v>
      </c>
      <c r="AP33" s="664">
        <f t="shared" si="142"/>
        <v>-3880.1183699999992</v>
      </c>
      <c r="AQ33" s="664">
        <f t="shared" ref="AQ33:BF33" si="143">IF(AQ16&gt;AQ8,$C$7*(AQ16-AQ8)*(-1),0)</f>
        <v>-4282.3365329999997</v>
      </c>
      <c r="AR33" s="664">
        <f t="shared" si="143"/>
        <v>-4302.9393329999984</v>
      </c>
      <c r="AS33" s="664">
        <f t="shared" si="143"/>
        <v>-4323.542132999999</v>
      </c>
      <c r="AT33" s="664">
        <f t="shared" si="143"/>
        <v>-4344.1449329999996</v>
      </c>
      <c r="AU33" s="664">
        <f t="shared" si="143"/>
        <v>-4364.7477329999992</v>
      </c>
      <c r="AV33" s="664">
        <f t="shared" si="143"/>
        <v>-4385.3505329999989</v>
      </c>
      <c r="AW33" s="664">
        <f t="shared" si="143"/>
        <v>-4405.9533329999995</v>
      </c>
      <c r="AX33" s="664">
        <f t="shared" si="143"/>
        <v>-4426.5561329999991</v>
      </c>
      <c r="AY33" s="664">
        <f t="shared" si="143"/>
        <v>-4447.1589329999988</v>
      </c>
      <c r="AZ33" s="664">
        <f t="shared" si="143"/>
        <v>-4467.7617329999994</v>
      </c>
      <c r="BA33" s="664">
        <f t="shared" si="143"/>
        <v>-4488.364532999999</v>
      </c>
      <c r="BB33" s="664">
        <f t="shared" si="143"/>
        <v>-4508.9673329999987</v>
      </c>
      <c r="BC33" s="664">
        <f t="shared" si="143"/>
        <v>-4529.5701329999993</v>
      </c>
      <c r="BD33" s="664">
        <f t="shared" si="143"/>
        <v>-4550.1729329999989</v>
      </c>
      <c r="BE33" s="664">
        <f t="shared" si="143"/>
        <v>-4570.7757329999986</v>
      </c>
      <c r="BF33" s="664">
        <f t="shared" si="143"/>
        <v>-4591.3785329999992</v>
      </c>
      <c r="BG33" s="664">
        <f t="shared" ref="BG33:BV33" si="144">IF(BG16&gt;BG8,$C$7*(BG16-BG8)*(-1),0)</f>
        <v>-1.817324999999073</v>
      </c>
      <c r="BH33" s="664">
        <f t="shared" si="144"/>
        <v>-1.817324999999073</v>
      </c>
      <c r="BI33" s="664">
        <f t="shared" si="144"/>
        <v>-1.817324999999073</v>
      </c>
      <c r="BJ33" s="664">
        <f t="shared" si="144"/>
        <v>-1.817324999999073</v>
      </c>
      <c r="BK33" s="664">
        <f t="shared" si="144"/>
        <v>-1.817324999999073</v>
      </c>
      <c r="BL33" s="664">
        <f t="shared" si="144"/>
        <v>-1.817324999999073</v>
      </c>
      <c r="BM33" s="664">
        <f t="shared" si="144"/>
        <v>-1.817324999999073</v>
      </c>
      <c r="BN33" s="664">
        <f t="shared" si="144"/>
        <v>-1.817324999999073</v>
      </c>
      <c r="BO33" s="664">
        <f t="shared" si="144"/>
        <v>-1.817324999999073</v>
      </c>
      <c r="BP33" s="664">
        <f t="shared" si="144"/>
        <v>-1.817324999999073</v>
      </c>
      <c r="BQ33" s="664">
        <f t="shared" si="144"/>
        <v>-1.817324999999073</v>
      </c>
      <c r="BR33" s="664">
        <f t="shared" si="144"/>
        <v>-1.817324999999073</v>
      </c>
      <c r="BS33" s="664">
        <f t="shared" si="144"/>
        <v>-1.817324999999073</v>
      </c>
      <c r="BT33" s="664">
        <f t="shared" si="144"/>
        <v>-1.817324999999073</v>
      </c>
      <c r="BU33" s="664">
        <f t="shared" si="144"/>
        <v>-1.817324999999073</v>
      </c>
      <c r="BV33" s="664">
        <f t="shared" si="144"/>
        <v>-1.817324999999073</v>
      </c>
      <c r="BW33" s="664">
        <f t="shared" ref="BW33:CI33" si="145">IF(BW16&gt;BW8,$C$7*(BW16-BW8)*(-1),0)</f>
        <v>-1.817324999999073</v>
      </c>
      <c r="BX33" s="664">
        <f t="shared" si="145"/>
        <v>-1.817324999999073</v>
      </c>
      <c r="BY33" s="664">
        <f t="shared" si="145"/>
        <v>-1.817324999999073</v>
      </c>
      <c r="BZ33" s="664">
        <f t="shared" si="145"/>
        <v>-1.817324999999073</v>
      </c>
      <c r="CA33" s="664">
        <f t="shared" si="145"/>
        <v>-1.817324999999073</v>
      </c>
      <c r="CB33" s="664">
        <f t="shared" si="145"/>
        <v>-1.817324999999073</v>
      </c>
      <c r="CC33" s="664">
        <f t="shared" si="145"/>
        <v>-1.817324999999073</v>
      </c>
      <c r="CD33" s="664">
        <f t="shared" si="145"/>
        <v>-1.817324999999073</v>
      </c>
      <c r="CE33" s="664">
        <f t="shared" si="145"/>
        <v>-1.817324999999073</v>
      </c>
      <c r="CF33" s="664">
        <f t="shared" si="145"/>
        <v>-1.817324999999073</v>
      </c>
      <c r="CG33" s="664">
        <f t="shared" si="145"/>
        <v>-1.817324999999073</v>
      </c>
      <c r="CH33" s="664">
        <f t="shared" si="145"/>
        <v>-1.817324999999073</v>
      </c>
      <c r="CI33" s="664">
        <f t="shared" si="145"/>
        <v>-1.817324999999073</v>
      </c>
    </row>
    <row r="34" spans="1:87" x14ac:dyDescent="0.25">
      <c r="A34" s="122"/>
      <c r="B34" s="122" t="s">
        <v>2489</v>
      </c>
      <c r="C34" s="122" t="s">
        <v>2486</v>
      </c>
      <c r="D34" s="122" t="s">
        <v>2487</v>
      </c>
      <c r="E34" s="122" t="s">
        <v>2488</v>
      </c>
      <c r="F34" s="122" t="s">
        <v>817</v>
      </c>
      <c r="J34" s="120" t="s">
        <v>2459</v>
      </c>
      <c r="K34" s="664">
        <f>IF(K17&gt;K9,$C$8*(K17-K9)*(-1),0)</f>
        <v>-2150.15</v>
      </c>
      <c r="L34" s="664">
        <f t="shared" ref="L34:Q34" si="146">IF(L17&gt;L9,$C$8*(L17-L9)*(-1),0)</f>
        <v>-1107.8</v>
      </c>
      <c r="M34" s="664">
        <f t="shared" si="146"/>
        <v>-1113.1999999999998</v>
      </c>
      <c r="N34" s="664">
        <f t="shared" si="146"/>
        <v>-1118.5999999999999</v>
      </c>
      <c r="O34" s="664">
        <f t="shared" si="146"/>
        <v>-1124</v>
      </c>
      <c r="P34" s="664">
        <f t="shared" si="146"/>
        <v>-1129.4000000000001</v>
      </c>
      <c r="Q34" s="664">
        <f t="shared" si="146"/>
        <v>-1134.8</v>
      </c>
      <c r="R34" s="664">
        <f t="shared" ref="R34:AP34" si="147">IF(R17&gt;R9,$C$8*(R17-R9)*(-1),0)</f>
        <v>-1140.2</v>
      </c>
      <c r="S34" s="664">
        <f t="shared" si="147"/>
        <v>-1145.5999999999999</v>
      </c>
      <c r="T34" s="664">
        <f t="shared" si="147"/>
        <v>-1151</v>
      </c>
      <c r="U34" s="664">
        <f t="shared" si="147"/>
        <v>-1156.3999999999999</v>
      </c>
      <c r="V34" s="664">
        <f t="shared" si="147"/>
        <v>-1161.8000000000002</v>
      </c>
      <c r="W34" s="664">
        <f t="shared" si="147"/>
        <v>-1167.2</v>
      </c>
      <c r="X34" s="664">
        <f t="shared" si="147"/>
        <v>-1172.6000000000001</v>
      </c>
      <c r="Y34" s="664">
        <f t="shared" si="147"/>
        <v>-1178</v>
      </c>
      <c r="Z34" s="664">
        <f t="shared" si="147"/>
        <v>-1183.4000000000001</v>
      </c>
      <c r="AA34" s="664">
        <f t="shared" si="147"/>
        <v>-1309.5349999999999</v>
      </c>
      <c r="AB34" s="664">
        <f t="shared" si="147"/>
        <v>-1314.9349999999999</v>
      </c>
      <c r="AC34" s="664">
        <f t="shared" si="147"/>
        <v>-1320.335</v>
      </c>
      <c r="AD34" s="664">
        <f t="shared" si="147"/>
        <v>-1325.7349999999997</v>
      </c>
      <c r="AE34" s="664">
        <f t="shared" si="147"/>
        <v>-1331.1349999999998</v>
      </c>
      <c r="AF34" s="664">
        <f t="shared" si="147"/>
        <v>-1336.5349999999999</v>
      </c>
      <c r="AG34" s="664">
        <f t="shared" si="147"/>
        <v>-1341.9349999999997</v>
      </c>
      <c r="AH34" s="664">
        <f t="shared" si="147"/>
        <v>-1347.335</v>
      </c>
      <c r="AI34" s="664">
        <f t="shared" si="147"/>
        <v>-1352.7349999999999</v>
      </c>
      <c r="AJ34" s="664">
        <f t="shared" si="147"/>
        <v>-1358.1349999999998</v>
      </c>
      <c r="AK34" s="664">
        <f t="shared" si="147"/>
        <v>-1363.5349999999999</v>
      </c>
      <c r="AL34" s="664">
        <f t="shared" si="147"/>
        <v>-1368.9349999999999</v>
      </c>
      <c r="AM34" s="664">
        <f t="shared" si="147"/>
        <v>-1374.3349999999998</v>
      </c>
      <c r="AN34" s="664">
        <f t="shared" si="147"/>
        <v>-1379.7350000000001</v>
      </c>
      <c r="AO34" s="664">
        <f t="shared" si="147"/>
        <v>-1385.1349999999998</v>
      </c>
      <c r="AP34" s="664">
        <f t="shared" si="147"/>
        <v>-1390.5349999999999</v>
      </c>
      <c r="AQ34" s="664">
        <f t="shared" ref="AQ34:BF34" si="148">IF(AQ17&gt;AQ9,$C$8*(AQ17-AQ9)*(-1),0)</f>
        <v>-1495.9564999999998</v>
      </c>
      <c r="AR34" s="664">
        <f t="shared" si="148"/>
        <v>-1501.3564999999999</v>
      </c>
      <c r="AS34" s="664">
        <f t="shared" si="148"/>
        <v>-1506.7565</v>
      </c>
      <c r="AT34" s="664">
        <f t="shared" si="148"/>
        <v>-1512.1564999999998</v>
      </c>
      <c r="AU34" s="664">
        <f t="shared" si="148"/>
        <v>-1517.5565000000001</v>
      </c>
      <c r="AV34" s="664">
        <f t="shared" si="148"/>
        <v>-1522.9564999999998</v>
      </c>
      <c r="AW34" s="664">
        <f t="shared" si="148"/>
        <v>-1528.3564999999999</v>
      </c>
      <c r="AX34" s="664">
        <f t="shared" si="148"/>
        <v>-1533.7564999999997</v>
      </c>
      <c r="AY34" s="664">
        <f t="shared" si="148"/>
        <v>-1539.1564999999996</v>
      </c>
      <c r="AZ34" s="664">
        <f t="shared" si="148"/>
        <v>-1544.5564999999999</v>
      </c>
      <c r="BA34" s="664">
        <f t="shared" si="148"/>
        <v>-1549.9564999999998</v>
      </c>
      <c r="BB34" s="664">
        <f t="shared" si="148"/>
        <v>-1555.3564999999999</v>
      </c>
      <c r="BC34" s="664">
        <f t="shared" si="148"/>
        <v>-1560.7565</v>
      </c>
      <c r="BD34" s="664">
        <f t="shared" si="148"/>
        <v>-1566.1564999999998</v>
      </c>
      <c r="BE34" s="664">
        <f t="shared" si="148"/>
        <v>-1571.5564999999997</v>
      </c>
      <c r="BF34" s="664">
        <f t="shared" si="148"/>
        <v>-1576.9565</v>
      </c>
      <c r="BG34" s="664">
        <f t="shared" ref="BG34:BV34" si="149">IF(BG17&gt;BG9,$C$8*(BG17-BG9)*(-1),0)</f>
        <v>-1.3017499999995152</v>
      </c>
      <c r="BH34" s="664">
        <f t="shared" si="149"/>
        <v>-1.3017499999995152</v>
      </c>
      <c r="BI34" s="664">
        <f t="shared" si="149"/>
        <v>-1.3017499999995152</v>
      </c>
      <c r="BJ34" s="664">
        <f t="shared" si="149"/>
        <v>-1.3017499999995152</v>
      </c>
      <c r="BK34" s="664">
        <f t="shared" si="149"/>
        <v>-1.3017499999995152</v>
      </c>
      <c r="BL34" s="664">
        <f t="shared" si="149"/>
        <v>-1.3017499999995152</v>
      </c>
      <c r="BM34" s="664">
        <f t="shared" si="149"/>
        <v>-1.3017499999995152</v>
      </c>
      <c r="BN34" s="664">
        <f t="shared" si="149"/>
        <v>-1.3017499999995152</v>
      </c>
      <c r="BO34" s="664">
        <f t="shared" si="149"/>
        <v>-1.3017499999995152</v>
      </c>
      <c r="BP34" s="664">
        <f t="shared" si="149"/>
        <v>-1.3017499999995152</v>
      </c>
      <c r="BQ34" s="664">
        <f t="shared" si="149"/>
        <v>-1.3017499999995152</v>
      </c>
      <c r="BR34" s="664">
        <f t="shared" si="149"/>
        <v>-1.3017499999995152</v>
      </c>
      <c r="BS34" s="664">
        <f t="shared" si="149"/>
        <v>-1.3017499999995152</v>
      </c>
      <c r="BT34" s="664">
        <f t="shared" si="149"/>
        <v>-1.3017499999995152</v>
      </c>
      <c r="BU34" s="664">
        <f t="shared" si="149"/>
        <v>-1.3017499999995152</v>
      </c>
      <c r="BV34" s="664">
        <f t="shared" si="149"/>
        <v>-1.3017499999995152</v>
      </c>
      <c r="BW34" s="664">
        <f t="shared" ref="BW34:CI34" si="150">IF(BW17&gt;BW9,$C$8*(BW17-BW9)*(-1),0)</f>
        <v>-1.3017499999995152</v>
      </c>
      <c r="BX34" s="664">
        <f t="shared" si="150"/>
        <v>-1.3017499999995152</v>
      </c>
      <c r="BY34" s="664">
        <f t="shared" si="150"/>
        <v>-1.3017499999995152</v>
      </c>
      <c r="BZ34" s="664">
        <f t="shared" si="150"/>
        <v>-1.3017499999995152</v>
      </c>
      <c r="CA34" s="664">
        <f t="shared" si="150"/>
        <v>-1.3017499999995152</v>
      </c>
      <c r="CB34" s="664">
        <f t="shared" si="150"/>
        <v>-1.3017499999995152</v>
      </c>
      <c r="CC34" s="664">
        <f t="shared" si="150"/>
        <v>-1.3017499999995152</v>
      </c>
      <c r="CD34" s="664">
        <f t="shared" si="150"/>
        <v>-1.3017499999995152</v>
      </c>
      <c r="CE34" s="664">
        <f t="shared" si="150"/>
        <v>-1.3017499999995152</v>
      </c>
      <c r="CF34" s="664">
        <f t="shared" si="150"/>
        <v>-1.3017499999995152</v>
      </c>
      <c r="CG34" s="664">
        <f t="shared" si="150"/>
        <v>-1.3017499999995152</v>
      </c>
      <c r="CH34" s="664">
        <f t="shared" si="150"/>
        <v>-1.3017499999995152</v>
      </c>
      <c r="CI34" s="664">
        <f t="shared" si="150"/>
        <v>-1.3017499999995152</v>
      </c>
    </row>
    <row r="35" spans="1:87" x14ac:dyDescent="0.25">
      <c r="A35" s="685" t="s">
        <v>32</v>
      </c>
      <c r="B35" s="687">
        <v>102</v>
      </c>
      <c r="C35" s="505">
        <f>F5</f>
        <v>6</v>
      </c>
      <c r="D35" s="505">
        <f>C5*B35</f>
        <v>51</v>
      </c>
      <c r="E35" s="505">
        <f>D5</f>
        <v>45</v>
      </c>
      <c r="F35" s="505">
        <f>D35-C35-E35</f>
        <v>0</v>
      </c>
      <c r="J35" s="124" t="s">
        <v>2482</v>
      </c>
      <c r="K35" s="684">
        <v>-10000</v>
      </c>
      <c r="L35" s="677">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0</v>
      </c>
      <c r="AT35" s="671">
        <v>0</v>
      </c>
      <c r="AU35" s="671">
        <v>0</v>
      </c>
      <c r="AV35" s="671">
        <v>0</v>
      </c>
      <c r="AW35" s="671">
        <v>0</v>
      </c>
      <c r="AX35" s="671">
        <v>0</v>
      </c>
      <c r="AY35" s="671">
        <v>0</v>
      </c>
      <c r="AZ35" s="671">
        <v>0</v>
      </c>
      <c r="BA35" s="671">
        <v>0</v>
      </c>
      <c r="BB35" s="671">
        <v>0</v>
      </c>
      <c r="BC35" s="671">
        <v>0</v>
      </c>
      <c r="BD35" s="671">
        <v>0</v>
      </c>
      <c r="BE35" s="671">
        <v>0</v>
      </c>
      <c r="BF35" s="671">
        <v>0</v>
      </c>
      <c r="BG35" s="671">
        <v>0</v>
      </c>
      <c r="BH35" s="671">
        <v>0</v>
      </c>
      <c r="BI35" s="671">
        <v>0</v>
      </c>
      <c r="BJ35" s="671">
        <v>0</v>
      </c>
      <c r="BK35" s="671">
        <v>0</v>
      </c>
      <c r="BL35" s="671">
        <v>0</v>
      </c>
      <c r="BM35" s="671">
        <v>0</v>
      </c>
      <c r="BN35" s="671">
        <v>0</v>
      </c>
      <c r="BO35" s="671">
        <v>0</v>
      </c>
      <c r="BP35" s="671">
        <v>0</v>
      </c>
      <c r="BQ35" s="671">
        <v>0</v>
      </c>
      <c r="BR35" s="671">
        <v>0</v>
      </c>
      <c r="BS35" s="671">
        <v>0</v>
      </c>
      <c r="BT35" s="671">
        <v>0</v>
      </c>
      <c r="BU35" s="671">
        <v>0</v>
      </c>
      <c r="BV35" s="671">
        <v>0</v>
      </c>
      <c r="BW35" s="671">
        <v>0</v>
      </c>
      <c r="BX35" s="671">
        <v>0</v>
      </c>
      <c r="BY35" s="671">
        <v>0</v>
      </c>
      <c r="BZ35" s="671">
        <v>0</v>
      </c>
      <c r="CA35" s="671">
        <v>0</v>
      </c>
      <c r="CB35" s="671">
        <v>0</v>
      </c>
      <c r="CC35" s="671">
        <v>0</v>
      </c>
      <c r="CD35" s="671">
        <v>0</v>
      </c>
      <c r="CE35" s="671">
        <v>0</v>
      </c>
      <c r="CF35" s="671">
        <v>0</v>
      </c>
      <c r="CG35" s="671">
        <v>0</v>
      </c>
      <c r="CH35" s="671">
        <v>0</v>
      </c>
      <c r="CI35" s="671">
        <v>0</v>
      </c>
    </row>
    <row r="36" spans="1:87" x14ac:dyDescent="0.25">
      <c r="A36" s="685" t="s">
        <v>33</v>
      </c>
      <c r="B36" s="689">
        <f>(75+6)/C6</f>
        <v>115.71428571428572</v>
      </c>
      <c r="C36" s="505">
        <f t="shared" ref="C36:C38" si="151">F6</f>
        <v>6</v>
      </c>
      <c r="D36" s="505">
        <f t="shared" ref="D36:D38" si="152">C6*B36</f>
        <v>81</v>
      </c>
      <c r="E36" s="505">
        <f t="shared" ref="E36:E38" si="153">D6</f>
        <v>75</v>
      </c>
      <c r="F36" s="505">
        <f t="shared" ref="F36:F38" si="154">D36-C36-E36</f>
        <v>0</v>
      </c>
      <c r="J36" s="124" t="s">
        <v>2477</v>
      </c>
      <c r="K36" s="671">
        <f>IF(C25&gt;0,C25*D5*(-1),C25*F5)</f>
        <v>-62798.400000000009</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0</v>
      </c>
      <c r="BH36" s="671">
        <v>0</v>
      </c>
      <c r="BI36" s="671">
        <v>0</v>
      </c>
      <c r="BJ36" s="671">
        <v>0</v>
      </c>
      <c r="BK36" s="671">
        <v>0</v>
      </c>
      <c r="BL36" s="671">
        <v>0</v>
      </c>
      <c r="BM36" s="671">
        <v>0</v>
      </c>
      <c r="BN36" s="671">
        <v>0</v>
      </c>
      <c r="BO36" s="671">
        <v>0</v>
      </c>
      <c r="BP36" s="671">
        <v>0</v>
      </c>
      <c r="BQ36" s="671">
        <v>0</v>
      </c>
      <c r="BR36" s="671">
        <v>0</v>
      </c>
      <c r="BS36" s="671">
        <v>0</v>
      </c>
      <c r="BT36" s="671">
        <v>0</v>
      </c>
      <c r="BU36" s="671">
        <v>0</v>
      </c>
      <c r="BV36" s="671">
        <v>0</v>
      </c>
      <c r="BW36" s="671">
        <v>0</v>
      </c>
      <c r="BX36" s="671">
        <v>0</v>
      </c>
      <c r="BY36" s="671">
        <v>0</v>
      </c>
      <c r="BZ36" s="671">
        <v>0</v>
      </c>
      <c r="CA36" s="671">
        <v>0</v>
      </c>
      <c r="CB36" s="671">
        <v>0</v>
      </c>
      <c r="CC36" s="671">
        <v>0</v>
      </c>
      <c r="CD36" s="671">
        <v>0</v>
      </c>
      <c r="CE36" s="671">
        <v>0</v>
      </c>
      <c r="CF36" s="671">
        <v>0</v>
      </c>
      <c r="CG36" s="671">
        <v>0</v>
      </c>
      <c r="CH36" s="671">
        <v>0</v>
      </c>
      <c r="CI36" s="671">
        <v>0</v>
      </c>
    </row>
    <row r="37" spans="1:87" x14ac:dyDescent="0.25">
      <c r="A37" s="685" t="s">
        <v>34</v>
      </c>
      <c r="B37" s="687">
        <v>96</v>
      </c>
      <c r="C37" s="505">
        <f t="shared" si="151"/>
        <v>6</v>
      </c>
      <c r="D37" s="505">
        <f t="shared" si="152"/>
        <v>96</v>
      </c>
      <c r="E37" s="505">
        <f t="shared" si="153"/>
        <v>90</v>
      </c>
      <c r="F37" s="505">
        <f t="shared" si="154"/>
        <v>0</v>
      </c>
      <c r="J37" s="124" t="s">
        <v>2478</v>
      </c>
      <c r="K37" s="671">
        <f>IF(C26&gt;0,C26*D6*(-1),C26*F6)</f>
        <v>-24103.800000000007</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71">
        <v>0</v>
      </c>
      <c r="BG37" s="671">
        <v>0</v>
      </c>
      <c r="BH37" s="671">
        <v>0</v>
      </c>
      <c r="BI37" s="671">
        <v>0</v>
      </c>
      <c r="BJ37" s="671">
        <v>0</v>
      </c>
      <c r="BK37" s="671">
        <v>0</v>
      </c>
      <c r="BL37" s="671">
        <v>0</v>
      </c>
      <c r="BM37" s="671">
        <v>0</v>
      </c>
      <c r="BN37" s="671">
        <v>0</v>
      </c>
      <c r="BO37" s="671">
        <v>0</v>
      </c>
      <c r="BP37" s="671">
        <v>0</v>
      </c>
      <c r="BQ37" s="671">
        <v>0</v>
      </c>
      <c r="BR37" s="671">
        <v>0</v>
      </c>
      <c r="BS37" s="671">
        <v>0</v>
      </c>
      <c r="BT37" s="671">
        <v>0</v>
      </c>
      <c r="BU37" s="671">
        <v>0</v>
      </c>
      <c r="BV37" s="671">
        <v>0</v>
      </c>
      <c r="BW37" s="671">
        <v>0</v>
      </c>
      <c r="BX37" s="671">
        <v>0</v>
      </c>
      <c r="BY37" s="671">
        <v>0</v>
      </c>
      <c r="BZ37" s="671">
        <v>0</v>
      </c>
      <c r="CA37" s="671">
        <v>0</v>
      </c>
      <c r="CB37" s="671">
        <v>0</v>
      </c>
      <c r="CC37" s="671">
        <v>0</v>
      </c>
      <c r="CD37" s="671">
        <v>0</v>
      </c>
      <c r="CE37" s="671">
        <v>0</v>
      </c>
      <c r="CF37" s="671">
        <v>0</v>
      </c>
      <c r="CG37" s="671">
        <v>0</v>
      </c>
      <c r="CH37" s="671">
        <v>0</v>
      </c>
      <c r="CI37" s="671">
        <v>0</v>
      </c>
    </row>
    <row r="38" spans="1:87" x14ac:dyDescent="0.25">
      <c r="A38" s="685" t="s">
        <v>35</v>
      </c>
      <c r="B38" s="688">
        <f>(300+6)/C8</f>
        <v>122.4</v>
      </c>
      <c r="C38" s="505">
        <f t="shared" si="151"/>
        <v>6</v>
      </c>
      <c r="D38" s="505">
        <f t="shared" si="152"/>
        <v>306</v>
      </c>
      <c r="E38" s="505">
        <f t="shared" si="153"/>
        <v>300</v>
      </c>
      <c r="F38" s="505">
        <f t="shared" si="154"/>
        <v>0</v>
      </c>
      <c r="J38" s="124" t="s">
        <v>2479</v>
      </c>
      <c r="K38" s="671">
        <f>IF(C27&gt;0,C27*D7*(-1),C27*F7)</f>
        <v>-20320.200000000004</v>
      </c>
      <c r="L38" s="671">
        <v>0</v>
      </c>
      <c r="M38" s="671">
        <v>0</v>
      </c>
      <c r="N38" s="671">
        <v>0</v>
      </c>
      <c r="O38" s="671">
        <v>0</v>
      </c>
      <c r="P38" s="671">
        <v>0</v>
      </c>
      <c r="Q38" s="671">
        <v>0</v>
      </c>
      <c r="R38" s="671">
        <v>0</v>
      </c>
      <c r="S38" s="671">
        <v>0</v>
      </c>
      <c r="T38" s="671">
        <v>0</v>
      </c>
      <c r="U38" s="671">
        <v>0</v>
      </c>
      <c r="V38" s="671">
        <v>0</v>
      </c>
      <c r="W38" s="671">
        <v>0</v>
      </c>
      <c r="X38" s="671">
        <v>0</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71">
        <v>0</v>
      </c>
      <c r="BG38" s="671">
        <v>0</v>
      </c>
      <c r="BH38" s="671">
        <v>0</v>
      </c>
      <c r="BI38" s="671">
        <v>0</v>
      </c>
      <c r="BJ38" s="671">
        <v>0</v>
      </c>
      <c r="BK38" s="671">
        <v>0</v>
      </c>
      <c r="BL38" s="671">
        <v>0</v>
      </c>
      <c r="BM38" s="671">
        <v>0</v>
      </c>
      <c r="BN38" s="671">
        <v>0</v>
      </c>
      <c r="BO38" s="671">
        <v>0</v>
      </c>
      <c r="BP38" s="671">
        <v>0</v>
      </c>
      <c r="BQ38" s="671">
        <v>0</v>
      </c>
      <c r="BR38" s="671">
        <v>0</v>
      </c>
      <c r="BS38" s="671">
        <v>0</v>
      </c>
      <c r="BT38" s="671">
        <v>0</v>
      </c>
      <c r="BU38" s="671">
        <v>0</v>
      </c>
      <c r="BV38" s="671">
        <v>0</v>
      </c>
      <c r="BW38" s="671">
        <v>0</v>
      </c>
      <c r="BX38" s="671">
        <v>0</v>
      </c>
      <c r="BY38" s="671">
        <v>0</v>
      </c>
      <c r="BZ38" s="671">
        <v>0</v>
      </c>
      <c r="CA38" s="671">
        <v>0</v>
      </c>
      <c r="CB38" s="671">
        <v>0</v>
      </c>
      <c r="CC38" s="671">
        <v>0</v>
      </c>
      <c r="CD38" s="671">
        <v>0</v>
      </c>
      <c r="CE38" s="671">
        <v>0</v>
      </c>
      <c r="CF38" s="671">
        <v>0</v>
      </c>
      <c r="CG38" s="671">
        <v>0</v>
      </c>
      <c r="CH38" s="671">
        <v>0</v>
      </c>
      <c r="CI38" s="671">
        <v>0</v>
      </c>
    </row>
    <row r="39" spans="1:87" x14ac:dyDescent="0.25">
      <c r="J39" s="124" t="s">
        <v>2480</v>
      </c>
      <c r="K39" s="671">
        <f>IF(C28&gt;0,C28*D8*(-1),C28*F8)</f>
        <v>-2514.6000000000004</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71">
        <v>0</v>
      </c>
      <c r="BG39" s="671">
        <v>0</v>
      </c>
      <c r="BH39" s="671">
        <v>0</v>
      </c>
      <c r="BI39" s="671">
        <v>0</v>
      </c>
      <c r="BJ39" s="671">
        <v>0</v>
      </c>
      <c r="BK39" s="671">
        <v>0</v>
      </c>
      <c r="BL39" s="671">
        <v>0</v>
      </c>
      <c r="BM39" s="671">
        <v>0</v>
      </c>
      <c r="BN39" s="671">
        <v>0</v>
      </c>
      <c r="BO39" s="671">
        <v>0</v>
      </c>
      <c r="BP39" s="671">
        <v>0</v>
      </c>
      <c r="BQ39" s="671">
        <v>0</v>
      </c>
      <c r="BR39" s="671">
        <v>0</v>
      </c>
      <c r="BS39" s="671">
        <v>0</v>
      </c>
      <c r="BT39" s="671">
        <v>0</v>
      </c>
      <c r="BU39" s="671">
        <v>0</v>
      </c>
      <c r="BV39" s="671">
        <v>0</v>
      </c>
      <c r="BW39" s="671">
        <v>0</v>
      </c>
      <c r="BX39" s="671">
        <v>0</v>
      </c>
      <c r="BY39" s="671">
        <v>0</v>
      </c>
      <c r="BZ39" s="671">
        <v>0</v>
      </c>
      <c r="CA39" s="671">
        <v>0</v>
      </c>
      <c r="CB39" s="671">
        <v>0</v>
      </c>
      <c r="CC39" s="671">
        <v>0</v>
      </c>
      <c r="CD39" s="671">
        <v>0</v>
      </c>
      <c r="CE39" s="671">
        <v>0</v>
      </c>
      <c r="CF39" s="671">
        <v>0</v>
      </c>
      <c r="CG39" s="671">
        <v>0</v>
      </c>
      <c r="CH39" s="671">
        <v>0</v>
      </c>
      <c r="CI39" s="671">
        <v>0</v>
      </c>
    </row>
    <row r="40" spans="1:87" x14ac:dyDescent="0.25">
      <c r="J40" s="124" t="s">
        <v>2481</v>
      </c>
      <c r="K40" s="672">
        <f>K39+K38+K37+K36+K35</f>
        <v>-119737.00000000001</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0</v>
      </c>
      <c r="AW40" s="671">
        <v>0</v>
      </c>
      <c r="AX40" s="671">
        <v>0</v>
      </c>
      <c r="AY40" s="671">
        <v>0</v>
      </c>
      <c r="AZ40" s="671">
        <v>0</v>
      </c>
      <c r="BA40" s="671">
        <v>0</v>
      </c>
      <c r="BB40" s="671">
        <v>0</v>
      </c>
      <c r="BC40" s="671">
        <v>0</v>
      </c>
      <c r="BD40" s="671">
        <v>0</v>
      </c>
      <c r="BE40" s="671">
        <v>0</v>
      </c>
      <c r="BF40" s="671">
        <v>0</v>
      </c>
      <c r="BG40" s="671">
        <v>0</v>
      </c>
      <c r="BH40" s="671">
        <v>0</v>
      </c>
      <c r="BI40" s="671">
        <v>0</v>
      </c>
      <c r="BJ40" s="671">
        <v>0</v>
      </c>
      <c r="BK40" s="671">
        <v>0</v>
      </c>
      <c r="BL40" s="671">
        <v>0</v>
      </c>
      <c r="BM40" s="671">
        <v>0</v>
      </c>
      <c r="BN40" s="671">
        <v>0</v>
      </c>
      <c r="BO40" s="671">
        <v>0</v>
      </c>
      <c r="BP40" s="671">
        <v>0</v>
      </c>
      <c r="BQ40" s="671">
        <v>0</v>
      </c>
      <c r="BR40" s="671">
        <v>0</v>
      </c>
      <c r="BS40" s="671">
        <v>0</v>
      </c>
      <c r="BT40" s="671">
        <v>0</v>
      </c>
      <c r="BU40" s="671">
        <v>0</v>
      </c>
      <c r="BV40" s="671">
        <v>0</v>
      </c>
      <c r="BW40" s="671">
        <v>0</v>
      </c>
      <c r="BX40" s="671">
        <v>0</v>
      </c>
      <c r="BY40" s="671">
        <v>0</v>
      </c>
      <c r="BZ40" s="671">
        <v>0</v>
      </c>
      <c r="CA40" s="671">
        <v>0</v>
      </c>
      <c r="CB40" s="671">
        <v>0</v>
      </c>
      <c r="CC40" s="671">
        <v>0</v>
      </c>
      <c r="CD40" s="671">
        <v>0</v>
      </c>
      <c r="CE40" s="671">
        <v>0</v>
      </c>
      <c r="CF40" s="671">
        <v>0</v>
      </c>
      <c r="CG40" s="671">
        <v>0</v>
      </c>
      <c r="CH40" s="671">
        <v>0</v>
      </c>
      <c r="CI40" s="671">
        <v>0</v>
      </c>
    </row>
    <row r="41" spans="1:87" x14ac:dyDescent="0.25">
      <c r="J41" s="381" t="s">
        <v>2484</v>
      </c>
      <c r="K41" s="676">
        <f>K26+K18+K19+K20+K21</f>
        <v>331756.36129999999</v>
      </c>
      <c r="L41" s="676">
        <f t="shared" ref="L41:AP41" si="155">L26+L18+L19+L20+L21</f>
        <v>-41599.199999999997</v>
      </c>
      <c r="M41" s="676">
        <f t="shared" si="155"/>
        <v>328752.49490000005</v>
      </c>
      <c r="N41" s="676">
        <f t="shared" si="155"/>
        <v>-41599.199999999997</v>
      </c>
      <c r="O41" s="676">
        <f t="shared" si="155"/>
        <v>325748.62849999999</v>
      </c>
      <c r="P41" s="676">
        <f t="shared" si="155"/>
        <v>-41599.199999999997</v>
      </c>
      <c r="Q41" s="676">
        <f t="shared" si="155"/>
        <v>322744.76209999999</v>
      </c>
      <c r="R41" s="676">
        <f t="shared" si="155"/>
        <v>-41599.199999999997</v>
      </c>
      <c r="S41" s="676">
        <f t="shared" si="155"/>
        <v>319740.89569999994</v>
      </c>
      <c r="T41" s="676">
        <f t="shared" si="155"/>
        <v>-41599.199999999997</v>
      </c>
      <c r="U41" s="676">
        <f t="shared" si="155"/>
        <v>316737.02929999999</v>
      </c>
      <c r="V41" s="676">
        <f t="shared" si="155"/>
        <v>-41599.199999999997</v>
      </c>
      <c r="W41" s="676">
        <f t="shared" si="155"/>
        <v>-41599.199999999997</v>
      </c>
      <c r="X41" s="676">
        <f t="shared" si="155"/>
        <v>-41599.199999999997</v>
      </c>
      <c r="Y41" s="676">
        <f t="shared" si="155"/>
        <v>310729.2965</v>
      </c>
      <c r="Z41" s="676">
        <f t="shared" si="155"/>
        <v>-41599.199999999997</v>
      </c>
      <c r="AA41" s="676">
        <f t="shared" si="155"/>
        <v>274144.70697000006</v>
      </c>
      <c r="AB41" s="676">
        <f t="shared" si="155"/>
        <v>-41599.199999999997</v>
      </c>
      <c r="AC41" s="676">
        <f t="shared" si="155"/>
        <v>271140.84057000006</v>
      </c>
      <c r="AD41" s="676">
        <f t="shared" si="155"/>
        <v>-41599.199999999997</v>
      </c>
      <c r="AE41" s="676">
        <f t="shared" si="155"/>
        <v>268136.97417</v>
      </c>
      <c r="AF41" s="676">
        <f t="shared" si="155"/>
        <v>-41599.199999999997</v>
      </c>
      <c r="AG41" s="676">
        <f t="shared" si="155"/>
        <v>265133.10777000006</v>
      </c>
      <c r="AH41" s="676">
        <f t="shared" si="155"/>
        <v>-41599.199999999997</v>
      </c>
      <c r="AI41" s="676">
        <f t="shared" si="155"/>
        <v>262129.24136999997</v>
      </c>
      <c r="AJ41" s="676">
        <f t="shared" si="155"/>
        <v>-41599.199999999997</v>
      </c>
      <c r="AK41" s="676">
        <f t="shared" si="155"/>
        <v>259125.37497000003</v>
      </c>
      <c r="AL41" s="676">
        <f t="shared" si="155"/>
        <v>-41599.199999999997</v>
      </c>
      <c r="AM41" s="676">
        <f t="shared" si="155"/>
        <v>-41599.199999999997</v>
      </c>
      <c r="AN41" s="676">
        <f t="shared" si="155"/>
        <v>254619.57537000004</v>
      </c>
      <c r="AO41" s="676">
        <f t="shared" si="155"/>
        <v>-41599.199999999997</v>
      </c>
      <c r="AP41" s="676">
        <f t="shared" si="155"/>
        <v>251615.70897000004</v>
      </c>
      <c r="AQ41" s="676">
        <f t="shared" ref="AQ41:BF41" si="156">AQ26+AQ18+AQ19+AQ20+AQ21</f>
        <v>-41599.199999999997</v>
      </c>
      <c r="AR41" s="676">
        <f t="shared" si="156"/>
        <v>220792.28487300003</v>
      </c>
      <c r="AS41" s="676">
        <f t="shared" si="156"/>
        <v>-41599.199999999997</v>
      </c>
      <c r="AT41" s="676">
        <f t="shared" si="156"/>
        <v>217788.41847300006</v>
      </c>
      <c r="AU41" s="676">
        <f t="shared" si="156"/>
        <v>-41599.199999999997</v>
      </c>
      <c r="AV41" s="676">
        <f t="shared" si="156"/>
        <v>214784.55207300003</v>
      </c>
      <c r="AW41" s="676">
        <f t="shared" si="156"/>
        <v>-41599.199999999997</v>
      </c>
      <c r="AX41" s="676">
        <f t="shared" si="156"/>
        <v>211780.68567300009</v>
      </c>
      <c r="AY41" s="676">
        <f t="shared" si="156"/>
        <v>-41599.199999999997</v>
      </c>
      <c r="AZ41" s="676">
        <f t="shared" si="156"/>
        <v>208776.81927300006</v>
      </c>
      <c r="BA41" s="676">
        <f t="shared" si="156"/>
        <v>-41599.199999999997</v>
      </c>
      <c r="BB41" s="676">
        <f t="shared" si="156"/>
        <v>-41599.199999999997</v>
      </c>
      <c r="BC41" s="676">
        <f t="shared" si="156"/>
        <v>-41599.199999999997</v>
      </c>
      <c r="BD41" s="676">
        <f t="shared" si="156"/>
        <v>202769.08647300003</v>
      </c>
      <c r="BE41" s="676">
        <f t="shared" si="156"/>
        <v>-41599.199999999997</v>
      </c>
      <c r="BF41" s="676">
        <f t="shared" si="156"/>
        <v>199765.22007300003</v>
      </c>
      <c r="BG41" s="676">
        <f t="shared" ref="BG41:BV41" si="157">BG26+BG18+BG19+BG20+BG21</f>
        <v>-41599.199999999997</v>
      </c>
      <c r="BH41" s="676">
        <f t="shared" si="157"/>
        <v>407338.90072500007</v>
      </c>
      <c r="BI41" s="676">
        <f t="shared" si="157"/>
        <v>-41599.199999999997</v>
      </c>
      <c r="BJ41" s="676">
        <f t="shared" si="157"/>
        <v>407338.90072500007</v>
      </c>
      <c r="BK41" s="676">
        <f t="shared" si="157"/>
        <v>-41599.199999999997</v>
      </c>
      <c r="BL41" s="676">
        <f t="shared" si="157"/>
        <v>407338.90072500007</v>
      </c>
      <c r="BM41" s="676">
        <f t="shared" si="157"/>
        <v>-41599.199999999997</v>
      </c>
      <c r="BN41" s="676">
        <f t="shared" si="157"/>
        <v>407338.90072500007</v>
      </c>
      <c r="BO41" s="676">
        <f t="shared" si="157"/>
        <v>-41599.199999999997</v>
      </c>
      <c r="BP41" s="676">
        <f t="shared" si="157"/>
        <v>407338.90072500007</v>
      </c>
      <c r="BQ41" s="676">
        <f t="shared" si="157"/>
        <v>-41599.199999999997</v>
      </c>
      <c r="BR41" s="676">
        <f t="shared" si="157"/>
        <v>-41599.199999999997</v>
      </c>
      <c r="BS41" s="676">
        <f t="shared" si="157"/>
        <v>-41599.199999999997</v>
      </c>
      <c r="BT41" s="676">
        <f t="shared" si="157"/>
        <v>407338.90072500007</v>
      </c>
      <c r="BU41" s="676">
        <f t="shared" si="157"/>
        <v>-41599.199999999997</v>
      </c>
      <c r="BV41" s="676">
        <f t="shared" si="157"/>
        <v>407338.90072500007</v>
      </c>
      <c r="BW41" s="676">
        <f t="shared" ref="BW41:CI41" si="158">BW26+BW18+BW19+BW20+BW21</f>
        <v>-41599.199999999997</v>
      </c>
      <c r="BX41" s="676">
        <f t="shared" si="158"/>
        <v>407338.90072500007</v>
      </c>
      <c r="BY41" s="676">
        <f t="shared" si="158"/>
        <v>-41599.199999999997</v>
      </c>
      <c r="BZ41" s="676">
        <f t="shared" si="158"/>
        <v>407338.90072500007</v>
      </c>
      <c r="CA41" s="676">
        <f t="shared" si="158"/>
        <v>-41599.199999999997</v>
      </c>
      <c r="CB41" s="676">
        <f t="shared" si="158"/>
        <v>407338.90072500007</v>
      </c>
      <c r="CC41" s="676">
        <f t="shared" si="158"/>
        <v>-41599.199999999997</v>
      </c>
      <c r="CD41" s="676">
        <f t="shared" si="158"/>
        <v>407338.90072500007</v>
      </c>
      <c r="CE41" s="676">
        <f t="shared" si="158"/>
        <v>-41599.199999999997</v>
      </c>
      <c r="CF41" s="676">
        <f t="shared" si="158"/>
        <v>407338.90072500007</v>
      </c>
      <c r="CG41" s="676">
        <f t="shared" si="158"/>
        <v>-41599.199999999997</v>
      </c>
      <c r="CH41" s="676">
        <f t="shared" si="158"/>
        <v>-41599.199999999997</v>
      </c>
      <c r="CI41" s="676">
        <f t="shared" si="158"/>
        <v>-41599.199999999997</v>
      </c>
    </row>
    <row r="42" spans="1:87" x14ac:dyDescent="0.25">
      <c r="J42" s="381" t="s">
        <v>2485</v>
      </c>
      <c r="K42" s="676">
        <f>K27+K28+K29+K30+K31+K32+K33+K34+K35+K36+K37+K38+K39+K22+K23+K24+K25</f>
        <v>212019.36129999996</v>
      </c>
      <c r="L42" s="676">
        <f t="shared" ref="L42:AP42" si="159">L27+L28+L29+L30+L31+L32+L33+L34+L35+L36+L37+L38+L39+L22+L23+L24+L25</f>
        <v>-29119.439999999995</v>
      </c>
      <c r="M42" s="676">
        <f t="shared" si="159"/>
        <v>337779.99489999999</v>
      </c>
      <c r="N42" s="676">
        <f t="shared" si="159"/>
        <v>-29119.439999999995</v>
      </c>
      <c r="O42" s="676">
        <f t="shared" si="159"/>
        <v>336190.68849999999</v>
      </c>
      <c r="P42" s="676">
        <f t="shared" si="159"/>
        <v>-29119.439999999995</v>
      </c>
      <c r="Q42" s="676">
        <f t="shared" si="159"/>
        <v>334601.38209999999</v>
      </c>
      <c r="R42" s="676">
        <f t="shared" si="159"/>
        <v>-29119.439999999995</v>
      </c>
      <c r="S42" s="676">
        <f t="shared" si="159"/>
        <v>332220.65569999994</v>
      </c>
      <c r="T42" s="676">
        <f t="shared" si="159"/>
        <v>-29119.440000000002</v>
      </c>
      <c r="U42" s="676">
        <f t="shared" si="159"/>
        <v>329216.7893</v>
      </c>
      <c r="V42" s="676">
        <f t="shared" si="159"/>
        <v>-29119.439999999995</v>
      </c>
      <c r="W42" s="676">
        <f t="shared" si="159"/>
        <v>-29119.439999999995</v>
      </c>
      <c r="X42" s="676">
        <f t="shared" si="159"/>
        <v>-29119.439999999999</v>
      </c>
      <c r="Y42" s="676">
        <f t="shared" si="159"/>
        <v>323209.05650000001</v>
      </c>
      <c r="Z42" s="676">
        <f t="shared" si="159"/>
        <v>-29119.439999999995</v>
      </c>
      <c r="AA42" s="676">
        <f t="shared" si="159"/>
        <v>286624.46697000007</v>
      </c>
      <c r="AB42" s="676">
        <f t="shared" si="159"/>
        <v>-29119.440000000002</v>
      </c>
      <c r="AC42" s="676">
        <f t="shared" si="159"/>
        <v>283620.60057000007</v>
      </c>
      <c r="AD42" s="676">
        <f t="shared" si="159"/>
        <v>-29119.439999999995</v>
      </c>
      <c r="AE42" s="676">
        <f t="shared" si="159"/>
        <v>280616.73417000001</v>
      </c>
      <c r="AF42" s="676">
        <f t="shared" si="159"/>
        <v>-29119.439999999995</v>
      </c>
      <c r="AG42" s="676">
        <f t="shared" si="159"/>
        <v>277612.86777000001</v>
      </c>
      <c r="AH42" s="676">
        <f t="shared" si="159"/>
        <v>-29119.439999999999</v>
      </c>
      <c r="AI42" s="676">
        <f t="shared" si="159"/>
        <v>274609.00137000001</v>
      </c>
      <c r="AJ42" s="676">
        <f t="shared" si="159"/>
        <v>-29119.439999999999</v>
      </c>
      <c r="AK42" s="676">
        <f t="shared" si="159"/>
        <v>271605.13497000001</v>
      </c>
      <c r="AL42" s="676">
        <f t="shared" si="159"/>
        <v>-29119.439999999999</v>
      </c>
      <c r="AM42" s="676">
        <f t="shared" si="159"/>
        <v>-29119.439999999999</v>
      </c>
      <c r="AN42" s="676">
        <f t="shared" si="159"/>
        <v>267099.33537000004</v>
      </c>
      <c r="AO42" s="676">
        <f t="shared" si="159"/>
        <v>-29119.439999999999</v>
      </c>
      <c r="AP42" s="676">
        <f t="shared" si="159"/>
        <v>264095.46897000005</v>
      </c>
      <c r="AQ42" s="676">
        <f t="shared" ref="AQ42:BF42" si="160">AQ27+AQ28+AQ29+AQ30+AQ31+AQ32+AQ33+AQ34+AQ35+AQ36+AQ37+AQ38+AQ39+AQ22+AQ23+AQ24+AQ25</f>
        <v>-29119.439999999995</v>
      </c>
      <c r="AR42" s="676">
        <f t="shared" si="160"/>
        <v>233272.04487300004</v>
      </c>
      <c r="AS42" s="676">
        <f t="shared" si="160"/>
        <v>-29119.439999999999</v>
      </c>
      <c r="AT42" s="676">
        <f t="shared" si="160"/>
        <v>230268.17847300007</v>
      </c>
      <c r="AU42" s="676">
        <f t="shared" si="160"/>
        <v>-29119.439999999999</v>
      </c>
      <c r="AV42" s="676">
        <f t="shared" si="160"/>
        <v>227264.31207300001</v>
      </c>
      <c r="AW42" s="676">
        <f t="shared" si="160"/>
        <v>-29119.439999999995</v>
      </c>
      <c r="AX42" s="676">
        <f t="shared" si="160"/>
        <v>224260.44567300004</v>
      </c>
      <c r="AY42" s="676">
        <f t="shared" si="160"/>
        <v>-29119.439999999999</v>
      </c>
      <c r="AZ42" s="676">
        <f t="shared" si="160"/>
        <v>221256.57927300004</v>
      </c>
      <c r="BA42" s="676">
        <f t="shared" si="160"/>
        <v>-29119.439999999995</v>
      </c>
      <c r="BB42" s="676">
        <f t="shared" si="160"/>
        <v>-29119.439999999995</v>
      </c>
      <c r="BC42" s="676">
        <f t="shared" si="160"/>
        <v>-29119.439999999999</v>
      </c>
      <c r="BD42" s="676">
        <f t="shared" si="160"/>
        <v>215248.84647300004</v>
      </c>
      <c r="BE42" s="676">
        <f t="shared" si="160"/>
        <v>-29119.439999999999</v>
      </c>
      <c r="BF42" s="676">
        <f t="shared" si="160"/>
        <v>212244.98007300001</v>
      </c>
      <c r="BG42" s="676">
        <f t="shared" ref="BG42:BV42" si="161">BG27+BG28+BG29+BG30+BG31+BG32+BG33+BG34+BG35+BG36+BG37+BG38+BG39+BG22+BG23+BG24+BG25</f>
        <v>-29119.439999999995</v>
      </c>
      <c r="BH42" s="676">
        <f t="shared" si="161"/>
        <v>419818.66072500008</v>
      </c>
      <c r="BI42" s="676">
        <f t="shared" si="161"/>
        <v>-29119.439999999995</v>
      </c>
      <c r="BJ42" s="676">
        <f t="shared" si="161"/>
        <v>419818.66072500008</v>
      </c>
      <c r="BK42" s="676">
        <f t="shared" si="161"/>
        <v>-29119.439999999995</v>
      </c>
      <c r="BL42" s="676">
        <f t="shared" si="161"/>
        <v>419818.66072500008</v>
      </c>
      <c r="BM42" s="676">
        <f t="shared" si="161"/>
        <v>-29119.439999999995</v>
      </c>
      <c r="BN42" s="676">
        <f t="shared" si="161"/>
        <v>419818.66072500008</v>
      </c>
      <c r="BO42" s="676">
        <f t="shared" si="161"/>
        <v>-29119.439999999995</v>
      </c>
      <c r="BP42" s="676">
        <f t="shared" si="161"/>
        <v>419818.66072500008</v>
      </c>
      <c r="BQ42" s="676">
        <f t="shared" si="161"/>
        <v>-29119.439999999995</v>
      </c>
      <c r="BR42" s="676">
        <f t="shared" si="161"/>
        <v>-29119.439999999995</v>
      </c>
      <c r="BS42" s="676">
        <f t="shared" si="161"/>
        <v>-29119.439999999995</v>
      </c>
      <c r="BT42" s="676">
        <f t="shared" si="161"/>
        <v>419818.66072500008</v>
      </c>
      <c r="BU42" s="676">
        <f t="shared" si="161"/>
        <v>-29119.439999999995</v>
      </c>
      <c r="BV42" s="676">
        <f t="shared" si="161"/>
        <v>419818.66072500008</v>
      </c>
      <c r="BW42" s="676">
        <f t="shared" ref="BW42:CI42" si="162">BW27+BW28+BW29+BW30+BW31+BW32+BW33+BW34+BW35+BW36+BW37+BW38+BW39+BW22+BW23+BW24+BW25</f>
        <v>-29119.439999999995</v>
      </c>
      <c r="BX42" s="676">
        <f t="shared" si="162"/>
        <v>419818.66072500008</v>
      </c>
      <c r="BY42" s="676">
        <f t="shared" si="162"/>
        <v>-29119.439999999995</v>
      </c>
      <c r="BZ42" s="676">
        <f t="shared" si="162"/>
        <v>419818.66072500008</v>
      </c>
      <c r="CA42" s="676">
        <f t="shared" si="162"/>
        <v>-29119.439999999995</v>
      </c>
      <c r="CB42" s="676">
        <f t="shared" si="162"/>
        <v>419818.66072500008</v>
      </c>
      <c r="CC42" s="676">
        <f t="shared" si="162"/>
        <v>-29119.439999999995</v>
      </c>
      <c r="CD42" s="676">
        <f t="shared" si="162"/>
        <v>419818.66072500008</v>
      </c>
      <c r="CE42" s="676">
        <f t="shared" si="162"/>
        <v>-29119.439999999995</v>
      </c>
      <c r="CF42" s="676">
        <f t="shared" si="162"/>
        <v>419818.66072500008</v>
      </c>
      <c r="CG42" s="676">
        <f t="shared" si="162"/>
        <v>-29119.439999999995</v>
      </c>
      <c r="CH42" s="676">
        <f t="shared" si="162"/>
        <v>-29119.439999999995</v>
      </c>
      <c r="CI42" s="676">
        <f t="shared" si="162"/>
        <v>-29119.439999999995</v>
      </c>
    </row>
    <row r="43" spans="1:87" s="679" customFormat="1" ht="18.75" x14ac:dyDescent="0.3">
      <c r="B43" s="5"/>
      <c r="C43" s="678"/>
      <c r="D43" s="678"/>
      <c r="E43" s="678"/>
      <c r="J43" s="680" t="s">
        <v>2418</v>
      </c>
      <c r="K43" s="681">
        <f>K42-K41</f>
        <v>-119737.00000000003</v>
      </c>
      <c r="L43" s="681">
        <f t="shared" ref="L43:AP43" si="163">L42-L41</f>
        <v>12479.760000000002</v>
      </c>
      <c r="M43" s="681">
        <f t="shared" si="163"/>
        <v>9027.4999999999418</v>
      </c>
      <c r="N43" s="681">
        <f t="shared" si="163"/>
        <v>12479.760000000002</v>
      </c>
      <c r="O43" s="681">
        <f t="shared" si="163"/>
        <v>10442.059999999998</v>
      </c>
      <c r="P43" s="681">
        <f t="shared" si="163"/>
        <v>12479.760000000002</v>
      </c>
      <c r="Q43" s="681">
        <f t="shared" si="163"/>
        <v>11856.619999999995</v>
      </c>
      <c r="R43" s="681">
        <f t="shared" si="163"/>
        <v>12479.760000000002</v>
      </c>
      <c r="S43" s="681">
        <f t="shared" si="163"/>
        <v>12479.760000000009</v>
      </c>
      <c r="T43" s="681">
        <f t="shared" si="163"/>
        <v>12479.759999999995</v>
      </c>
      <c r="U43" s="681">
        <f t="shared" si="163"/>
        <v>12479.760000000009</v>
      </c>
      <c r="V43" s="681">
        <f t="shared" si="163"/>
        <v>12479.760000000002</v>
      </c>
      <c r="W43" s="681">
        <f t="shared" si="163"/>
        <v>12479.760000000002</v>
      </c>
      <c r="X43" s="681">
        <f t="shared" si="163"/>
        <v>12479.759999999998</v>
      </c>
      <c r="Y43" s="681">
        <f t="shared" si="163"/>
        <v>12479.760000000009</v>
      </c>
      <c r="Z43" s="681">
        <f t="shared" si="163"/>
        <v>12479.760000000002</v>
      </c>
      <c r="AA43" s="681">
        <f t="shared" si="163"/>
        <v>12479.760000000009</v>
      </c>
      <c r="AB43" s="681">
        <f t="shared" si="163"/>
        <v>12479.759999999995</v>
      </c>
      <c r="AC43" s="681">
        <f t="shared" si="163"/>
        <v>12479.760000000009</v>
      </c>
      <c r="AD43" s="681">
        <f t="shared" si="163"/>
        <v>12479.760000000002</v>
      </c>
      <c r="AE43" s="681">
        <f t="shared" si="163"/>
        <v>12479.760000000009</v>
      </c>
      <c r="AF43" s="681">
        <f t="shared" si="163"/>
        <v>12479.760000000002</v>
      </c>
      <c r="AG43" s="681">
        <f t="shared" si="163"/>
        <v>12479.759999999951</v>
      </c>
      <c r="AH43" s="681">
        <f t="shared" si="163"/>
        <v>12479.759999999998</v>
      </c>
      <c r="AI43" s="681">
        <f t="shared" si="163"/>
        <v>12479.760000000038</v>
      </c>
      <c r="AJ43" s="681">
        <f t="shared" si="163"/>
        <v>12479.759999999998</v>
      </c>
      <c r="AK43" s="681">
        <f t="shared" si="163"/>
        <v>12479.75999999998</v>
      </c>
      <c r="AL43" s="681">
        <f t="shared" si="163"/>
        <v>12479.759999999998</v>
      </c>
      <c r="AM43" s="681">
        <f t="shared" si="163"/>
        <v>12479.759999999998</v>
      </c>
      <c r="AN43" s="681">
        <f t="shared" si="163"/>
        <v>12479.760000000009</v>
      </c>
      <c r="AO43" s="681">
        <f t="shared" si="163"/>
        <v>12479.759999999998</v>
      </c>
      <c r="AP43" s="681">
        <f t="shared" si="163"/>
        <v>12479.760000000009</v>
      </c>
      <c r="AQ43" s="681">
        <f t="shared" ref="AQ43" si="164">AQ42-AQ41</f>
        <v>12479.760000000002</v>
      </c>
      <c r="AR43" s="681">
        <f t="shared" ref="AR43" si="165">AR42-AR41</f>
        <v>12479.760000000009</v>
      </c>
      <c r="AS43" s="681">
        <f t="shared" ref="AS43" si="166">AS42-AS41</f>
        <v>12479.759999999998</v>
      </c>
      <c r="AT43" s="681">
        <f t="shared" ref="AT43" si="167">AT42-AT41</f>
        <v>12479.760000000009</v>
      </c>
      <c r="AU43" s="681">
        <f t="shared" ref="AU43" si="168">AU42-AU41</f>
        <v>12479.759999999998</v>
      </c>
      <c r="AV43" s="681">
        <f t="shared" ref="AV43" si="169">AV42-AV41</f>
        <v>12479.75999999998</v>
      </c>
      <c r="AW43" s="681">
        <f t="shared" ref="AW43" si="170">AW42-AW41</f>
        <v>12479.760000000002</v>
      </c>
      <c r="AX43" s="681">
        <f t="shared" ref="AX43" si="171">AX42-AX41</f>
        <v>12479.759999999951</v>
      </c>
      <c r="AY43" s="681">
        <f t="shared" ref="AY43" si="172">AY42-AY41</f>
        <v>12479.759999999998</v>
      </c>
      <c r="AZ43" s="681">
        <f t="shared" ref="AZ43" si="173">AZ42-AZ41</f>
        <v>12479.75999999998</v>
      </c>
      <c r="BA43" s="681">
        <f t="shared" ref="BA43" si="174">BA42-BA41</f>
        <v>12479.760000000002</v>
      </c>
      <c r="BB43" s="681">
        <f t="shared" ref="BB43" si="175">BB42-BB41</f>
        <v>12479.760000000002</v>
      </c>
      <c r="BC43" s="681">
        <f t="shared" ref="BC43" si="176">BC42-BC41</f>
        <v>12479.759999999998</v>
      </c>
      <c r="BD43" s="681">
        <f t="shared" ref="BD43" si="177">BD42-BD41</f>
        <v>12479.760000000009</v>
      </c>
      <c r="BE43" s="681">
        <f t="shared" ref="BE43" si="178">BE42-BE41</f>
        <v>12479.759999999998</v>
      </c>
      <c r="BF43" s="681">
        <f t="shared" ref="BF43" si="179">BF42-BF41</f>
        <v>12479.75999999998</v>
      </c>
      <c r="BG43" s="681">
        <f t="shared" ref="BG43" si="180">BG42-BG41</f>
        <v>12479.760000000002</v>
      </c>
      <c r="BH43" s="681">
        <f t="shared" ref="BH43" si="181">BH42-BH41</f>
        <v>12479.760000000009</v>
      </c>
      <c r="BI43" s="681">
        <f t="shared" ref="BI43" si="182">BI42-BI41</f>
        <v>12479.760000000002</v>
      </c>
      <c r="BJ43" s="681">
        <f t="shared" ref="BJ43" si="183">BJ42-BJ41</f>
        <v>12479.760000000009</v>
      </c>
      <c r="BK43" s="681">
        <f t="shared" ref="BK43" si="184">BK42-BK41</f>
        <v>12479.760000000002</v>
      </c>
      <c r="BL43" s="681">
        <f t="shared" ref="BL43" si="185">BL42-BL41</f>
        <v>12479.760000000009</v>
      </c>
      <c r="BM43" s="681">
        <f t="shared" ref="BM43" si="186">BM42-BM41</f>
        <v>12479.760000000002</v>
      </c>
      <c r="BN43" s="681">
        <f t="shared" ref="BN43" si="187">BN42-BN41</f>
        <v>12479.760000000009</v>
      </c>
      <c r="BO43" s="681">
        <f t="shared" ref="BO43" si="188">BO42-BO41</f>
        <v>12479.760000000002</v>
      </c>
      <c r="BP43" s="681">
        <f t="shared" ref="BP43" si="189">BP42-BP41</f>
        <v>12479.760000000009</v>
      </c>
      <c r="BQ43" s="681">
        <f t="shared" ref="BQ43" si="190">BQ42-BQ41</f>
        <v>12479.760000000002</v>
      </c>
      <c r="BR43" s="681">
        <f t="shared" ref="BR43" si="191">BR42-BR41</f>
        <v>12479.760000000002</v>
      </c>
      <c r="BS43" s="681">
        <f t="shared" ref="BS43" si="192">BS42-BS41</f>
        <v>12479.760000000002</v>
      </c>
      <c r="BT43" s="681">
        <f t="shared" ref="BT43" si="193">BT42-BT41</f>
        <v>12479.760000000009</v>
      </c>
      <c r="BU43" s="681">
        <f t="shared" ref="BU43" si="194">BU42-BU41</f>
        <v>12479.760000000002</v>
      </c>
      <c r="BV43" s="681">
        <f t="shared" ref="BV43" si="195">BV42-BV41</f>
        <v>12479.760000000009</v>
      </c>
      <c r="BW43" s="681">
        <f t="shared" ref="BW43" si="196">BW42-BW41</f>
        <v>12479.760000000002</v>
      </c>
      <c r="BX43" s="681">
        <f t="shared" ref="BX43" si="197">BX42-BX41</f>
        <v>12479.760000000009</v>
      </c>
      <c r="BY43" s="681">
        <f t="shared" ref="BY43" si="198">BY42-BY41</f>
        <v>12479.760000000002</v>
      </c>
      <c r="BZ43" s="681">
        <f t="shared" ref="BZ43" si="199">BZ42-BZ41</f>
        <v>12479.760000000009</v>
      </c>
      <c r="CA43" s="681">
        <f t="shared" ref="CA43" si="200">CA42-CA41</f>
        <v>12479.760000000002</v>
      </c>
      <c r="CB43" s="681">
        <f t="shared" ref="CB43" si="201">CB42-CB41</f>
        <v>12479.760000000009</v>
      </c>
      <c r="CC43" s="681">
        <f t="shared" ref="CC43" si="202">CC42-CC41</f>
        <v>12479.760000000002</v>
      </c>
      <c r="CD43" s="681">
        <f t="shared" ref="CD43" si="203">CD42-CD41</f>
        <v>12479.760000000009</v>
      </c>
      <c r="CE43" s="681">
        <f t="shared" ref="CE43" si="204">CE42-CE41</f>
        <v>12479.760000000002</v>
      </c>
      <c r="CF43" s="681">
        <f t="shared" ref="CF43" si="205">CF42-CF41</f>
        <v>12479.760000000009</v>
      </c>
      <c r="CG43" s="681">
        <f t="shared" ref="CG43" si="206">CG42-CG41</f>
        <v>12479.760000000002</v>
      </c>
      <c r="CH43" s="681">
        <f t="shared" ref="CH43" si="207">CH42-CH41</f>
        <v>12479.760000000002</v>
      </c>
      <c r="CI43" s="681">
        <f t="shared" ref="CI43" si="208">CI42-CI41</f>
        <v>12479.760000000002</v>
      </c>
    </row>
    <row r="44" spans="1:87" s="679" customFormat="1" ht="18.75" x14ac:dyDescent="0.3">
      <c r="B44" s="5"/>
      <c r="C44" s="678"/>
      <c r="D44" s="678"/>
      <c r="E44" s="678"/>
      <c r="J44" s="682" t="s">
        <v>714</v>
      </c>
      <c r="K44" s="683">
        <f>K43</f>
        <v>-119737.00000000003</v>
      </c>
      <c r="L44" s="683">
        <f>K44+L43</f>
        <v>-107257.24000000002</v>
      </c>
      <c r="M44" s="683">
        <f t="shared" ref="M44:AP44" si="209">L44+M43</f>
        <v>-98229.740000000078</v>
      </c>
      <c r="N44" s="683">
        <f t="shared" si="209"/>
        <v>-85749.980000000069</v>
      </c>
      <c r="O44" s="683">
        <f t="shared" si="209"/>
        <v>-75307.920000000071</v>
      </c>
      <c r="P44" s="683">
        <f t="shared" si="209"/>
        <v>-62828.160000000069</v>
      </c>
      <c r="Q44" s="683">
        <f t="shared" si="209"/>
        <v>-50971.540000000074</v>
      </c>
      <c r="R44" s="683">
        <f t="shared" si="209"/>
        <v>-38491.780000000072</v>
      </c>
      <c r="S44" s="683">
        <f t="shared" si="209"/>
        <v>-26012.020000000062</v>
      </c>
      <c r="T44" s="683">
        <f t="shared" si="209"/>
        <v>-13532.260000000068</v>
      </c>
      <c r="U44" s="683">
        <f t="shared" si="209"/>
        <v>-1052.5000000000582</v>
      </c>
      <c r="V44" s="683">
        <f t="shared" si="209"/>
        <v>11427.259999999944</v>
      </c>
      <c r="W44" s="683">
        <f t="shared" si="209"/>
        <v>23907.019999999946</v>
      </c>
      <c r="X44" s="683">
        <f t="shared" si="209"/>
        <v>36386.779999999941</v>
      </c>
      <c r="Y44" s="683">
        <f t="shared" si="209"/>
        <v>48866.53999999995</v>
      </c>
      <c r="Z44" s="683">
        <f t="shared" si="209"/>
        <v>61346.299999999952</v>
      </c>
      <c r="AA44" s="683">
        <f t="shared" si="209"/>
        <v>73826.059999999969</v>
      </c>
      <c r="AB44" s="683">
        <f t="shared" si="209"/>
        <v>86305.819999999963</v>
      </c>
      <c r="AC44" s="683">
        <f t="shared" si="209"/>
        <v>98785.579999999973</v>
      </c>
      <c r="AD44" s="683">
        <f t="shared" si="209"/>
        <v>111265.33999999997</v>
      </c>
      <c r="AE44" s="683">
        <f t="shared" si="209"/>
        <v>123745.09999999998</v>
      </c>
      <c r="AF44" s="683">
        <f t="shared" si="209"/>
        <v>136224.85999999999</v>
      </c>
      <c r="AG44" s="683">
        <f t="shared" si="209"/>
        <v>148704.61999999994</v>
      </c>
      <c r="AH44" s="683">
        <f t="shared" si="209"/>
        <v>161184.37999999995</v>
      </c>
      <c r="AI44" s="683">
        <f t="shared" si="209"/>
        <v>173664.13999999998</v>
      </c>
      <c r="AJ44" s="683">
        <f t="shared" si="209"/>
        <v>186143.9</v>
      </c>
      <c r="AK44" s="683">
        <f t="shared" si="209"/>
        <v>198623.65999999997</v>
      </c>
      <c r="AL44" s="683">
        <f t="shared" si="209"/>
        <v>211103.41999999998</v>
      </c>
      <c r="AM44" s="683">
        <f t="shared" si="209"/>
        <v>223583.18</v>
      </c>
      <c r="AN44" s="683">
        <f t="shared" si="209"/>
        <v>236062.94</v>
      </c>
      <c r="AO44" s="683">
        <f t="shared" si="209"/>
        <v>248542.7</v>
      </c>
      <c r="AP44" s="683">
        <f t="shared" si="209"/>
        <v>261022.46000000002</v>
      </c>
      <c r="AQ44" s="683">
        <f t="shared" ref="AQ44" si="210">AP44+AQ43</f>
        <v>273502.22000000003</v>
      </c>
      <c r="AR44" s="683">
        <f t="shared" ref="AR44" si="211">AQ44+AR43</f>
        <v>285981.98000000004</v>
      </c>
      <c r="AS44" s="683">
        <f t="shared" ref="AS44" si="212">AR44+AS43</f>
        <v>298461.74000000005</v>
      </c>
      <c r="AT44" s="683">
        <f t="shared" ref="AT44" si="213">AS44+AT43</f>
        <v>310941.50000000006</v>
      </c>
      <c r="AU44" s="683">
        <f t="shared" ref="AU44" si="214">AT44+AU43</f>
        <v>323421.26000000007</v>
      </c>
      <c r="AV44" s="683">
        <f t="shared" ref="AV44" si="215">AU44+AV43</f>
        <v>335901.02</v>
      </c>
      <c r="AW44" s="683">
        <f t="shared" ref="AW44" si="216">AV44+AW43</f>
        <v>348380.78</v>
      </c>
      <c r="AX44" s="683">
        <f t="shared" ref="AX44" si="217">AW44+AX43</f>
        <v>360860.54</v>
      </c>
      <c r="AY44" s="683">
        <f t="shared" ref="AY44" si="218">AX44+AY43</f>
        <v>373340.3</v>
      </c>
      <c r="AZ44" s="683">
        <f t="shared" ref="AZ44" si="219">AY44+AZ43</f>
        <v>385820.05999999994</v>
      </c>
      <c r="BA44" s="683">
        <f t="shared" ref="BA44" si="220">AZ44+BA43</f>
        <v>398299.81999999995</v>
      </c>
      <c r="BB44" s="683">
        <f t="shared" ref="BB44" si="221">BA44+BB43</f>
        <v>410779.57999999996</v>
      </c>
      <c r="BC44" s="683">
        <f t="shared" ref="BC44" si="222">BB44+BC43</f>
        <v>423259.33999999997</v>
      </c>
      <c r="BD44" s="683">
        <f t="shared" ref="BD44" si="223">BC44+BD43</f>
        <v>435739.1</v>
      </c>
      <c r="BE44" s="683">
        <f t="shared" ref="BE44" si="224">BD44+BE43</f>
        <v>448218.86</v>
      </c>
      <c r="BF44" s="683">
        <f t="shared" ref="BF44" si="225">BE44+BF43</f>
        <v>460698.62</v>
      </c>
      <c r="BG44" s="683">
        <f t="shared" ref="BG44" si="226">BF44+BG43</f>
        <v>473178.38</v>
      </c>
      <c r="BH44" s="683">
        <f t="shared" ref="BH44" si="227">BG44+BH43</f>
        <v>485658.14</v>
      </c>
      <c r="BI44" s="683">
        <f t="shared" ref="BI44" si="228">BH44+BI43</f>
        <v>498137.9</v>
      </c>
      <c r="BJ44" s="683">
        <f t="shared" ref="BJ44" si="229">BI44+BJ43</f>
        <v>510617.66000000003</v>
      </c>
      <c r="BK44" s="683">
        <f t="shared" ref="BK44" si="230">BJ44+BK43</f>
        <v>523097.42000000004</v>
      </c>
      <c r="BL44" s="683">
        <f t="shared" ref="BL44" si="231">BK44+BL43</f>
        <v>535577.18000000005</v>
      </c>
      <c r="BM44" s="683">
        <f t="shared" ref="BM44" si="232">BL44+BM43</f>
        <v>548056.94000000006</v>
      </c>
      <c r="BN44" s="683">
        <f t="shared" ref="BN44" si="233">BM44+BN43</f>
        <v>560536.70000000007</v>
      </c>
      <c r="BO44" s="683">
        <f t="shared" ref="BO44" si="234">BN44+BO43</f>
        <v>573016.46000000008</v>
      </c>
      <c r="BP44" s="683">
        <f t="shared" ref="BP44" si="235">BO44+BP43</f>
        <v>585496.22000000009</v>
      </c>
      <c r="BQ44" s="683">
        <f t="shared" ref="BQ44" si="236">BP44+BQ43</f>
        <v>597975.9800000001</v>
      </c>
      <c r="BR44" s="683">
        <f t="shared" ref="BR44" si="237">BQ44+BR43</f>
        <v>610455.74000000011</v>
      </c>
      <c r="BS44" s="683">
        <f t="shared" ref="BS44" si="238">BR44+BS43</f>
        <v>622935.50000000012</v>
      </c>
      <c r="BT44" s="683">
        <f t="shared" ref="BT44" si="239">BS44+BT43</f>
        <v>635415.26000000013</v>
      </c>
      <c r="BU44" s="683">
        <f t="shared" ref="BU44" si="240">BT44+BU43</f>
        <v>647895.02000000014</v>
      </c>
      <c r="BV44" s="683">
        <f t="shared" ref="BV44" si="241">BU44+BV43</f>
        <v>660374.78000000014</v>
      </c>
      <c r="BW44" s="683">
        <f t="shared" ref="BW44" si="242">BV44+BW43</f>
        <v>672854.54000000015</v>
      </c>
      <c r="BX44" s="683">
        <f t="shared" ref="BX44" si="243">BW44+BX43</f>
        <v>685334.30000000016</v>
      </c>
      <c r="BY44" s="683">
        <f t="shared" ref="BY44" si="244">BX44+BY43</f>
        <v>697814.06000000017</v>
      </c>
      <c r="BZ44" s="683">
        <f t="shared" ref="BZ44" si="245">BY44+BZ43</f>
        <v>710293.82000000018</v>
      </c>
      <c r="CA44" s="683">
        <f t="shared" ref="CA44" si="246">BZ44+CA43</f>
        <v>722773.58000000019</v>
      </c>
      <c r="CB44" s="683">
        <f t="shared" ref="CB44" si="247">CA44+CB43</f>
        <v>735253.3400000002</v>
      </c>
      <c r="CC44" s="683">
        <f t="shared" ref="CC44" si="248">CB44+CC43</f>
        <v>747733.10000000021</v>
      </c>
      <c r="CD44" s="683">
        <f t="shared" ref="CD44" si="249">CC44+CD43</f>
        <v>760212.86000000022</v>
      </c>
      <c r="CE44" s="683">
        <f t="shared" ref="CE44" si="250">CD44+CE43</f>
        <v>772692.62000000023</v>
      </c>
      <c r="CF44" s="683">
        <f t="shared" ref="CF44" si="251">CE44+CF43</f>
        <v>785172.38000000024</v>
      </c>
      <c r="CG44" s="683">
        <f t="shared" ref="CG44" si="252">CF44+CG43</f>
        <v>797652.14000000025</v>
      </c>
      <c r="CH44" s="683">
        <f t="shared" ref="CH44" si="253">CG44+CH43</f>
        <v>810131.90000000026</v>
      </c>
      <c r="CI44" s="683">
        <f t="shared" ref="CI44" si="254">CH44+CI43</f>
        <v>822611.66000000027</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59999389629810485"/>
  </sheetPr>
  <dimension ref="A1:AK39"/>
  <sheetViews>
    <sheetView workbookViewId="0">
      <pane xSplit="1" ySplit="15" topLeftCell="B16" activePane="bottomRight" state="frozen"/>
      <selection pane="topRight" activeCell="B1" sqref="B1"/>
      <selection pane="bottomLeft" activeCell="A16" sqref="A16"/>
      <selection pane="bottomRight" activeCell="B18" sqref="B18"/>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2" t="s">
        <v>696</v>
      </c>
      <c r="E2" s="772"/>
      <c r="F2" s="773" t="s">
        <v>700</v>
      </c>
      <c r="G2" s="773"/>
      <c r="H2" s="774" t="s">
        <v>710</v>
      </c>
      <c r="I2" s="774"/>
      <c r="K2" s="321"/>
      <c r="M2" s="131">
        <v>11</v>
      </c>
      <c r="N2" s="12">
        <v>14.98</v>
      </c>
      <c r="O2" s="12">
        <v>5.95</v>
      </c>
      <c r="P2" s="385">
        <f>U2*0.97</f>
        <v>5.3253000000000004</v>
      </c>
      <c r="Q2" s="12">
        <v>0.68</v>
      </c>
      <c r="R2" s="114">
        <v>27.09</v>
      </c>
      <c r="U2" s="12">
        <v>5.49</v>
      </c>
    </row>
    <row r="3" spans="1:35" ht="15.75" thickBot="1" x14ac:dyDescent="0.3">
      <c r="A3" s="37" t="s">
        <v>31</v>
      </c>
      <c r="B3" s="134">
        <f>B4+B5+B6+B7</f>
        <v>60965</v>
      </c>
      <c r="C3" s="554">
        <f>C4+C5+C6+C7</f>
        <v>66250</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34888</v>
      </c>
      <c r="C4" s="498">
        <v>37800</v>
      </c>
      <c r="D4" s="137">
        <v>45</v>
      </c>
      <c r="E4" s="15">
        <f>D4*(C4-B4)</f>
        <v>131040</v>
      </c>
      <c r="F4" s="135">
        <v>0.5</v>
      </c>
      <c r="G4" s="15">
        <f>(C4-B4)*F4</f>
        <v>1456</v>
      </c>
      <c r="H4" s="135">
        <v>7</v>
      </c>
      <c r="I4" s="555">
        <f>(C4-B4)*H4</f>
        <v>20384</v>
      </c>
      <c r="J4" s="15">
        <f>H4*C4</f>
        <v>264600</v>
      </c>
      <c r="K4" s="11">
        <f>B4*F4</f>
        <v>17444</v>
      </c>
      <c r="L4" s="63">
        <f>5000*N13*F4</f>
        <v>1382.4289405684756</v>
      </c>
      <c r="M4" s="131">
        <v>9</v>
      </c>
      <c r="N4" s="12">
        <v>13.49</v>
      </c>
      <c r="O4" s="12">
        <v>5.24</v>
      </c>
      <c r="P4" s="385">
        <f t="shared" si="0"/>
        <v>4.5202</v>
      </c>
      <c r="Q4" s="12">
        <v>0.56999999999999995</v>
      </c>
      <c r="R4" s="114">
        <v>23.95</v>
      </c>
      <c r="U4" s="12">
        <v>4.66</v>
      </c>
    </row>
    <row r="5" spans="1:35" x14ac:dyDescent="0.25">
      <c r="A5" s="37" t="s">
        <v>33</v>
      </c>
      <c r="B5" s="134">
        <v>13391</v>
      </c>
      <c r="C5" s="146">
        <v>15000</v>
      </c>
      <c r="D5" s="138">
        <v>75</v>
      </c>
      <c r="E5" s="15">
        <f>D5*(C5-B5)</f>
        <v>120675</v>
      </c>
      <c r="F5" s="136">
        <v>0.7</v>
      </c>
      <c r="G5" s="15">
        <f>(C5-B5)*F5</f>
        <v>1126.3</v>
      </c>
      <c r="H5" s="136">
        <v>10</v>
      </c>
      <c r="I5" s="555">
        <f>(C5-B5)*H5</f>
        <v>16090</v>
      </c>
      <c r="J5" s="15">
        <f>H5*C5</f>
        <v>150000</v>
      </c>
      <c r="K5" s="11">
        <f t="shared" ref="K5:K7" si="1">B5*F5</f>
        <v>9373.6999999999989</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11289</v>
      </c>
      <c r="C6" s="146">
        <v>12000</v>
      </c>
      <c r="D6" s="137">
        <v>90</v>
      </c>
      <c r="E6" s="15">
        <f>D6*(C6-B6)</f>
        <v>63990</v>
      </c>
      <c r="F6" s="135">
        <v>1</v>
      </c>
      <c r="G6" s="15">
        <f>(C6-B6)*F6</f>
        <v>711</v>
      </c>
      <c r="H6" s="135">
        <v>19</v>
      </c>
      <c r="I6" s="555">
        <f>(C6-B6)*H6</f>
        <v>13509</v>
      </c>
      <c r="J6" s="15">
        <f>H6*C6</f>
        <v>228000</v>
      </c>
      <c r="K6" s="11">
        <f t="shared" si="1"/>
        <v>11289</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1397</v>
      </c>
      <c r="C7" s="147">
        <v>1450</v>
      </c>
      <c r="D7" s="138">
        <v>300</v>
      </c>
      <c r="E7" s="15">
        <f>D7*(C7-B7)</f>
        <v>15900</v>
      </c>
      <c r="F7" s="136">
        <v>2.5</v>
      </c>
      <c r="G7" s="15">
        <f>(C7-B7)*F7</f>
        <v>132.5</v>
      </c>
      <c r="H7" s="136">
        <v>35</v>
      </c>
      <c r="I7" s="555">
        <f>(C7-B7)*H7</f>
        <v>1855</v>
      </c>
      <c r="J7" s="15">
        <f>H7*C7</f>
        <v>50750</v>
      </c>
      <c r="K7" s="11">
        <f t="shared" si="1"/>
        <v>3492.5</v>
      </c>
      <c r="L7" s="63">
        <f>5000*Q13*F7</f>
        <v>313.76891842008126</v>
      </c>
      <c r="M7" s="131">
        <v>6</v>
      </c>
      <c r="N7" s="13">
        <v>11.26</v>
      </c>
      <c r="O7" s="13">
        <v>4.17</v>
      </c>
      <c r="P7" s="385">
        <f t="shared" si="0"/>
        <v>3.3367999999999998</v>
      </c>
      <c r="Q7" s="13">
        <v>0.41</v>
      </c>
      <c r="R7" s="115">
        <v>19.27</v>
      </c>
      <c r="U7" s="13">
        <v>3.44</v>
      </c>
    </row>
    <row r="8" spans="1:35" x14ac:dyDescent="0.25">
      <c r="C8" s="145">
        <f>C4/$C$3</f>
        <v>0.57056603773584902</v>
      </c>
      <c r="J8" s="15">
        <f>J7+J6+J5+J4</f>
        <v>693350</v>
      </c>
      <c r="K8" s="11">
        <f>K7+K6+K5+K4</f>
        <v>41599.199999999997</v>
      </c>
      <c r="L8" s="11">
        <f>L7+L6+L5+L4</f>
        <v>3447.8220745662611</v>
      </c>
      <c r="M8" s="131">
        <v>5</v>
      </c>
      <c r="N8" s="12">
        <v>10.52</v>
      </c>
      <c r="O8" s="12">
        <v>3.81</v>
      </c>
      <c r="P8" s="385">
        <f t="shared" si="0"/>
        <v>2.9390999999999998</v>
      </c>
      <c r="Q8" s="12">
        <v>0.35</v>
      </c>
      <c r="R8" s="114">
        <v>17.72</v>
      </c>
      <c r="U8" s="12">
        <v>3.03</v>
      </c>
    </row>
    <row r="9" spans="1:35" x14ac:dyDescent="0.25">
      <c r="C9" s="139">
        <f>C5/$C$3</f>
        <v>0.22641509433962265</v>
      </c>
      <c r="E9" s="10">
        <f>C4-B4</f>
        <v>2912</v>
      </c>
      <c r="M9" s="131">
        <v>4</v>
      </c>
      <c r="N9" s="13">
        <v>9.8000000000000007</v>
      </c>
      <c r="O9" s="13">
        <v>3.46</v>
      </c>
      <c r="P9" s="385">
        <f t="shared" si="0"/>
        <v>2.5510999999999999</v>
      </c>
      <c r="Q9" s="13">
        <v>0.3</v>
      </c>
      <c r="R9" s="115">
        <v>16.170000000000002</v>
      </c>
      <c r="U9" s="13">
        <v>2.63</v>
      </c>
    </row>
    <row r="10" spans="1:35" x14ac:dyDescent="0.25">
      <c r="B10" s="140">
        <f>B11/B13</f>
        <v>2.9273576206437259E-2</v>
      </c>
      <c r="C10" s="139">
        <f>C6/$C$3</f>
        <v>0.1811320754716981</v>
      </c>
      <c r="E10" s="10">
        <f>C5-B5</f>
        <v>1609</v>
      </c>
      <c r="M10" s="131">
        <v>3</v>
      </c>
      <c r="N10" s="12">
        <v>9.09</v>
      </c>
      <c r="O10" s="12">
        <v>3.1</v>
      </c>
      <c r="P10" s="385">
        <f t="shared" si="0"/>
        <v>2.1436999999999999</v>
      </c>
      <c r="Q10" s="12">
        <v>0.24</v>
      </c>
      <c r="R10" s="114">
        <v>14.63</v>
      </c>
      <c r="U10" s="12">
        <v>2.21</v>
      </c>
    </row>
    <row r="11" spans="1:35" x14ac:dyDescent="0.25">
      <c r="A11" s="116" t="s">
        <v>698</v>
      </c>
      <c r="B11" s="141">
        <v>10000</v>
      </c>
      <c r="C11" s="139">
        <f>C7/$C$3</f>
        <v>2.1886792452830189E-2</v>
      </c>
      <c r="E11" s="10">
        <f>C6-B6</f>
        <v>711</v>
      </c>
      <c r="M11" s="131">
        <v>2</v>
      </c>
      <c r="N11" s="13">
        <v>8.42</v>
      </c>
      <c r="O11" s="13">
        <v>2.73</v>
      </c>
      <c r="P11" s="385">
        <f t="shared" si="0"/>
        <v>1.7168999999999999</v>
      </c>
      <c r="Q11" s="13">
        <v>0.18</v>
      </c>
      <c r="R11" s="115">
        <v>13.09</v>
      </c>
      <c r="U11" s="13">
        <v>1.77</v>
      </c>
    </row>
    <row r="12" spans="1:35" ht="15.75" thickBot="1" x14ac:dyDescent="0.3">
      <c r="A12" s="116" t="s">
        <v>699</v>
      </c>
      <c r="B12" s="142">
        <f>E7+E6+E5+E4</f>
        <v>331605</v>
      </c>
      <c r="E12" s="10">
        <f>C7-B7</f>
        <v>53</v>
      </c>
      <c r="M12" s="131">
        <v>1</v>
      </c>
      <c r="N12" s="12">
        <v>7.85</v>
      </c>
      <c r="O12" s="12">
        <v>2.34</v>
      </c>
      <c r="P12" s="385">
        <f t="shared" si="0"/>
        <v>1.1931</v>
      </c>
      <c r="Q12" s="12">
        <v>0.1</v>
      </c>
      <c r="R12" s="114">
        <v>11.53</v>
      </c>
      <c r="U12" s="12">
        <v>1.23</v>
      </c>
    </row>
    <row r="13" spans="1:35" ht="15.75" thickBot="1" x14ac:dyDescent="0.3">
      <c r="A13" s="132" t="s">
        <v>291</v>
      </c>
      <c r="B13" s="157">
        <f>B11+B12</f>
        <v>341605</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v>2610</v>
      </c>
      <c r="C16" s="133">
        <f>B16+2</f>
        <v>2612</v>
      </c>
      <c r="D16" s="133">
        <f t="shared" ref="D16:AD16" si="2">C16+2</f>
        <v>2614</v>
      </c>
      <c r="E16" s="133">
        <f t="shared" si="2"/>
        <v>2616</v>
      </c>
      <c r="F16" s="133">
        <f t="shared" si="2"/>
        <v>2618</v>
      </c>
      <c r="G16" s="133">
        <f t="shared" si="2"/>
        <v>2620</v>
      </c>
      <c r="H16" s="133">
        <f t="shared" si="2"/>
        <v>2622</v>
      </c>
      <c r="I16" s="133">
        <f t="shared" si="2"/>
        <v>2624</v>
      </c>
      <c r="J16" s="133">
        <f t="shared" si="2"/>
        <v>2626</v>
      </c>
      <c r="K16" s="133">
        <f t="shared" si="2"/>
        <v>2628</v>
      </c>
      <c r="L16" s="133">
        <f t="shared" si="2"/>
        <v>2630</v>
      </c>
      <c r="M16" s="133">
        <f t="shared" si="2"/>
        <v>2632</v>
      </c>
      <c r="N16" s="133">
        <f t="shared" si="2"/>
        <v>2634</v>
      </c>
      <c r="O16" s="133">
        <f t="shared" si="2"/>
        <v>2636</v>
      </c>
      <c r="P16" s="133">
        <f t="shared" si="2"/>
        <v>2638</v>
      </c>
      <c r="Q16" s="133">
        <f t="shared" si="2"/>
        <v>2640</v>
      </c>
      <c r="R16" s="133">
        <f t="shared" si="2"/>
        <v>2642</v>
      </c>
      <c r="S16" s="133">
        <f t="shared" si="2"/>
        <v>2644</v>
      </c>
      <c r="T16" s="133">
        <f t="shared" si="2"/>
        <v>2646</v>
      </c>
      <c r="U16" s="133">
        <f t="shared" si="2"/>
        <v>2648</v>
      </c>
      <c r="V16" s="133">
        <f t="shared" si="2"/>
        <v>2650</v>
      </c>
      <c r="W16" s="133">
        <f t="shared" si="2"/>
        <v>2652</v>
      </c>
      <c r="X16" s="133">
        <f t="shared" si="2"/>
        <v>2654</v>
      </c>
      <c r="Y16" s="133">
        <f t="shared" si="2"/>
        <v>2656</v>
      </c>
      <c r="Z16" s="133">
        <f t="shared" si="2"/>
        <v>2658</v>
      </c>
      <c r="AA16" s="133">
        <f t="shared" si="2"/>
        <v>2660</v>
      </c>
      <c r="AB16" s="133">
        <f t="shared" si="2"/>
        <v>2662</v>
      </c>
      <c r="AC16" s="133">
        <f t="shared" si="2"/>
        <v>2664</v>
      </c>
      <c r="AD16" s="133">
        <f t="shared" si="2"/>
        <v>2666</v>
      </c>
      <c r="AE16" s="133"/>
      <c r="AF16" s="119"/>
      <c r="AG16" s="119"/>
      <c r="AH16" s="119"/>
      <c r="AI16" s="119"/>
    </row>
    <row r="17" spans="1:37" x14ac:dyDescent="0.25">
      <c r="A17" s="119"/>
      <c r="B17" s="133">
        <f>B18+B19+B20+B21</f>
        <v>58105.125</v>
      </c>
      <c r="C17" s="133">
        <f>C18+C19+C20+C21</f>
        <v>58149.65</v>
      </c>
      <c r="D17" s="133">
        <f t="shared" ref="D17:AD17" si="3">D18+D19+D20+D21</f>
        <v>58194.174999999996</v>
      </c>
      <c r="E17" s="133">
        <f t="shared" si="3"/>
        <v>58238.700000000004</v>
      </c>
      <c r="F17" s="133">
        <f t="shared" si="3"/>
        <v>58283.224999999999</v>
      </c>
      <c r="G17" s="133">
        <f t="shared" si="3"/>
        <v>58327.75</v>
      </c>
      <c r="H17" s="133">
        <f t="shared" si="3"/>
        <v>58372.275000000001</v>
      </c>
      <c r="I17" s="133">
        <f t="shared" si="3"/>
        <v>58416.799999999996</v>
      </c>
      <c r="J17" s="133">
        <f t="shared" si="3"/>
        <v>58461.324999999997</v>
      </c>
      <c r="K17" s="133">
        <f t="shared" si="3"/>
        <v>58505.85</v>
      </c>
      <c r="L17" s="133">
        <f t="shared" si="3"/>
        <v>58550.375</v>
      </c>
      <c r="M17" s="133">
        <f t="shared" si="3"/>
        <v>58594.9</v>
      </c>
      <c r="N17" s="133">
        <f t="shared" si="3"/>
        <v>58639.424999999996</v>
      </c>
      <c r="O17" s="133">
        <f t="shared" si="3"/>
        <v>58683.95</v>
      </c>
      <c r="P17" s="133">
        <f t="shared" si="3"/>
        <v>58728.474999999999</v>
      </c>
      <c r="Q17" s="133">
        <f t="shared" si="3"/>
        <v>58773</v>
      </c>
      <c r="R17" s="133">
        <f t="shared" si="3"/>
        <v>58817.524999999994</v>
      </c>
      <c r="S17" s="133">
        <f t="shared" si="3"/>
        <v>58862.05</v>
      </c>
      <c r="T17" s="133">
        <f t="shared" si="3"/>
        <v>58906.57499999999</v>
      </c>
      <c r="U17" s="133">
        <f t="shared" si="3"/>
        <v>58951.100000000006</v>
      </c>
      <c r="V17" s="133">
        <f t="shared" si="3"/>
        <v>58995.625</v>
      </c>
      <c r="W17" s="133">
        <f t="shared" si="3"/>
        <v>59040.15</v>
      </c>
      <c r="X17" s="133">
        <f t="shared" si="3"/>
        <v>59084.674999999996</v>
      </c>
      <c r="Y17" s="133">
        <f t="shared" si="3"/>
        <v>59129.2</v>
      </c>
      <c r="Z17" s="133">
        <f t="shared" si="3"/>
        <v>59173.724999999991</v>
      </c>
      <c r="AA17" s="133">
        <f t="shared" si="3"/>
        <v>59218.25</v>
      </c>
      <c r="AB17" s="133">
        <f t="shared" si="3"/>
        <v>59262.775000000001</v>
      </c>
      <c r="AC17" s="133">
        <f t="shared" si="3"/>
        <v>59307.299999999996</v>
      </c>
      <c r="AD17" s="133">
        <f t="shared" si="3"/>
        <v>59351.825000000004</v>
      </c>
      <c r="AE17" s="133"/>
      <c r="AF17" s="133"/>
      <c r="AG17" s="133"/>
      <c r="AH17" s="133"/>
      <c r="AI17" s="133"/>
    </row>
    <row r="18" spans="1:37" s="122" customFormat="1" x14ac:dyDescent="0.25">
      <c r="A18" s="124" t="s">
        <v>802</v>
      </c>
      <c r="B18" s="125">
        <f>B16*$N$5</f>
        <v>33251.4</v>
      </c>
      <c r="C18" s="125">
        <f t="shared" ref="C18:AD18" si="4">C16*$N$5</f>
        <v>33276.879999999997</v>
      </c>
      <c r="D18" s="125">
        <f t="shared" si="4"/>
        <v>33302.36</v>
      </c>
      <c r="E18" s="125">
        <f t="shared" si="4"/>
        <v>33327.840000000004</v>
      </c>
      <c r="F18" s="125">
        <f t="shared" si="4"/>
        <v>33353.32</v>
      </c>
      <c r="G18" s="125">
        <f t="shared" si="4"/>
        <v>33378.800000000003</v>
      </c>
      <c r="H18" s="125">
        <f t="shared" si="4"/>
        <v>33404.28</v>
      </c>
      <c r="I18" s="125">
        <f t="shared" si="4"/>
        <v>33429.760000000002</v>
      </c>
      <c r="J18" s="125">
        <f t="shared" si="4"/>
        <v>33455.24</v>
      </c>
      <c r="K18" s="125">
        <f t="shared" si="4"/>
        <v>33480.720000000001</v>
      </c>
      <c r="L18" s="125">
        <f t="shared" si="4"/>
        <v>33506.199999999997</v>
      </c>
      <c r="M18" s="125">
        <f t="shared" si="4"/>
        <v>33531.68</v>
      </c>
      <c r="N18" s="125">
        <f t="shared" si="4"/>
        <v>33557.160000000003</v>
      </c>
      <c r="O18" s="125">
        <f t="shared" si="4"/>
        <v>33582.639999999999</v>
      </c>
      <c r="P18" s="125">
        <f t="shared" si="4"/>
        <v>33608.120000000003</v>
      </c>
      <c r="Q18" s="125">
        <f t="shared" si="4"/>
        <v>33633.599999999999</v>
      </c>
      <c r="R18" s="125">
        <f t="shared" si="4"/>
        <v>33659.08</v>
      </c>
      <c r="S18" s="125">
        <f t="shared" si="4"/>
        <v>33684.559999999998</v>
      </c>
      <c r="T18" s="125">
        <f t="shared" si="4"/>
        <v>33710.04</v>
      </c>
      <c r="U18" s="125">
        <f t="shared" si="4"/>
        <v>33735.520000000004</v>
      </c>
      <c r="V18" s="125">
        <f t="shared" si="4"/>
        <v>33761</v>
      </c>
      <c r="W18" s="125">
        <f t="shared" si="4"/>
        <v>33786.480000000003</v>
      </c>
      <c r="X18" s="125">
        <f t="shared" si="4"/>
        <v>33811.96</v>
      </c>
      <c r="Y18" s="125">
        <f t="shared" si="4"/>
        <v>33837.440000000002</v>
      </c>
      <c r="Z18" s="125">
        <f t="shared" si="4"/>
        <v>33862.92</v>
      </c>
      <c r="AA18" s="125">
        <f t="shared" si="4"/>
        <v>33888.400000000001</v>
      </c>
      <c r="AB18" s="125">
        <f t="shared" si="4"/>
        <v>33913.879999999997</v>
      </c>
      <c r="AC18" s="125">
        <f t="shared" si="4"/>
        <v>33939.360000000001</v>
      </c>
      <c r="AD18" s="125">
        <f t="shared" si="4"/>
        <v>33964.840000000004</v>
      </c>
      <c r="AE18" s="125"/>
      <c r="AF18" s="125"/>
      <c r="AG18" s="125"/>
      <c r="AH18" s="125"/>
      <c r="AI18" s="125"/>
    </row>
    <row r="19" spans="1:37" x14ac:dyDescent="0.25">
      <c r="A19" s="124" t="s">
        <v>803</v>
      </c>
      <c r="B19" s="125">
        <f>B16*$O$5</f>
        <v>12762.9</v>
      </c>
      <c r="C19" s="125">
        <f t="shared" ref="C19:AD19" si="5">C16*$O$5</f>
        <v>12772.679999999998</v>
      </c>
      <c r="D19" s="125">
        <f t="shared" si="5"/>
        <v>12782.46</v>
      </c>
      <c r="E19" s="125">
        <f t="shared" si="5"/>
        <v>12792.24</v>
      </c>
      <c r="F19" s="125">
        <f t="shared" si="5"/>
        <v>12802.019999999999</v>
      </c>
      <c r="G19" s="125">
        <f t="shared" si="5"/>
        <v>12811.8</v>
      </c>
      <c r="H19" s="125">
        <f t="shared" si="5"/>
        <v>12821.58</v>
      </c>
      <c r="I19" s="125">
        <f t="shared" si="5"/>
        <v>12831.359999999999</v>
      </c>
      <c r="J19" s="125">
        <f t="shared" si="5"/>
        <v>12841.14</v>
      </c>
      <c r="K19" s="125">
        <f t="shared" si="5"/>
        <v>12850.919999999998</v>
      </c>
      <c r="L19" s="125">
        <f t="shared" si="5"/>
        <v>12860.699999999999</v>
      </c>
      <c r="M19" s="125">
        <f t="shared" si="5"/>
        <v>12870.48</v>
      </c>
      <c r="N19" s="125">
        <f t="shared" si="5"/>
        <v>12880.259999999998</v>
      </c>
      <c r="O19" s="125">
        <f t="shared" si="5"/>
        <v>12890.039999999999</v>
      </c>
      <c r="P19" s="125">
        <f t="shared" si="5"/>
        <v>12899.82</v>
      </c>
      <c r="Q19" s="125">
        <f t="shared" si="5"/>
        <v>12909.599999999999</v>
      </c>
      <c r="R19" s="125">
        <f t="shared" si="5"/>
        <v>12919.38</v>
      </c>
      <c r="S19" s="125">
        <f t="shared" si="5"/>
        <v>12929.16</v>
      </c>
      <c r="T19" s="125">
        <f t="shared" si="5"/>
        <v>12938.939999999999</v>
      </c>
      <c r="U19" s="125">
        <f t="shared" si="5"/>
        <v>12948.72</v>
      </c>
      <c r="V19" s="125">
        <f t="shared" si="5"/>
        <v>12958.5</v>
      </c>
      <c r="W19" s="125">
        <f t="shared" si="5"/>
        <v>12968.279999999999</v>
      </c>
      <c r="X19" s="125">
        <f t="shared" si="5"/>
        <v>12978.06</v>
      </c>
      <c r="Y19" s="125">
        <f t="shared" si="5"/>
        <v>12987.839999999998</v>
      </c>
      <c r="Z19" s="125">
        <f t="shared" si="5"/>
        <v>12997.619999999999</v>
      </c>
      <c r="AA19" s="125">
        <f t="shared" si="5"/>
        <v>13007.4</v>
      </c>
      <c r="AB19" s="125">
        <f t="shared" si="5"/>
        <v>13017.179999999998</v>
      </c>
      <c r="AC19" s="125">
        <f t="shared" si="5"/>
        <v>13026.96</v>
      </c>
      <c r="AD19" s="125">
        <f t="shared" si="5"/>
        <v>13036.74</v>
      </c>
      <c r="AE19" s="125"/>
      <c r="AF19" s="125"/>
      <c r="AG19" s="125"/>
      <c r="AH19" s="125"/>
      <c r="AI19" s="125"/>
    </row>
    <row r="20" spans="1:37" x14ac:dyDescent="0.25">
      <c r="A20" s="124" t="s">
        <v>804</v>
      </c>
      <c r="B20" s="125">
        <f>B16*$P$5</f>
        <v>10759.724999999999</v>
      </c>
      <c r="C20" s="125">
        <f t="shared" ref="C20:AD20" si="6">C16*$P$5</f>
        <v>10767.97</v>
      </c>
      <c r="D20" s="125">
        <f t="shared" si="6"/>
        <v>10776.214999999998</v>
      </c>
      <c r="E20" s="125">
        <f t="shared" si="6"/>
        <v>10784.46</v>
      </c>
      <c r="F20" s="125">
        <f t="shared" si="6"/>
        <v>10792.704999999998</v>
      </c>
      <c r="G20" s="125">
        <f t="shared" si="6"/>
        <v>10800.949999999999</v>
      </c>
      <c r="H20" s="125">
        <f t="shared" si="6"/>
        <v>10809.195</v>
      </c>
      <c r="I20" s="125">
        <f t="shared" si="6"/>
        <v>10817.439999999999</v>
      </c>
      <c r="J20" s="125">
        <f t="shared" si="6"/>
        <v>10825.684999999999</v>
      </c>
      <c r="K20" s="125">
        <f t="shared" si="6"/>
        <v>10833.929999999998</v>
      </c>
      <c r="L20" s="125">
        <f t="shared" si="6"/>
        <v>10842.174999999999</v>
      </c>
      <c r="M20" s="125">
        <f t="shared" si="6"/>
        <v>10850.419999999998</v>
      </c>
      <c r="N20" s="125">
        <f t="shared" si="6"/>
        <v>10858.664999999999</v>
      </c>
      <c r="O20" s="125">
        <f t="shared" si="6"/>
        <v>10866.91</v>
      </c>
      <c r="P20" s="125">
        <f t="shared" si="6"/>
        <v>10875.154999999999</v>
      </c>
      <c r="Q20" s="125">
        <f t="shared" si="6"/>
        <v>10883.4</v>
      </c>
      <c r="R20" s="125">
        <f t="shared" si="6"/>
        <v>10891.644999999999</v>
      </c>
      <c r="S20" s="125">
        <f t="shared" si="6"/>
        <v>10899.89</v>
      </c>
      <c r="T20" s="125">
        <f t="shared" si="6"/>
        <v>10908.134999999998</v>
      </c>
      <c r="U20" s="125">
        <f t="shared" si="6"/>
        <v>10916.38</v>
      </c>
      <c r="V20" s="125">
        <f t="shared" si="6"/>
        <v>10924.624999999998</v>
      </c>
      <c r="W20" s="125">
        <f t="shared" si="6"/>
        <v>10932.869999999999</v>
      </c>
      <c r="X20" s="125">
        <f t="shared" si="6"/>
        <v>10941.115</v>
      </c>
      <c r="Y20" s="125">
        <f t="shared" si="6"/>
        <v>10949.359999999999</v>
      </c>
      <c r="Z20" s="125">
        <f t="shared" si="6"/>
        <v>10957.605</v>
      </c>
      <c r="AA20" s="125">
        <f t="shared" si="6"/>
        <v>10965.849999999999</v>
      </c>
      <c r="AB20" s="125">
        <f t="shared" si="6"/>
        <v>10974.094999999999</v>
      </c>
      <c r="AC20" s="125">
        <f t="shared" si="6"/>
        <v>10982.339999999998</v>
      </c>
      <c r="AD20" s="125">
        <f t="shared" si="6"/>
        <v>10990.584999999999</v>
      </c>
      <c r="AE20" s="125"/>
      <c r="AF20" s="125"/>
      <c r="AG20" s="125"/>
      <c r="AH20" s="125"/>
      <c r="AI20" s="125"/>
    </row>
    <row r="21" spans="1:37" x14ac:dyDescent="0.25">
      <c r="A21" s="124" t="s">
        <v>805</v>
      </c>
      <c r="B21" s="125">
        <f>B16*$Q$5</f>
        <v>1331.1000000000001</v>
      </c>
      <c r="C21" s="125">
        <f t="shared" ref="C21:AD21" si="7">C16*$Q$5</f>
        <v>1332.1200000000001</v>
      </c>
      <c r="D21" s="125">
        <f t="shared" si="7"/>
        <v>1333.14</v>
      </c>
      <c r="E21" s="125">
        <f t="shared" si="7"/>
        <v>1334.16</v>
      </c>
      <c r="F21" s="125">
        <f t="shared" si="7"/>
        <v>1335.18</v>
      </c>
      <c r="G21" s="125">
        <f t="shared" si="7"/>
        <v>1336.2</v>
      </c>
      <c r="H21" s="125">
        <f t="shared" si="7"/>
        <v>1337.22</v>
      </c>
      <c r="I21" s="125">
        <f t="shared" si="7"/>
        <v>1338.24</v>
      </c>
      <c r="J21" s="125">
        <f t="shared" si="7"/>
        <v>1339.26</v>
      </c>
      <c r="K21" s="125">
        <f t="shared" si="7"/>
        <v>1340.28</v>
      </c>
      <c r="L21" s="125">
        <f t="shared" si="7"/>
        <v>1341.3</v>
      </c>
      <c r="M21" s="125">
        <f t="shared" si="7"/>
        <v>1342.32</v>
      </c>
      <c r="N21" s="125">
        <f t="shared" si="7"/>
        <v>1343.34</v>
      </c>
      <c r="O21" s="125">
        <f t="shared" si="7"/>
        <v>1344.3600000000001</v>
      </c>
      <c r="P21" s="125">
        <f t="shared" si="7"/>
        <v>1345.38</v>
      </c>
      <c r="Q21" s="125">
        <f t="shared" si="7"/>
        <v>1346.4</v>
      </c>
      <c r="R21" s="125">
        <f t="shared" si="7"/>
        <v>1347.42</v>
      </c>
      <c r="S21" s="125">
        <f t="shared" si="7"/>
        <v>1348.44</v>
      </c>
      <c r="T21" s="125">
        <f t="shared" si="7"/>
        <v>1349.46</v>
      </c>
      <c r="U21" s="125">
        <f t="shared" si="7"/>
        <v>1350.48</v>
      </c>
      <c r="V21" s="125">
        <f t="shared" si="7"/>
        <v>1351.5</v>
      </c>
      <c r="W21" s="125">
        <f t="shared" si="7"/>
        <v>1352.52</v>
      </c>
      <c r="X21" s="125">
        <f t="shared" si="7"/>
        <v>1353.54</v>
      </c>
      <c r="Y21" s="125">
        <f t="shared" si="7"/>
        <v>1354.56</v>
      </c>
      <c r="Z21" s="125">
        <f t="shared" si="7"/>
        <v>1355.58</v>
      </c>
      <c r="AA21" s="125">
        <f t="shared" si="7"/>
        <v>1356.6000000000001</v>
      </c>
      <c r="AB21" s="125">
        <f t="shared" si="7"/>
        <v>1357.6200000000001</v>
      </c>
      <c r="AC21" s="125">
        <f t="shared" si="7"/>
        <v>1358.64</v>
      </c>
      <c r="AD21" s="125">
        <f t="shared" si="7"/>
        <v>1359.66</v>
      </c>
      <c r="AE21" s="125"/>
      <c r="AF21" s="125"/>
      <c r="AG21" s="125"/>
      <c r="AH21" s="125"/>
      <c r="AI21" s="125"/>
    </row>
    <row r="22" spans="1:37" x14ac:dyDescent="0.25">
      <c r="A22" s="124" t="s">
        <v>716</v>
      </c>
      <c r="B22" s="125">
        <f>MIN(B$18,$C$4)</f>
        <v>33251.4</v>
      </c>
      <c r="C22" s="125">
        <f t="shared" ref="C22:AD22" si="8">MIN(C$18,$C$4)</f>
        <v>33276.879999999997</v>
      </c>
      <c r="D22" s="125">
        <f t="shared" si="8"/>
        <v>33302.36</v>
      </c>
      <c r="E22" s="125">
        <f t="shared" si="8"/>
        <v>33327.840000000004</v>
      </c>
      <c r="F22" s="125">
        <f t="shared" si="8"/>
        <v>33353.32</v>
      </c>
      <c r="G22" s="125">
        <f t="shared" si="8"/>
        <v>33378.800000000003</v>
      </c>
      <c r="H22" s="125">
        <f t="shared" si="8"/>
        <v>33404.28</v>
      </c>
      <c r="I22" s="125">
        <f t="shared" si="8"/>
        <v>33429.760000000002</v>
      </c>
      <c r="J22" s="125">
        <f t="shared" si="8"/>
        <v>33455.24</v>
      </c>
      <c r="K22" s="125">
        <f t="shared" si="8"/>
        <v>33480.720000000001</v>
      </c>
      <c r="L22" s="125">
        <f t="shared" si="8"/>
        <v>33506.199999999997</v>
      </c>
      <c r="M22" s="125">
        <f t="shared" si="8"/>
        <v>33531.68</v>
      </c>
      <c r="N22" s="125">
        <f t="shared" si="8"/>
        <v>33557.160000000003</v>
      </c>
      <c r="O22" s="125">
        <f t="shared" si="8"/>
        <v>33582.639999999999</v>
      </c>
      <c r="P22" s="125">
        <f t="shared" si="8"/>
        <v>33608.120000000003</v>
      </c>
      <c r="Q22" s="125">
        <f t="shared" si="8"/>
        <v>33633.599999999999</v>
      </c>
      <c r="R22" s="125">
        <f t="shared" si="8"/>
        <v>33659.08</v>
      </c>
      <c r="S22" s="125">
        <f t="shared" si="8"/>
        <v>33684.559999999998</v>
      </c>
      <c r="T22" s="125">
        <f t="shared" si="8"/>
        <v>33710.04</v>
      </c>
      <c r="U22" s="125">
        <f t="shared" si="8"/>
        <v>33735.520000000004</v>
      </c>
      <c r="V22" s="125">
        <f t="shared" si="8"/>
        <v>33761</v>
      </c>
      <c r="W22" s="125">
        <f t="shared" si="8"/>
        <v>33786.480000000003</v>
      </c>
      <c r="X22" s="125">
        <f t="shared" si="8"/>
        <v>33811.96</v>
      </c>
      <c r="Y22" s="125">
        <f t="shared" si="8"/>
        <v>33837.440000000002</v>
      </c>
      <c r="Z22" s="125">
        <f t="shared" si="8"/>
        <v>33862.92</v>
      </c>
      <c r="AA22" s="125">
        <f t="shared" si="8"/>
        <v>33888.400000000001</v>
      </c>
      <c r="AB22" s="125">
        <f t="shared" si="8"/>
        <v>33913.879999999997</v>
      </c>
      <c r="AC22" s="125">
        <f t="shared" si="8"/>
        <v>33939.360000000001</v>
      </c>
      <c r="AD22" s="125">
        <f t="shared" si="8"/>
        <v>33964.840000000004</v>
      </c>
      <c r="AE22" s="125"/>
      <c r="AF22" s="125"/>
      <c r="AG22" s="125"/>
      <c r="AH22" s="125"/>
      <c r="AI22" s="125"/>
    </row>
    <row r="23" spans="1:37" x14ac:dyDescent="0.25">
      <c r="A23" s="124" t="s">
        <v>717</v>
      </c>
      <c r="B23" s="125">
        <f>MIN(B$19,$C$5)</f>
        <v>12762.9</v>
      </c>
      <c r="C23" s="125">
        <f t="shared" ref="C23:AD23" si="9">MIN(C$19,$C$5)</f>
        <v>12772.679999999998</v>
      </c>
      <c r="D23" s="125">
        <f t="shared" si="9"/>
        <v>12782.46</v>
      </c>
      <c r="E23" s="125">
        <f t="shared" si="9"/>
        <v>12792.24</v>
      </c>
      <c r="F23" s="125">
        <f t="shared" si="9"/>
        <v>12802.019999999999</v>
      </c>
      <c r="G23" s="125">
        <f t="shared" si="9"/>
        <v>12811.8</v>
      </c>
      <c r="H23" s="125">
        <f t="shared" si="9"/>
        <v>12821.58</v>
      </c>
      <c r="I23" s="125">
        <f t="shared" si="9"/>
        <v>12831.359999999999</v>
      </c>
      <c r="J23" s="125">
        <f t="shared" si="9"/>
        <v>12841.14</v>
      </c>
      <c r="K23" s="125">
        <f t="shared" si="9"/>
        <v>12850.919999999998</v>
      </c>
      <c r="L23" s="125">
        <f t="shared" si="9"/>
        <v>12860.699999999999</v>
      </c>
      <c r="M23" s="125">
        <f t="shared" si="9"/>
        <v>12870.48</v>
      </c>
      <c r="N23" s="125">
        <f t="shared" si="9"/>
        <v>12880.259999999998</v>
      </c>
      <c r="O23" s="125">
        <f t="shared" si="9"/>
        <v>12890.039999999999</v>
      </c>
      <c r="P23" s="125">
        <f t="shared" si="9"/>
        <v>12899.82</v>
      </c>
      <c r="Q23" s="125">
        <f t="shared" si="9"/>
        <v>12909.599999999999</v>
      </c>
      <c r="R23" s="125">
        <f t="shared" si="9"/>
        <v>12919.38</v>
      </c>
      <c r="S23" s="125">
        <f t="shared" si="9"/>
        <v>12929.16</v>
      </c>
      <c r="T23" s="125">
        <f t="shared" si="9"/>
        <v>12938.939999999999</v>
      </c>
      <c r="U23" s="125">
        <f t="shared" si="9"/>
        <v>12948.72</v>
      </c>
      <c r="V23" s="125">
        <f t="shared" si="9"/>
        <v>12958.5</v>
      </c>
      <c r="W23" s="125">
        <f t="shared" si="9"/>
        <v>12968.279999999999</v>
      </c>
      <c r="X23" s="125">
        <f t="shared" si="9"/>
        <v>12978.06</v>
      </c>
      <c r="Y23" s="125">
        <f t="shared" si="9"/>
        <v>12987.839999999998</v>
      </c>
      <c r="Z23" s="125">
        <f t="shared" si="9"/>
        <v>12997.619999999999</v>
      </c>
      <c r="AA23" s="125">
        <f t="shared" si="9"/>
        <v>13007.4</v>
      </c>
      <c r="AB23" s="125">
        <f t="shared" si="9"/>
        <v>13017.179999999998</v>
      </c>
      <c r="AC23" s="125">
        <f t="shared" si="9"/>
        <v>13026.96</v>
      </c>
      <c r="AD23" s="125">
        <f t="shared" si="9"/>
        <v>13036.74</v>
      </c>
      <c r="AE23" s="125"/>
      <c r="AF23" s="125"/>
      <c r="AG23" s="125"/>
      <c r="AH23" s="125"/>
      <c r="AI23" s="125"/>
    </row>
    <row r="24" spans="1:37" x14ac:dyDescent="0.25">
      <c r="A24" s="124" t="s">
        <v>718</v>
      </c>
      <c r="B24" s="125">
        <f>MIN(B$20,$C$6)</f>
        <v>10759.724999999999</v>
      </c>
      <c r="C24" s="125">
        <f t="shared" ref="C24:AD24" si="10">MIN(C$20,$C$6)</f>
        <v>10767.97</v>
      </c>
      <c r="D24" s="125">
        <f t="shared" si="10"/>
        <v>10776.214999999998</v>
      </c>
      <c r="E24" s="125">
        <f t="shared" si="10"/>
        <v>10784.46</v>
      </c>
      <c r="F24" s="125">
        <f t="shared" si="10"/>
        <v>10792.704999999998</v>
      </c>
      <c r="G24" s="125">
        <f t="shared" si="10"/>
        <v>10800.949999999999</v>
      </c>
      <c r="H24" s="125">
        <f t="shared" si="10"/>
        <v>10809.195</v>
      </c>
      <c r="I24" s="125">
        <f t="shared" si="10"/>
        <v>10817.439999999999</v>
      </c>
      <c r="J24" s="125">
        <f t="shared" si="10"/>
        <v>10825.684999999999</v>
      </c>
      <c r="K24" s="125">
        <f t="shared" si="10"/>
        <v>10833.929999999998</v>
      </c>
      <c r="L24" s="125">
        <f t="shared" si="10"/>
        <v>10842.174999999999</v>
      </c>
      <c r="M24" s="125">
        <f t="shared" si="10"/>
        <v>10850.419999999998</v>
      </c>
      <c r="N24" s="125">
        <f t="shared" si="10"/>
        <v>10858.664999999999</v>
      </c>
      <c r="O24" s="125">
        <f t="shared" si="10"/>
        <v>10866.91</v>
      </c>
      <c r="P24" s="125">
        <f t="shared" si="10"/>
        <v>10875.154999999999</v>
      </c>
      <c r="Q24" s="125">
        <f t="shared" si="10"/>
        <v>10883.4</v>
      </c>
      <c r="R24" s="125">
        <f t="shared" si="10"/>
        <v>10891.644999999999</v>
      </c>
      <c r="S24" s="125">
        <f t="shared" si="10"/>
        <v>10899.89</v>
      </c>
      <c r="T24" s="125">
        <f t="shared" si="10"/>
        <v>10908.134999999998</v>
      </c>
      <c r="U24" s="125">
        <f t="shared" si="10"/>
        <v>10916.38</v>
      </c>
      <c r="V24" s="125">
        <f t="shared" si="10"/>
        <v>10924.624999999998</v>
      </c>
      <c r="W24" s="125">
        <f t="shared" si="10"/>
        <v>10932.869999999999</v>
      </c>
      <c r="X24" s="125">
        <f t="shared" si="10"/>
        <v>10941.115</v>
      </c>
      <c r="Y24" s="125">
        <f t="shared" si="10"/>
        <v>10949.359999999999</v>
      </c>
      <c r="Z24" s="125">
        <f t="shared" si="10"/>
        <v>10957.605</v>
      </c>
      <c r="AA24" s="125">
        <f t="shared" si="10"/>
        <v>10965.849999999999</v>
      </c>
      <c r="AB24" s="125">
        <f t="shared" si="10"/>
        <v>10974.094999999999</v>
      </c>
      <c r="AC24" s="125">
        <f t="shared" si="10"/>
        <v>10982.339999999998</v>
      </c>
      <c r="AD24" s="125">
        <f t="shared" si="10"/>
        <v>10990.584999999999</v>
      </c>
      <c r="AE24" s="125"/>
      <c r="AF24" s="125"/>
      <c r="AG24" s="125"/>
      <c r="AH24" s="125"/>
      <c r="AI24" s="125"/>
    </row>
    <row r="25" spans="1:37" x14ac:dyDescent="0.25">
      <c r="A25" s="124" t="s">
        <v>719</v>
      </c>
      <c r="B25" s="125">
        <f>MIN(B$21,$C$7)</f>
        <v>1331.1000000000001</v>
      </c>
      <c r="C25" s="125">
        <f t="shared" ref="C25:AD25" si="11">MIN(C$21,$C$7)</f>
        <v>1332.1200000000001</v>
      </c>
      <c r="D25" s="125">
        <f t="shared" si="11"/>
        <v>1333.14</v>
      </c>
      <c r="E25" s="125">
        <f t="shared" si="11"/>
        <v>1334.16</v>
      </c>
      <c r="F25" s="125">
        <f t="shared" si="11"/>
        <v>1335.18</v>
      </c>
      <c r="G25" s="125">
        <f t="shared" si="11"/>
        <v>1336.2</v>
      </c>
      <c r="H25" s="125">
        <f t="shared" si="11"/>
        <v>1337.22</v>
      </c>
      <c r="I25" s="125">
        <f t="shared" si="11"/>
        <v>1338.24</v>
      </c>
      <c r="J25" s="125">
        <f t="shared" si="11"/>
        <v>1339.26</v>
      </c>
      <c r="K25" s="125">
        <f t="shared" si="11"/>
        <v>1340.28</v>
      </c>
      <c r="L25" s="125">
        <f t="shared" si="11"/>
        <v>1341.3</v>
      </c>
      <c r="M25" s="125">
        <f t="shared" si="11"/>
        <v>1342.32</v>
      </c>
      <c r="N25" s="125">
        <f t="shared" si="11"/>
        <v>1343.34</v>
      </c>
      <c r="O25" s="125">
        <f t="shared" si="11"/>
        <v>1344.3600000000001</v>
      </c>
      <c r="P25" s="125">
        <f t="shared" si="11"/>
        <v>1345.38</v>
      </c>
      <c r="Q25" s="125">
        <f t="shared" si="11"/>
        <v>1346.4</v>
      </c>
      <c r="R25" s="125">
        <f t="shared" si="11"/>
        <v>1347.42</v>
      </c>
      <c r="S25" s="125">
        <f t="shared" si="11"/>
        <v>1348.44</v>
      </c>
      <c r="T25" s="125">
        <f t="shared" si="11"/>
        <v>1349.46</v>
      </c>
      <c r="U25" s="125">
        <f t="shared" si="11"/>
        <v>1350.48</v>
      </c>
      <c r="V25" s="125">
        <f t="shared" si="11"/>
        <v>1351.5</v>
      </c>
      <c r="W25" s="125">
        <f t="shared" si="11"/>
        <v>1352.52</v>
      </c>
      <c r="X25" s="125">
        <f t="shared" si="11"/>
        <v>1353.54</v>
      </c>
      <c r="Y25" s="125">
        <f t="shared" si="11"/>
        <v>1354.56</v>
      </c>
      <c r="Z25" s="125">
        <f t="shared" si="11"/>
        <v>1355.58</v>
      </c>
      <c r="AA25" s="125">
        <f t="shared" si="11"/>
        <v>1356.6000000000001</v>
      </c>
      <c r="AB25" s="125">
        <f t="shared" si="11"/>
        <v>1357.6200000000001</v>
      </c>
      <c r="AC25" s="125">
        <f t="shared" si="11"/>
        <v>1358.64</v>
      </c>
      <c r="AD25" s="125">
        <f t="shared" si="11"/>
        <v>1359.66</v>
      </c>
      <c r="AE25" s="125"/>
      <c r="AF25" s="125"/>
      <c r="AG25" s="125"/>
      <c r="AH25" s="125"/>
      <c r="AI25" s="125"/>
    </row>
    <row r="26" spans="1:37" x14ac:dyDescent="0.25">
      <c r="A26" s="126" t="s">
        <v>706</v>
      </c>
      <c r="B26" s="127">
        <f>IF(B22&gt;$B$4,(B22-$B$4)*$H$4,0)</f>
        <v>0</v>
      </c>
      <c r="C26" s="127">
        <v>0</v>
      </c>
      <c r="D26" s="127">
        <f>IF(D22&gt;$B$4,(D22-$B$4)*$H$4,0)</f>
        <v>0</v>
      </c>
      <c r="E26" s="127">
        <v>0</v>
      </c>
      <c r="F26" s="127">
        <f>IF(F22&gt;$B$4,(F22-$B$4)*$H$4,0)</f>
        <v>0</v>
      </c>
      <c r="G26" s="127">
        <v>0</v>
      </c>
      <c r="H26" s="127">
        <f>IF(H22&gt;$B$4,(H22-$B$4)*$H$4,0)</f>
        <v>0</v>
      </c>
      <c r="I26" s="127">
        <v>0</v>
      </c>
      <c r="J26" s="127">
        <f>IF(J22&gt;$B$4,(J22-$B$4)*$H$4,0)</f>
        <v>0</v>
      </c>
      <c r="K26" s="127">
        <v>0</v>
      </c>
      <c r="L26" s="127">
        <f>IF(L22&gt;$B$4,(L22-$B$4)*$H$4,0)</f>
        <v>0</v>
      </c>
      <c r="M26" s="127">
        <v>0</v>
      </c>
      <c r="N26" s="127">
        <f>IF(N22&gt;$B$4,(N22-$B$4)*$H$4,0)</f>
        <v>0</v>
      </c>
      <c r="O26" s="127">
        <v>0</v>
      </c>
      <c r="P26" s="127">
        <f>IF(P22&gt;$B$4,(P22-$B$4)*$H$4,0)</f>
        <v>0</v>
      </c>
      <c r="Q26" s="127">
        <v>0</v>
      </c>
      <c r="R26" s="127">
        <f>IF(R22&gt;$B$4,(R22-$B$4)*$H$4,0)</f>
        <v>0</v>
      </c>
      <c r="S26" s="127">
        <v>0</v>
      </c>
      <c r="T26" s="127">
        <f>IF(T22&gt;$B$4,(T22-$B$4)*$H$4,0)</f>
        <v>0</v>
      </c>
      <c r="U26" s="127">
        <v>0</v>
      </c>
      <c r="V26" s="127">
        <f>IF(V22&gt;$B$4,(V22-$B$4)*$H$4,0)</f>
        <v>0</v>
      </c>
      <c r="W26" s="127">
        <v>0</v>
      </c>
      <c r="X26" s="127">
        <f>IF(X22&gt;$B$4,(X22-$B$4)*$H$4,0)</f>
        <v>0</v>
      </c>
      <c r="Y26" s="127">
        <v>0</v>
      </c>
      <c r="Z26" s="127">
        <f>IF(Z22&gt;$B$4,(Z22-$B$4)*$H$4,0)</f>
        <v>0</v>
      </c>
      <c r="AA26" s="127">
        <v>0</v>
      </c>
      <c r="AB26" s="127">
        <f>IF(AB22&gt;$B$4,(AB22-$B$4)*$H$4,0)</f>
        <v>0</v>
      </c>
      <c r="AC26" s="127">
        <v>0</v>
      </c>
      <c r="AD26" s="127">
        <f>IF(AD22&gt;$B$4,(AD22-$B$4)*$H$4,0)</f>
        <v>0</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0</v>
      </c>
      <c r="C27" s="127">
        <v>0</v>
      </c>
      <c r="D27" s="127">
        <f>IF(D23&gt;$B$5,(D23-$B$5)*$H$5,0)</f>
        <v>0</v>
      </c>
      <c r="E27" s="127">
        <v>0</v>
      </c>
      <c r="F27" s="127">
        <f>IF(F23&gt;$B$5,(F23-$B$5)*$H$5,0)</f>
        <v>0</v>
      </c>
      <c r="G27" s="127">
        <v>0</v>
      </c>
      <c r="H27" s="127">
        <f>IF(H23&gt;$B$5,(H23-$B$5)*$H$5,0)</f>
        <v>0</v>
      </c>
      <c r="I27" s="127">
        <v>0</v>
      </c>
      <c r="J27" s="127">
        <f>IF(J23&gt;$B$5,(J23-$B$5)*$H$5,0)</f>
        <v>0</v>
      </c>
      <c r="K27" s="127">
        <v>0</v>
      </c>
      <c r="L27" s="127">
        <f>IF(L23&gt;$B$5,(L23-$B$5)*$H$5,0)</f>
        <v>0</v>
      </c>
      <c r="M27" s="127">
        <v>0</v>
      </c>
      <c r="N27" s="127">
        <f>IF(N23&gt;$B$5,(N23-$B$5)*$H$5,0)</f>
        <v>0</v>
      </c>
      <c r="O27" s="127">
        <v>0</v>
      </c>
      <c r="P27" s="127">
        <f>IF(P23&gt;$B$5,(P23-$B$5)*$H$5,0)</f>
        <v>0</v>
      </c>
      <c r="Q27" s="127">
        <v>0</v>
      </c>
      <c r="R27" s="127">
        <f>IF(R23&gt;$B$5,(R23-$B$5)*$H$5,0)</f>
        <v>0</v>
      </c>
      <c r="S27" s="127">
        <v>0</v>
      </c>
      <c r="T27" s="127">
        <f>IF(T23&gt;$B$5,(T23-$B$5)*$H$5,0)</f>
        <v>0</v>
      </c>
      <c r="U27" s="127">
        <v>0</v>
      </c>
      <c r="V27" s="127">
        <f>IF(V23&gt;$B$5,(V23-$B$5)*$H$5,0)</f>
        <v>0</v>
      </c>
      <c r="W27" s="127">
        <v>0</v>
      </c>
      <c r="X27" s="127">
        <f>IF(X23&gt;$B$5,(X23-$B$5)*$H$5,0)</f>
        <v>0</v>
      </c>
      <c r="Y27" s="127">
        <v>0</v>
      </c>
      <c r="Z27" s="127">
        <f>IF(Z23&gt;$B$5,(Z23-$B$5)*$H$5,0)</f>
        <v>0</v>
      </c>
      <c r="AA27" s="127">
        <v>0</v>
      </c>
      <c r="AB27" s="127">
        <f>IF(AB23&gt;$B$5,(AB23-$B$5)*$H$5,0)</f>
        <v>0</v>
      </c>
      <c r="AC27" s="127">
        <v>0</v>
      </c>
      <c r="AD27" s="127">
        <f>IF(AD23&gt;$B$5,(AD23-$B$5)*$H$5,0)</f>
        <v>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0</v>
      </c>
      <c r="C28" s="127">
        <v>0</v>
      </c>
      <c r="D28" s="127">
        <f>IF(D24&gt;$B$6,(D24-$B$6)*$H$6,0)</f>
        <v>0</v>
      </c>
      <c r="E28" s="127">
        <v>0</v>
      </c>
      <c r="F28" s="127">
        <f>IF(F24&gt;$B$6,(F24-$B$6)*$H$6,0)</f>
        <v>0</v>
      </c>
      <c r="G28" s="127">
        <v>0</v>
      </c>
      <c r="H28" s="127">
        <f>IF(H24&gt;$B$6,(H24-$B$6)*$H$6,0)</f>
        <v>0</v>
      </c>
      <c r="I28" s="127">
        <v>0</v>
      </c>
      <c r="J28" s="127">
        <f>IF(J24&gt;$B$6,(J24-$B$6)*$H$6,0)</f>
        <v>0</v>
      </c>
      <c r="K28" s="127">
        <v>0</v>
      </c>
      <c r="L28" s="127">
        <f>IF(L24&gt;$B$6,(L24-$B$6)*$H$6,0)</f>
        <v>0</v>
      </c>
      <c r="M28" s="127">
        <v>0</v>
      </c>
      <c r="N28" s="127">
        <f>IF(N24&gt;$B$6,(N24-$B$6)*$H$6,0)</f>
        <v>0</v>
      </c>
      <c r="O28" s="127">
        <v>0</v>
      </c>
      <c r="P28" s="127">
        <f>IF(P24&gt;$B$6,(P24-$B$6)*$H$6,0)</f>
        <v>0</v>
      </c>
      <c r="Q28" s="127">
        <v>0</v>
      </c>
      <c r="R28" s="127">
        <f>IF(R24&gt;$B$6,(R24-$B$6)*$H$6,0)</f>
        <v>0</v>
      </c>
      <c r="S28" s="127">
        <v>0</v>
      </c>
      <c r="T28" s="127">
        <f>IF(T24&gt;$B$6,(T24-$B$6)*$H$6,0)</f>
        <v>0</v>
      </c>
      <c r="U28" s="127">
        <v>0</v>
      </c>
      <c r="V28" s="127">
        <f>IF(V24&gt;$B$6,(V24-$B$6)*$H$6,0)</f>
        <v>0</v>
      </c>
      <c r="W28" s="127">
        <v>0</v>
      </c>
      <c r="X28" s="127">
        <f>IF(X24&gt;$B$6,(X24-$B$6)*$H$6,0)</f>
        <v>0</v>
      </c>
      <c r="Y28" s="127">
        <v>0</v>
      </c>
      <c r="Z28" s="127">
        <f>IF(Z24&gt;$B$6,(Z24-$B$6)*$H$6,0)</f>
        <v>0</v>
      </c>
      <c r="AA28" s="127">
        <v>0</v>
      </c>
      <c r="AB28" s="127">
        <f>IF(AB24&gt;$B$6,(AB24-$B$6)*$H$6,0)</f>
        <v>0</v>
      </c>
      <c r="AC28" s="127">
        <v>0</v>
      </c>
      <c r="AD28" s="127">
        <f>IF(AD24&gt;$B$6,(AD24-$B$6)*$H$6,0)</f>
        <v>0</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0</v>
      </c>
      <c r="C29" s="127">
        <v>0</v>
      </c>
      <c r="D29" s="127">
        <f>IF(D25&gt;$B$7,(D25-$B$7)*$H$7,0)</f>
        <v>0</v>
      </c>
      <c r="E29" s="127">
        <v>0</v>
      </c>
      <c r="F29" s="127">
        <f>IF(F25&gt;$B$7,(F25-$B$7)*$H$7,0)</f>
        <v>0</v>
      </c>
      <c r="G29" s="127">
        <v>0</v>
      </c>
      <c r="H29" s="127">
        <f>IF(H25&gt;$B$7,(H25-$B$7)*$H$7,0)</f>
        <v>0</v>
      </c>
      <c r="I29" s="127">
        <v>0</v>
      </c>
      <c r="J29" s="127">
        <f>IF(J25&gt;$B$7,(J25-$B$7)*$H$7,0)</f>
        <v>0</v>
      </c>
      <c r="K29" s="127">
        <v>0</v>
      </c>
      <c r="L29" s="127">
        <f>IF(L25&gt;$B$7,(L25-$B$7)*$H$7,0)</f>
        <v>0</v>
      </c>
      <c r="M29" s="127">
        <v>0</v>
      </c>
      <c r="N29" s="127">
        <f>IF(N25&gt;$B$7,(N25-$B$7)*$H$7,0)</f>
        <v>0</v>
      </c>
      <c r="O29" s="127">
        <v>0</v>
      </c>
      <c r="P29" s="127">
        <f>IF(P25&gt;$B$7,(P25-$B$7)*$H$7,0)</f>
        <v>0</v>
      </c>
      <c r="Q29" s="127">
        <v>0</v>
      </c>
      <c r="R29" s="127">
        <f>IF(R25&gt;$B$7,(R25-$B$7)*$H$7,0)</f>
        <v>0</v>
      </c>
      <c r="S29" s="127">
        <v>0</v>
      </c>
      <c r="T29" s="127">
        <f>IF(T25&gt;$B$7,(T25-$B$7)*$H$7,0)</f>
        <v>0</v>
      </c>
      <c r="U29" s="127">
        <v>0</v>
      </c>
      <c r="V29" s="127">
        <f>IF(V25&gt;$B$7,(V25-$B$7)*$H$7,0)</f>
        <v>0</v>
      </c>
      <c r="W29" s="127">
        <v>0</v>
      </c>
      <c r="X29" s="127">
        <f>IF(X25&gt;$B$7,(X25-$B$7)*$H$7,0)</f>
        <v>0</v>
      </c>
      <c r="Y29" s="127">
        <v>0</v>
      </c>
      <c r="Z29" s="127">
        <f>IF(Z25&gt;$B$7,(Z25-$B$7)*$H$7,0)</f>
        <v>0</v>
      </c>
      <c r="AA29" s="127">
        <v>0</v>
      </c>
      <c r="AB29" s="127">
        <f>IF(AB25&gt;$B$7,(AB25-$B$7)*$H$7,0)</f>
        <v>0</v>
      </c>
      <c r="AC29" s="127">
        <v>0</v>
      </c>
      <c r="AD29" s="127">
        <f>IF(AD25&gt;$B$7,(AD25-$B$7)*$H$7,0)</f>
        <v>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3425.8</v>
      </c>
      <c r="C30" s="121">
        <f t="shared" ref="C30:N30" si="12">B30</f>
        <v>3425.8</v>
      </c>
      <c r="D30" s="121">
        <f t="shared" si="12"/>
        <v>3425.8</v>
      </c>
      <c r="E30" s="121">
        <f t="shared" si="12"/>
        <v>3425.8</v>
      </c>
      <c r="F30" s="121">
        <f>E30</f>
        <v>3425.8</v>
      </c>
      <c r="G30" s="121">
        <f>F30</f>
        <v>3425.8</v>
      </c>
      <c r="H30" s="121">
        <f>G30</f>
        <v>3425.8</v>
      </c>
      <c r="I30" s="121">
        <f t="shared" si="12"/>
        <v>3425.8</v>
      </c>
      <c r="J30" s="121">
        <f t="shared" si="12"/>
        <v>3425.8</v>
      </c>
      <c r="K30" s="121">
        <f t="shared" si="12"/>
        <v>3425.8</v>
      </c>
      <c r="L30" s="121">
        <f t="shared" si="12"/>
        <v>3425.8</v>
      </c>
      <c r="M30" s="121">
        <f t="shared" si="12"/>
        <v>3425.8</v>
      </c>
      <c r="N30" s="121">
        <f t="shared" si="12"/>
        <v>3425.8</v>
      </c>
      <c r="O30" s="121">
        <f>N30</f>
        <v>3425.8</v>
      </c>
      <c r="P30" s="121">
        <f>O30</f>
        <v>3425.8</v>
      </c>
      <c r="Q30" s="121">
        <f>P30</f>
        <v>3425.8</v>
      </c>
      <c r="R30" s="121">
        <f t="shared" ref="R30:AD30" si="13">Q30</f>
        <v>3425.8</v>
      </c>
      <c r="S30" s="121">
        <f t="shared" si="13"/>
        <v>3425.8</v>
      </c>
      <c r="T30" s="121">
        <f t="shared" si="13"/>
        <v>3425.8</v>
      </c>
      <c r="U30" s="121">
        <f t="shared" si="13"/>
        <v>3425.8</v>
      </c>
      <c r="V30" s="121">
        <f t="shared" si="13"/>
        <v>3425.8</v>
      </c>
      <c r="W30" s="121">
        <f t="shared" si="13"/>
        <v>3425.8</v>
      </c>
      <c r="X30" s="121">
        <f t="shared" si="13"/>
        <v>3425.8</v>
      </c>
      <c r="Y30" s="121">
        <f t="shared" si="13"/>
        <v>3425.8</v>
      </c>
      <c r="Z30" s="121">
        <f t="shared" si="13"/>
        <v>3425.8</v>
      </c>
      <c r="AA30" s="121">
        <f t="shared" si="13"/>
        <v>3425.8</v>
      </c>
      <c r="AB30" s="121">
        <f t="shared" si="13"/>
        <v>3425.8</v>
      </c>
      <c r="AC30" s="121">
        <f t="shared" si="13"/>
        <v>3425.8</v>
      </c>
      <c r="AD30" s="121">
        <f t="shared" si="13"/>
        <v>3425.8</v>
      </c>
      <c r="AE30" s="121"/>
      <c r="AF30" s="121"/>
      <c r="AG30" s="121"/>
      <c r="AH30" s="121"/>
      <c r="AI30" s="121"/>
    </row>
    <row r="31" spans="1:37" s="383" customFormat="1" ht="12.75" x14ac:dyDescent="0.2">
      <c r="A31" s="381" t="s">
        <v>713</v>
      </c>
      <c r="B31" s="382">
        <f t="shared" ref="B31:M31" si="14">B26+B27+B28+B29-B30</f>
        <v>-3425.8</v>
      </c>
      <c r="C31" s="382">
        <f>C26+C27+C28+C29-C30</f>
        <v>-3425.8</v>
      </c>
      <c r="D31" s="382">
        <f t="shared" si="14"/>
        <v>-3425.8</v>
      </c>
      <c r="E31" s="382">
        <f t="shared" si="14"/>
        <v>-3425.8</v>
      </c>
      <c r="F31" s="382">
        <f>F26+F27+F28+F29-F30</f>
        <v>-3425.8</v>
      </c>
      <c r="G31" s="382">
        <f>G26+G27+G28+G29-G30</f>
        <v>-3425.8</v>
      </c>
      <c r="H31" s="382">
        <f>H26+H27+H28+H29-H30</f>
        <v>-3425.8</v>
      </c>
      <c r="I31" s="382">
        <f t="shared" si="14"/>
        <v>-3425.8</v>
      </c>
      <c r="J31" s="382">
        <f t="shared" si="14"/>
        <v>-3425.8</v>
      </c>
      <c r="K31" s="382">
        <f t="shared" si="14"/>
        <v>-3425.8</v>
      </c>
      <c r="L31" s="382">
        <f>L26+L27+L28+L29-L30</f>
        <v>-3425.8</v>
      </c>
      <c r="M31" s="382">
        <f t="shared" si="14"/>
        <v>-3425.8</v>
      </c>
      <c r="N31" s="382">
        <f t="shared" ref="N31:AD31" si="15">N26+N27+N28+N29-N30</f>
        <v>-3425.8</v>
      </c>
      <c r="O31" s="382">
        <f t="shared" si="15"/>
        <v>-3425.8</v>
      </c>
      <c r="P31" s="382">
        <f t="shared" si="15"/>
        <v>-3425.8</v>
      </c>
      <c r="Q31" s="382">
        <f t="shared" si="15"/>
        <v>-3425.8</v>
      </c>
      <c r="R31" s="382">
        <f t="shared" si="15"/>
        <v>-3425.8</v>
      </c>
      <c r="S31" s="382">
        <f t="shared" si="15"/>
        <v>-3425.8</v>
      </c>
      <c r="T31" s="382">
        <f t="shared" si="15"/>
        <v>-3425.8</v>
      </c>
      <c r="U31" s="382">
        <f t="shared" si="15"/>
        <v>-3425.8</v>
      </c>
      <c r="V31" s="382">
        <f t="shared" si="15"/>
        <v>-3425.8</v>
      </c>
      <c r="W31" s="382">
        <f t="shared" si="15"/>
        <v>-3425.8</v>
      </c>
      <c r="X31" s="382">
        <f t="shared" si="15"/>
        <v>-3425.8</v>
      </c>
      <c r="Y31" s="382">
        <f t="shared" si="15"/>
        <v>-3425.8</v>
      </c>
      <c r="Z31" s="382">
        <f t="shared" si="15"/>
        <v>-3425.8</v>
      </c>
      <c r="AA31" s="382">
        <f t="shared" si="15"/>
        <v>-3425.8</v>
      </c>
      <c r="AB31" s="382">
        <f t="shared" si="15"/>
        <v>-3425.8</v>
      </c>
      <c r="AC31" s="382">
        <f t="shared" si="15"/>
        <v>-3425.8</v>
      </c>
      <c r="AD31" s="382">
        <f t="shared" si="15"/>
        <v>-3425.8</v>
      </c>
      <c r="AE31" s="382"/>
      <c r="AF31" s="382"/>
      <c r="AG31" s="382"/>
      <c r="AH31" s="382"/>
      <c r="AI31" s="382"/>
    </row>
    <row r="32" spans="1:37" s="383" customFormat="1" ht="12.75" x14ac:dyDescent="0.2">
      <c r="A32" s="384" t="s">
        <v>714</v>
      </c>
      <c r="B32" s="382">
        <f>-B12-B11+B31</f>
        <v>-345030.8</v>
      </c>
      <c r="C32" s="382">
        <f t="shared" ref="C32:N32" si="16">B32+C31</f>
        <v>-348456.6</v>
      </c>
      <c r="D32" s="382">
        <f t="shared" si="16"/>
        <v>-351882.39999999997</v>
      </c>
      <c r="E32" s="382">
        <f t="shared" si="16"/>
        <v>-355308.19999999995</v>
      </c>
      <c r="F32" s="382">
        <f>E32+F31</f>
        <v>-358733.99999999994</v>
      </c>
      <c r="G32" s="382">
        <f>F32+G31</f>
        <v>-362159.79999999993</v>
      </c>
      <c r="H32" s="382">
        <f>G32+H31</f>
        <v>-365585.59999999992</v>
      </c>
      <c r="I32" s="382">
        <f t="shared" si="16"/>
        <v>-369011.39999999991</v>
      </c>
      <c r="J32" s="382">
        <f t="shared" si="16"/>
        <v>-372437.1999999999</v>
      </c>
      <c r="K32" s="382">
        <f t="shared" si="16"/>
        <v>-375862.99999999988</v>
      </c>
      <c r="L32" s="382">
        <f t="shared" si="16"/>
        <v>-379288.79999999987</v>
      </c>
      <c r="M32" s="382">
        <f t="shared" si="16"/>
        <v>-382714.59999999986</v>
      </c>
      <c r="N32" s="382">
        <f t="shared" si="16"/>
        <v>-386140.39999999985</v>
      </c>
      <c r="O32" s="382">
        <f t="shared" ref="O32:AD32" si="17">N32+O31</f>
        <v>-389566.19999999984</v>
      </c>
      <c r="P32" s="382">
        <f t="shared" si="17"/>
        <v>-392991.99999999983</v>
      </c>
      <c r="Q32" s="382">
        <f t="shared" si="17"/>
        <v>-396417.79999999981</v>
      </c>
      <c r="R32" s="382">
        <f t="shared" si="17"/>
        <v>-399843.5999999998</v>
      </c>
      <c r="S32" s="382">
        <f t="shared" si="17"/>
        <v>-403269.39999999979</v>
      </c>
      <c r="T32" s="382">
        <f t="shared" si="17"/>
        <v>-406695.19999999978</v>
      </c>
      <c r="U32" s="382">
        <f t="shared" si="17"/>
        <v>-410120.99999999977</v>
      </c>
      <c r="V32" s="382">
        <f t="shared" si="17"/>
        <v>-413546.79999999976</v>
      </c>
      <c r="W32" s="382">
        <f t="shared" si="17"/>
        <v>-416972.59999999974</v>
      </c>
      <c r="X32" s="382">
        <f t="shared" si="17"/>
        <v>-420398.39999999973</v>
      </c>
      <c r="Y32" s="382">
        <f t="shared" si="17"/>
        <v>-423824.19999999972</v>
      </c>
      <c r="Z32" s="382">
        <f t="shared" si="17"/>
        <v>-427249.99999999971</v>
      </c>
      <c r="AA32" s="382">
        <f t="shared" si="17"/>
        <v>-430675.7999999997</v>
      </c>
      <c r="AB32" s="382">
        <f t="shared" si="17"/>
        <v>-434101.59999999969</v>
      </c>
      <c r="AC32" s="382">
        <f t="shared" si="17"/>
        <v>-437527.39999999967</v>
      </c>
      <c r="AD32" s="382">
        <f t="shared" si="17"/>
        <v>-440953.19999999966</v>
      </c>
      <c r="AE32" s="382"/>
      <c r="AF32" s="382"/>
      <c r="AG32" s="382"/>
      <c r="AH32" s="382"/>
      <c r="AI32" s="382"/>
    </row>
    <row r="33" spans="1:35" x14ac:dyDescent="0.25">
      <c r="B33" s="129">
        <f>B32/$B$13</f>
        <v>-1.0100285417368013</v>
      </c>
      <c r="C33" s="129">
        <f t="shared" ref="C33:AD33" si="18">C32/$B$13</f>
        <v>-1.0200570834736025</v>
      </c>
      <c r="D33" s="129">
        <f t="shared" si="18"/>
        <v>-1.0300856252104038</v>
      </c>
      <c r="E33" s="129">
        <f t="shared" si="18"/>
        <v>-1.0401141669472049</v>
      </c>
      <c r="F33" s="129">
        <f t="shared" si="18"/>
        <v>-1.0501427086840063</v>
      </c>
      <c r="G33" s="129">
        <f t="shared" si="18"/>
        <v>-1.0601712504208074</v>
      </c>
      <c r="H33" s="129">
        <f t="shared" si="18"/>
        <v>-1.0701997921576087</v>
      </c>
      <c r="I33" s="129">
        <f t="shared" si="18"/>
        <v>-1.0802283338944099</v>
      </c>
      <c r="J33" s="129">
        <f t="shared" si="18"/>
        <v>-1.0902568756312112</v>
      </c>
      <c r="K33" s="129">
        <f t="shared" si="18"/>
        <v>-1.1002854173680123</v>
      </c>
      <c r="L33" s="129">
        <f t="shared" si="18"/>
        <v>-1.1103139591048137</v>
      </c>
      <c r="M33" s="129">
        <f t="shared" si="18"/>
        <v>-1.1203425008416148</v>
      </c>
      <c r="N33" s="129">
        <f t="shared" si="18"/>
        <v>-1.1303710425784161</v>
      </c>
      <c r="O33" s="129">
        <f t="shared" si="18"/>
        <v>-1.1403995843152175</v>
      </c>
      <c r="P33" s="129">
        <f t="shared" si="18"/>
        <v>-1.1504281260520186</v>
      </c>
      <c r="Q33" s="129">
        <f t="shared" si="18"/>
        <v>-1.16045666778882</v>
      </c>
      <c r="R33" s="129">
        <f t="shared" si="18"/>
        <v>-1.1704852095256211</v>
      </c>
      <c r="S33" s="129">
        <f t="shared" si="18"/>
        <v>-1.1805137512624224</v>
      </c>
      <c r="T33" s="129">
        <f t="shared" si="18"/>
        <v>-1.1905422929992235</v>
      </c>
      <c r="U33" s="129">
        <f t="shared" si="18"/>
        <v>-1.2005708347360249</v>
      </c>
      <c r="V33" s="129">
        <f t="shared" si="18"/>
        <v>-1.210599376472826</v>
      </c>
      <c r="W33" s="129">
        <f t="shared" si="18"/>
        <v>-1.2206279182096273</v>
      </c>
      <c r="X33" s="129">
        <f t="shared" si="18"/>
        <v>-1.2306564599464285</v>
      </c>
      <c r="Y33" s="129">
        <f t="shared" si="18"/>
        <v>-1.2406850016832298</v>
      </c>
      <c r="Z33" s="129">
        <f t="shared" si="18"/>
        <v>-1.2507135434200312</v>
      </c>
      <c r="AA33" s="129">
        <f t="shared" si="18"/>
        <v>-1.2607420851568323</v>
      </c>
      <c r="AB33" s="129">
        <f t="shared" si="18"/>
        <v>-1.2707706268936336</v>
      </c>
      <c r="AC33" s="129">
        <f t="shared" si="18"/>
        <v>-1.2807991686304347</v>
      </c>
      <c r="AD33" s="129">
        <f t="shared" si="18"/>
        <v>-1.2908277103672361</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43627</v>
      </c>
    </row>
    <row r="4" spans="1:17" x14ac:dyDescent="0.25">
      <c r="A4">
        <v>-124219</v>
      </c>
      <c r="P4" s="48">
        <f ca="1">P3-P2</f>
        <v>4688</v>
      </c>
      <c r="Q4" s="48" t="s">
        <v>1599</v>
      </c>
    </row>
    <row r="5" spans="1:17" x14ac:dyDescent="0.25">
      <c r="P5" s="422">
        <f ca="1">P4/365</f>
        <v>12.843835616438357</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xr:uid="{00000000-0004-0000-2A00-000000000000}"/>
    <hyperlink ref="A20" r:id="rId2" display="http://www88.hattrick.org/Club/Matches/Archive.aspx?season=40&amp;TeamID=124219&amp;actiontype=viewcup" xr:uid="{00000000-0004-0000-2A00-000001000000}"/>
    <hyperlink ref="A24" r:id="rId3" display="http://www88.hattrick.org/Club/Matches/Archive.aspx?season=39&amp;TeamID=124219&amp;actiontype=viewcup" xr:uid="{00000000-0004-0000-2A00-000002000000}"/>
    <hyperlink ref="A28" r:id="rId4" display="http://www88.hattrick.org/Club/Matches/Archive.aspx?season=38&amp;TeamID=124219&amp;actiontype=viewcup" xr:uid="{00000000-0004-0000-2A00-000003000000}"/>
    <hyperlink ref="A32" r:id="rId5" display="http://www88.hattrick.org/Club/Matches/Archive.aspx?season=37&amp;TeamID=124219&amp;actiontype=viewcup" xr:uid="{00000000-0004-0000-2A00-000004000000}"/>
    <hyperlink ref="A36" r:id="rId6" display="http://www88.hattrick.org/Club/Matches/Archive.aspx?season=36&amp;TeamID=124219&amp;actiontype=viewcup" xr:uid="{00000000-0004-0000-2A00-000005000000}"/>
    <hyperlink ref="A40" r:id="rId7" display="http://www88.hattrick.org/Club/Matches/Archive.aspx?season=35&amp;TeamID=124219&amp;actiontype=viewcup" xr:uid="{00000000-0004-0000-2A00-000006000000}"/>
    <hyperlink ref="A52" r:id="rId8" tooltip="inca11" display="http://www88.hattrick.org/Club/Manager/?userId=4991317" xr:uid="{00000000-0004-0000-2A00-000007000000}"/>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43627</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-1397</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-1408</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-1369</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-1398</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-1402</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-1438</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-1354</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-1434</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-1375</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-1384</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-1365</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-1357</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-1365</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-1439</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-1436</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-1367</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xr:uid="{00000000-0009-0000-0000-00002F000000}"/>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6" t="s">
        <v>1245</v>
      </c>
      <c r="B1" s="776"/>
      <c r="C1" s="776"/>
      <c r="D1" s="776"/>
      <c r="E1" s="776"/>
      <c r="F1" s="776"/>
      <c r="G1" s="776"/>
      <c r="H1" s="776"/>
      <c r="I1" s="776"/>
      <c r="J1" s="776"/>
      <c r="K1" s="776"/>
      <c r="L1" s="776"/>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7" t="s">
        <v>1491</v>
      </c>
      <c r="B3" s="777"/>
      <c r="C3" s="777"/>
      <c r="D3" s="777"/>
      <c r="E3" s="448"/>
      <c r="F3" s="448"/>
      <c r="G3" s="448"/>
      <c r="H3" s="775" t="s">
        <v>1687</v>
      </c>
      <c r="I3" s="775"/>
      <c r="J3" s="448"/>
      <c r="K3" s="448"/>
      <c r="L3" s="448"/>
      <c r="M3" s="448"/>
      <c r="O3" s="775" t="s">
        <v>1687</v>
      </c>
      <c r="P3" s="775"/>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9" t="s">
        <v>43</v>
      </c>
      <c r="C59" s="104" t="s">
        <v>44</v>
      </c>
      <c r="D59" s="780" t="s">
        <v>45</v>
      </c>
      <c r="E59" s="780" t="s">
        <v>45</v>
      </c>
      <c r="F59" s="105" t="s">
        <v>46</v>
      </c>
      <c r="H59" s="99" t="s">
        <v>625</v>
      </c>
    </row>
    <row r="60" spans="1:23" ht="23.25" x14ac:dyDescent="0.25">
      <c r="A60" s="106">
        <v>18</v>
      </c>
      <c r="B60" s="779"/>
      <c r="C60" s="104" t="s">
        <v>298</v>
      </c>
      <c r="D60" s="780"/>
      <c r="E60" s="780"/>
      <c r="F60" s="105" t="s">
        <v>299</v>
      </c>
      <c r="H60" s="100" t="s">
        <v>628</v>
      </c>
    </row>
    <row r="61" spans="1:23" x14ac:dyDescent="0.25">
      <c r="A61" s="103">
        <v>19</v>
      </c>
      <c r="B61" s="779"/>
      <c r="C61" s="107"/>
      <c r="D61" s="780"/>
      <c r="E61" s="780"/>
      <c r="F61" s="108"/>
      <c r="H61" s="100" t="s">
        <v>629</v>
      </c>
      <c r="I61" s="100"/>
    </row>
    <row r="62" spans="1:23" x14ac:dyDescent="0.25">
      <c r="A62" s="106">
        <v>20</v>
      </c>
      <c r="B62" s="779"/>
      <c r="C62" s="105" t="s">
        <v>45</v>
      </c>
      <c r="D62" s="781" t="s">
        <v>46</v>
      </c>
      <c r="E62" s="105" t="s">
        <v>46</v>
      </c>
      <c r="F62" s="108"/>
      <c r="H62" s="100" t="s">
        <v>620</v>
      </c>
    </row>
    <row r="63" spans="1:23" ht="23.25" x14ac:dyDescent="0.25">
      <c r="A63" s="103">
        <v>21</v>
      </c>
      <c r="B63" s="782" t="s">
        <v>44</v>
      </c>
      <c r="C63" s="105" t="s">
        <v>300</v>
      </c>
      <c r="D63" s="781"/>
      <c r="E63" s="105" t="s">
        <v>299</v>
      </c>
      <c r="F63" s="108"/>
      <c r="H63" s="100" t="s">
        <v>621</v>
      </c>
    </row>
    <row r="64" spans="1:23" x14ac:dyDescent="0.25">
      <c r="A64" s="106">
        <v>22</v>
      </c>
      <c r="B64" s="782"/>
      <c r="C64" s="108"/>
      <c r="D64" s="781"/>
      <c r="E64" s="108"/>
      <c r="F64" s="108"/>
      <c r="H64" s="100" t="s">
        <v>622</v>
      </c>
    </row>
    <row r="65" spans="1:8" x14ac:dyDescent="0.25">
      <c r="A65" s="103">
        <v>23</v>
      </c>
      <c r="B65" s="782"/>
      <c r="C65" s="108"/>
      <c r="D65" s="781"/>
      <c r="E65" s="108"/>
      <c r="F65" s="108"/>
      <c r="H65" s="100"/>
    </row>
    <row r="66" spans="1:8" x14ac:dyDescent="0.25">
      <c r="A66" s="106">
        <v>24</v>
      </c>
      <c r="B66" s="782"/>
      <c r="C66" s="108"/>
      <c r="D66" s="781"/>
      <c r="E66" s="108"/>
      <c r="F66" s="108"/>
      <c r="H66" s="98" t="s">
        <v>623</v>
      </c>
    </row>
    <row r="67" spans="1:8" x14ac:dyDescent="0.25">
      <c r="A67" s="103">
        <v>25</v>
      </c>
      <c r="B67" s="782"/>
      <c r="C67" s="108"/>
      <c r="D67" s="780" t="s">
        <v>45</v>
      </c>
      <c r="E67" s="108"/>
      <c r="F67" s="108"/>
      <c r="H67" s="100" t="s">
        <v>624</v>
      </c>
    </row>
    <row r="68" spans="1:8" x14ac:dyDescent="0.25">
      <c r="A68" s="106">
        <v>26</v>
      </c>
      <c r="B68" s="782"/>
      <c r="C68" s="780" t="s">
        <v>45</v>
      </c>
      <c r="D68" s="780"/>
      <c r="E68" s="108"/>
      <c r="F68" s="108"/>
    </row>
    <row r="69" spans="1:8" x14ac:dyDescent="0.25">
      <c r="A69" s="103">
        <v>27</v>
      </c>
      <c r="B69" s="779" t="s">
        <v>43</v>
      </c>
      <c r="C69" s="780"/>
      <c r="D69" s="780"/>
      <c r="E69" s="108"/>
      <c r="F69" s="108"/>
    </row>
    <row r="70" spans="1:8" x14ac:dyDescent="0.25">
      <c r="A70" s="106">
        <v>28</v>
      </c>
      <c r="B70" s="779"/>
      <c r="C70" s="782" t="s">
        <v>44</v>
      </c>
      <c r="D70" s="780"/>
      <c r="E70" s="108"/>
      <c r="F70" s="108"/>
      <c r="H70" t="s">
        <v>630</v>
      </c>
    </row>
    <row r="71" spans="1:8" x14ac:dyDescent="0.25">
      <c r="A71" s="103">
        <v>29</v>
      </c>
      <c r="B71" s="779"/>
      <c r="C71" s="782"/>
      <c r="D71" s="780"/>
      <c r="E71" s="108"/>
      <c r="F71" s="108"/>
    </row>
    <row r="72" spans="1:8" x14ac:dyDescent="0.25">
      <c r="A72" s="106">
        <v>30</v>
      </c>
      <c r="B72" s="779"/>
      <c r="C72" s="782"/>
      <c r="D72" s="782" t="s">
        <v>44</v>
      </c>
      <c r="E72" s="108"/>
      <c r="F72" s="108"/>
      <c r="H72" t="s">
        <v>631</v>
      </c>
    </row>
    <row r="73" spans="1:8" x14ac:dyDescent="0.25">
      <c r="A73" s="103">
        <v>31</v>
      </c>
      <c r="B73" s="779"/>
      <c r="C73" s="782"/>
      <c r="D73" s="782"/>
      <c r="E73" s="105" t="s">
        <v>45</v>
      </c>
      <c r="F73" s="108"/>
    </row>
    <row r="74" spans="1:8" ht="23.25" x14ac:dyDescent="0.25">
      <c r="A74" s="106">
        <v>32</v>
      </c>
      <c r="B74" s="779"/>
      <c r="C74" s="782"/>
      <c r="D74" s="782"/>
      <c r="E74" s="105" t="s">
        <v>300</v>
      </c>
      <c r="F74" s="108"/>
      <c r="H74" t="s">
        <v>632</v>
      </c>
    </row>
    <row r="75" spans="1:8" ht="23.25" x14ac:dyDescent="0.25">
      <c r="A75" s="103">
        <v>33</v>
      </c>
      <c r="B75" s="779"/>
      <c r="C75" s="779" t="s">
        <v>43</v>
      </c>
      <c r="D75" s="782"/>
      <c r="E75" s="104" t="s">
        <v>44</v>
      </c>
      <c r="F75" s="104" t="s">
        <v>44</v>
      </c>
    </row>
    <row r="76" spans="1:8" x14ac:dyDescent="0.25">
      <c r="A76" s="106">
        <v>34</v>
      </c>
      <c r="B76" s="783" t="s">
        <v>301</v>
      </c>
      <c r="C76" s="779"/>
      <c r="D76" s="782"/>
      <c r="E76" s="104" t="s">
        <v>298</v>
      </c>
      <c r="F76" s="104" t="s">
        <v>298</v>
      </c>
      <c r="H76" t="s">
        <v>633</v>
      </c>
    </row>
    <row r="77" spans="1:8" x14ac:dyDescent="0.25">
      <c r="A77" s="103">
        <v>35</v>
      </c>
      <c r="B77" s="783"/>
      <c r="C77" s="783" t="s">
        <v>301</v>
      </c>
      <c r="D77" s="779" t="s">
        <v>43</v>
      </c>
      <c r="E77" s="779" t="s">
        <v>43</v>
      </c>
      <c r="F77" s="107"/>
    </row>
    <row r="78" spans="1:8" ht="23.25" x14ac:dyDescent="0.25">
      <c r="A78" s="106">
        <v>36</v>
      </c>
      <c r="B78" s="783"/>
      <c r="C78" s="783"/>
      <c r="D78" s="779"/>
      <c r="E78" s="779"/>
      <c r="F78" s="109" t="s">
        <v>43</v>
      </c>
      <c r="H78" t="s">
        <v>634</v>
      </c>
    </row>
    <row r="79" spans="1:8" x14ac:dyDescent="0.25">
      <c r="A79" s="778" t="s">
        <v>627</v>
      </c>
      <c r="B79" s="778"/>
      <c r="C79" s="778"/>
      <c r="D79" s="778"/>
      <c r="E79" s="778"/>
      <c r="F79" s="778"/>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xr:uid="{00000000-0004-0000-3200-000000000000}"/>
    <hyperlink ref="A185" r:id="rId2" tooltip="http://docs.google.com/Doc?docid=0AWl8cQ9-H8RZZDg5Zjg1cV8xMjRka3F2dGQ2&amp;hl=es" display="http://docs.google.com/Doc?docid=0AWl8cQ9-H8RZZDg5Zjg1cV8xMjRka3F2dGQ2&amp;hl=es" xr:uid="{00000000-0004-0000-3200-000001000000}"/>
    <hyperlink ref="G2" r:id="rId3" tooltip="/Help/Rules/PlayerAttributes.aspx" display="http://www74.hattrick.org/Help/Rules/PlayerAttributes.aspx" xr:uid="{00000000-0004-0000-3200-000002000000}"/>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xr:uid="{00000000-0004-0000-3300-000000000000}"/>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4" t="s">
        <v>596</v>
      </c>
      <c r="B2" s="784"/>
      <c r="C2" s="784"/>
      <c r="D2" s="784"/>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2794</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3.8790712759165182</v>
      </c>
      <c r="E24" s="110">
        <v>154</v>
      </c>
      <c r="F24" s="112">
        <f t="shared" si="1"/>
        <v>0.60695448343882286</v>
      </c>
      <c r="G24" s="49" t="s">
        <v>663</v>
      </c>
      <c r="H24" s="113">
        <f t="shared" si="0"/>
        <v>12.139089668776457</v>
      </c>
      <c r="J24" s="39" t="s">
        <v>221</v>
      </c>
    </row>
    <row r="25" spans="1:10" x14ac:dyDescent="0.25">
      <c r="B25" s="63">
        <f ca="1">B24*20</f>
        <v>77.581425518330363</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xr:uid="{00000000-0004-0000-3600-000000000000}"/>
    <hyperlink ref="A4" r:id="rId2" tooltip="‭(11886114.176)‬" display="http://www77.hattrick.org/Forum/Read.aspx?t=11886114&amp;n=176&amp;v=0&amp;mr=0" xr:uid="{00000000-0004-0000-3600-000001000000}"/>
    <hyperlink ref="A5" r:id="rId3" tooltip="‭(11886114.200)‬" display="http://www77.hattrick.org/Forum/Read.aspx?t=11886114&amp;n=200&amp;v=0&amp;mr=0" xr:uid="{00000000-0004-0000-3600-000002000000}"/>
    <hyperlink ref="A6" r:id="rId4" tooltip="‭(11886114.145)‬" display="http://www77.hattrick.org/Forum/Read.aspx?t=11886114&amp;n=145&amp;v=0&amp;mr=0" xr:uid="{00000000-0004-0000-3600-000003000000}"/>
    <hyperlink ref="A7" r:id="rId5" tooltip="‭(11886114.198)‬" display="http://www77.hattrick.org/Forum/Read.aspx?t=11886114&amp;n=198&amp;v=0&amp;mr=0" xr:uid="{00000000-0004-0000-3600-00000400000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2"/>
      <c r="B2" s="702"/>
      <c r="C2" s="702" t="s">
        <v>2272</v>
      </c>
      <c r="D2" s="702"/>
      <c r="E2" s="702"/>
    </row>
    <row r="3" spans="1:5" x14ac:dyDescent="0.25">
      <c r="A3" s="702"/>
      <c r="B3" s="702"/>
      <c r="C3" s="702"/>
      <c r="D3" s="702"/>
      <c r="E3" s="702"/>
    </row>
    <row r="4" spans="1:5" x14ac:dyDescent="0.25">
      <c r="A4" s="702" t="s">
        <v>56</v>
      </c>
      <c r="B4" s="702" t="s">
        <v>2606</v>
      </c>
      <c r="C4" s="702" t="s">
        <v>2606</v>
      </c>
      <c r="D4" s="702" t="s">
        <v>2606</v>
      </c>
      <c r="E4" s="702" t="s">
        <v>56</v>
      </c>
    </row>
    <row r="5" spans="1:5" x14ac:dyDescent="0.25">
      <c r="A5" s="702">
        <f>A8/5</f>
        <v>0.1</v>
      </c>
      <c r="B5" s="702">
        <f>B8/5</f>
        <v>0.1</v>
      </c>
      <c r="C5" s="702">
        <f>C8/5</f>
        <v>0.1</v>
      </c>
      <c r="D5" s="702">
        <f>D8/5</f>
        <v>0.1</v>
      </c>
      <c r="E5" s="702">
        <f>E8/5</f>
        <v>0.1</v>
      </c>
    </row>
    <row r="6" spans="1:5" x14ac:dyDescent="0.25">
      <c r="A6" s="702"/>
      <c r="B6" s="702"/>
      <c r="C6" s="702"/>
      <c r="D6" s="702"/>
      <c r="E6" s="702"/>
    </row>
    <row r="7" spans="1:5" x14ac:dyDescent="0.25">
      <c r="A7" s="702" t="s">
        <v>483</v>
      </c>
      <c r="B7" s="702" t="s">
        <v>2607</v>
      </c>
      <c r="C7" s="702" t="s">
        <v>2607</v>
      </c>
      <c r="D7" s="702" t="s">
        <v>2607</v>
      </c>
      <c r="E7" s="702" t="s">
        <v>483</v>
      </c>
    </row>
    <row r="8" spans="1:5" x14ac:dyDescent="0.25">
      <c r="A8" s="702">
        <f>B11/2</f>
        <v>0.5</v>
      </c>
      <c r="B8" s="702">
        <f>B11/2</f>
        <v>0.5</v>
      </c>
      <c r="C8" s="702">
        <f>C11/2</f>
        <v>0.5</v>
      </c>
      <c r="D8" s="702">
        <f>D11/2</f>
        <v>0.5</v>
      </c>
      <c r="E8" s="702">
        <f>D11/2</f>
        <v>0.5</v>
      </c>
    </row>
    <row r="9" spans="1:5" x14ac:dyDescent="0.25">
      <c r="A9" s="702"/>
      <c r="B9" s="702"/>
      <c r="C9" s="702"/>
      <c r="D9" s="702"/>
      <c r="E9" s="702"/>
    </row>
    <row r="10" spans="1:5" x14ac:dyDescent="0.25">
      <c r="A10" s="702"/>
      <c r="B10" s="702" t="s">
        <v>480</v>
      </c>
      <c r="C10" s="702" t="s">
        <v>480</v>
      </c>
      <c r="D10" s="702" t="s">
        <v>480</v>
      </c>
      <c r="E10" s="702"/>
    </row>
    <row r="11" spans="1:5" x14ac:dyDescent="0.25">
      <c r="A11" s="702"/>
      <c r="B11" s="702">
        <v>1</v>
      </c>
      <c r="C11" s="702">
        <v>1</v>
      </c>
      <c r="D11" s="702">
        <v>1</v>
      </c>
      <c r="E11" s="70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xr:uid="{00000000-0004-0000-3800-000000000000}"/>
    <hyperlink ref="A56" r:id="rId2" tooltip="‭(14286771.17)‬" display="http://www78.hattrick.org/Forum/Read.aspx?t=14286771&amp;n=17&amp;v=0&amp;mr=0" xr:uid="{00000000-0004-0000-3800-000001000000}"/>
    <hyperlink ref="A69" r:id="rId3" tooltip="‭(14286771.20)‬" display="http://www78.hattrick.org/Forum/Read.aspx?t=14286771&amp;n=20&amp;v=0&amp;mr=0" xr:uid="{00000000-0004-0000-3800-000002000000}"/>
    <hyperlink ref="A75" r:id="rId4" tooltip="‭(14286771.15)‬" display="http://www78.hattrick.org/Forum/Read.aspx?t=14286771&amp;n=15&amp;v=0&amp;mr=0" xr:uid="{00000000-0004-0000-3800-000003000000}"/>
    <hyperlink ref="A76" r:id="rId5" tooltip="‭(14286771.16)‬" display="http://www78.hattrick.org/Forum/Read.aspx?t=14286771&amp;n=16&amp;v=0&amp;mr=0" xr:uid="{00000000-0004-0000-3800-000004000000}"/>
    <hyperlink ref="A77" r:id="rId6" tooltip="‭(14286771.19)‬" display="http://www78.hattrick.org/Forum/Read.aspx?t=14286771&amp;n=19&amp;v=0&amp;mr=0" xr:uid="{00000000-0004-0000-3800-000005000000}"/>
    <hyperlink ref="A78" r:id="rId7" tooltip="‭(14286771.21)‬" display="http://www78.hattrick.org/Forum/Read.aspx?t=14286771&amp;n=21&amp;v=0&amp;mr=0" xr:uid="{00000000-0004-0000-3800-000006000000}"/>
    <hyperlink ref="A79" r:id="rId8" tooltip="‭(14286771.22)‬" display="http://www78.hattrick.org/Forum/Read.aspx?t=14286771&amp;n=22&amp;v=0&amp;mr=0" xr:uid="{00000000-0004-0000-3800-000007000000}"/>
    <hyperlink ref="A80" r:id="rId9" tooltip="‭(14286771.23)‬" display="http://www78.hattrick.org/Forum/Read.aspx?t=14286771&amp;n=23&amp;v=0&amp;mr=0" xr:uid="{00000000-0004-0000-3800-000008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5" t="s">
        <v>1718</v>
      </c>
      <c r="K8" s="785"/>
      <c r="L8" s="785"/>
      <c r="M8" s="785"/>
      <c r="N8" s="785"/>
      <c r="O8" s="368" t="s">
        <v>690</v>
      </c>
      <c r="P8" s="368" t="s">
        <v>688</v>
      </c>
    </row>
    <row r="9" spans="1:16" x14ac:dyDescent="0.25">
      <c r="A9" t="s">
        <v>826</v>
      </c>
      <c r="F9" s="172" t="s">
        <v>833</v>
      </c>
      <c r="G9" s="172">
        <v>231</v>
      </c>
      <c r="J9" s="785" t="s">
        <v>471</v>
      </c>
      <c r="K9" s="320">
        <v>9.5</v>
      </c>
      <c r="L9" s="191">
        <v>9.75</v>
      </c>
      <c r="M9" s="320">
        <v>10.76</v>
      </c>
      <c r="N9" s="191">
        <v>11</v>
      </c>
      <c r="O9" s="400">
        <f>(N9-K9)/K9</f>
        <v>0.15789473684210525</v>
      </c>
      <c r="P9" s="51">
        <f>(M9-L9)/L9</f>
        <v>0.10358974358974357</v>
      </c>
    </row>
    <row r="10" spans="1:16" x14ac:dyDescent="0.25">
      <c r="F10" s="172" t="s">
        <v>834</v>
      </c>
      <c r="G10" s="172">
        <v>129</v>
      </c>
      <c r="J10" s="785"/>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5"/>
      <c r="K11" s="320">
        <v>14</v>
      </c>
      <c r="L11" s="191">
        <v>14.25</v>
      </c>
      <c r="M11" s="320">
        <v>16.25</v>
      </c>
      <c r="N11" s="191">
        <v>16.5</v>
      </c>
      <c r="O11" s="51">
        <f t="shared" si="0"/>
        <v>0.17857142857142858</v>
      </c>
      <c r="P11" s="400">
        <f t="shared" si="1"/>
        <v>0.14035087719298245</v>
      </c>
    </row>
    <row r="12" spans="1:16" x14ac:dyDescent="0.25">
      <c r="F12" s="172" t="s">
        <v>836</v>
      </c>
      <c r="G12" s="172">
        <v>185</v>
      </c>
      <c r="J12" s="785" t="s">
        <v>1719</v>
      </c>
      <c r="K12" s="320">
        <v>9.76</v>
      </c>
      <c r="L12" s="191">
        <v>10</v>
      </c>
      <c r="M12" s="320">
        <v>6.75</v>
      </c>
      <c r="N12" s="191">
        <v>7</v>
      </c>
      <c r="O12" s="51">
        <f t="shared" si="0"/>
        <v>-0.28278688524590162</v>
      </c>
      <c r="P12" s="400">
        <f t="shared" si="1"/>
        <v>-0.32500000000000001</v>
      </c>
    </row>
    <row r="13" spans="1:16" x14ac:dyDescent="0.25">
      <c r="F13" s="172" t="s">
        <v>837</v>
      </c>
      <c r="G13" s="172">
        <v>162</v>
      </c>
      <c r="J13" s="785"/>
      <c r="K13" s="320">
        <v>3</v>
      </c>
      <c r="L13" s="191">
        <v>3.25</v>
      </c>
      <c r="M13" s="320">
        <v>2</v>
      </c>
      <c r="N13" s="191">
        <v>2.25</v>
      </c>
      <c r="O13" s="400">
        <f t="shared" si="0"/>
        <v>-0.25</v>
      </c>
      <c r="P13" s="51">
        <f t="shared" si="1"/>
        <v>-0.38461538461538464</v>
      </c>
    </row>
    <row r="14" spans="1:16" x14ac:dyDescent="0.25">
      <c r="A14" t="s">
        <v>827</v>
      </c>
      <c r="F14" s="172" t="s">
        <v>838</v>
      </c>
      <c r="G14" s="172">
        <v>141</v>
      </c>
      <c r="J14" s="785"/>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8" t="s">
        <v>884</v>
      </c>
      <c r="C2" s="788"/>
      <c r="D2" s="788"/>
      <c r="E2" s="788"/>
      <c r="F2" t="s">
        <v>1040</v>
      </c>
      <c r="G2"/>
      <c r="H2"/>
      <c r="I2"/>
    </row>
    <row r="3" spans="2:9" x14ac:dyDescent="0.25">
      <c r="B3" s="786" t="s">
        <v>286</v>
      </c>
      <c r="C3" s="787" t="s">
        <v>885</v>
      </c>
      <c r="D3" s="787" t="s">
        <v>886</v>
      </c>
      <c r="E3" s="787" t="s">
        <v>887</v>
      </c>
      <c r="F3" t="s">
        <v>1041</v>
      </c>
    </row>
    <row r="4" spans="2:9" x14ac:dyDescent="0.25">
      <c r="B4" s="786"/>
      <c r="C4" s="787"/>
      <c r="D4" s="787"/>
      <c r="E4" s="787"/>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xr:uid="{00000000-0004-0000-3B00-000000000000}"/>
    <hyperlink ref="F85" r:id="rId2" location="105" tooltip="http://www.hattrickinfo.com/en/coach/106/#105" display="http://www.hattrickinfo.com/en/coach/106/ - 105" xr:uid="{00000000-0004-0000-3B00-000001000000}"/>
    <hyperlink ref="F97" r:id="rId3" tooltip="‭(15172393.17)‬" display="http://www75.hattrick.org/Forum/Read.aspx?t=15172393&amp;n=17&amp;v=0&amp;mr=0" xr:uid="{00000000-0004-0000-3B00-00000200000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5"/>
      <c r="K2" s="695"/>
    </row>
    <row r="3" spans="1:18" x14ac:dyDescent="0.25">
      <c r="A3" s="695"/>
      <c r="K3" s="695"/>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6">
        <f>1/B17+1/C17</f>
        <v>6.2965539127933729E-3</v>
      </c>
      <c r="H17" s="696">
        <f>1/F17+1/D17+1/E17</f>
        <v>2.4723741973102541E-4</v>
      </c>
      <c r="I17" s="633"/>
      <c r="J17" s="633"/>
      <c r="K17" s="633" t="s">
        <v>2561</v>
      </c>
      <c r="L17">
        <v>92</v>
      </c>
      <c r="M17">
        <v>17</v>
      </c>
      <c r="N17">
        <v>3727</v>
      </c>
      <c r="O17">
        <v>227</v>
      </c>
      <c r="P17">
        <v>3899</v>
      </c>
      <c r="Q17" s="696">
        <f>1/L17+1/M17</f>
        <v>6.9693094629156016E-2</v>
      </c>
      <c r="R17" s="696">
        <f>1/P17+1/N17+1/O17</f>
        <v>4.9300746786397958E-3</v>
      </c>
    </row>
    <row r="18" spans="1:18" x14ac:dyDescent="0.25">
      <c r="A18" t="s">
        <v>2554</v>
      </c>
      <c r="B18">
        <v>60.4</v>
      </c>
      <c r="C18">
        <v>78.099999999999994</v>
      </c>
      <c r="D18">
        <v>3663.1</v>
      </c>
      <c r="E18">
        <v>2641.4</v>
      </c>
      <c r="F18">
        <v>1166.9000000000001</v>
      </c>
      <c r="G18" s="696">
        <f t="shared" ref="G18:G21" si="0">1/B18+1/C18</f>
        <v>2.9360388701868044E-2</v>
      </c>
      <c r="H18" s="696">
        <f t="shared" ref="H18:H21" si="1">1/F18+1/D18+1/E18</f>
        <v>1.5085513960337905E-3</v>
      </c>
      <c r="I18" s="633"/>
      <c r="J18" s="633"/>
      <c r="K18" s="633" t="s">
        <v>2562</v>
      </c>
      <c r="L18">
        <v>79</v>
      </c>
      <c r="M18">
        <v>333</v>
      </c>
      <c r="N18">
        <v>14360</v>
      </c>
      <c r="O18">
        <v>9526</v>
      </c>
      <c r="P18">
        <v>1543</v>
      </c>
      <c r="Q18" s="696">
        <f t="shared" ref="Q18:Q21" si="2">1/L18+1/M18</f>
        <v>1.5661230851104269E-2</v>
      </c>
      <c r="R18" s="696">
        <f t="shared" ref="R18:R21" si="3">1/P18+1/N18+1/O18</f>
        <v>8.2270187854861755E-4</v>
      </c>
    </row>
    <row r="19" spans="1:18" x14ac:dyDescent="0.25">
      <c r="A19" t="s">
        <v>2555</v>
      </c>
      <c r="B19">
        <v>24.4</v>
      </c>
      <c r="C19">
        <v>1988.3</v>
      </c>
      <c r="D19">
        <v>646.20000000000005</v>
      </c>
      <c r="E19">
        <v>1247.7</v>
      </c>
      <c r="F19">
        <v>464.6</v>
      </c>
      <c r="G19" s="696">
        <f t="shared" si="0"/>
        <v>4.14865487693169E-2</v>
      </c>
      <c r="H19" s="696">
        <f t="shared" si="1"/>
        <v>4.5013723767282753E-3</v>
      </c>
      <c r="I19" s="633"/>
      <c r="J19" s="633"/>
      <c r="K19" s="633" t="s">
        <v>2563</v>
      </c>
      <c r="L19">
        <v>77</v>
      </c>
      <c r="M19">
        <v>89</v>
      </c>
      <c r="N19">
        <v>24647</v>
      </c>
      <c r="O19">
        <v>2776</v>
      </c>
      <c r="P19">
        <v>1531</v>
      </c>
      <c r="Q19" s="696">
        <f t="shared" si="2"/>
        <v>2.4222968043192763E-2</v>
      </c>
      <c r="R19" s="696">
        <f t="shared" si="3"/>
        <v>1.0539713008869561E-3</v>
      </c>
    </row>
    <row r="20" spans="1:18" x14ac:dyDescent="0.25">
      <c r="A20" t="s">
        <v>2556</v>
      </c>
      <c r="B20">
        <v>13.2</v>
      </c>
      <c r="C20">
        <v>49.9</v>
      </c>
      <c r="D20">
        <v>213.2</v>
      </c>
      <c r="E20">
        <v>747.2</v>
      </c>
      <c r="F20">
        <v>249.1</v>
      </c>
      <c r="G20" s="696">
        <f t="shared" si="0"/>
        <v>9.5797655917896407E-2</v>
      </c>
      <c r="H20" s="696">
        <f t="shared" si="1"/>
        <v>1.0043213311452047E-2</v>
      </c>
      <c r="I20" s="633"/>
      <c r="J20" s="633"/>
      <c r="K20" s="633" t="s">
        <v>2564</v>
      </c>
      <c r="L20">
        <v>82</v>
      </c>
      <c r="M20">
        <v>57</v>
      </c>
      <c r="N20">
        <v>1265</v>
      </c>
      <c r="O20">
        <v>1380</v>
      </c>
      <c r="P20">
        <v>1452</v>
      </c>
      <c r="Q20" s="696">
        <f t="shared" si="2"/>
        <v>2.9738981600342319E-2</v>
      </c>
      <c r="R20" s="696">
        <f t="shared" si="3"/>
        <v>2.203856749311295E-3</v>
      </c>
    </row>
    <row r="21" spans="1:18" x14ac:dyDescent="0.25">
      <c r="A21" t="s">
        <v>2557</v>
      </c>
      <c r="B21">
        <v>8.6</v>
      </c>
      <c r="C21">
        <v>48.2</v>
      </c>
      <c r="D21">
        <v>105.1</v>
      </c>
      <c r="E21">
        <v>608.5</v>
      </c>
      <c r="F21">
        <v>161</v>
      </c>
      <c r="G21" s="696">
        <f t="shared" si="0"/>
        <v>0.13702595773424683</v>
      </c>
      <c r="H21" s="696">
        <f t="shared" si="1"/>
        <v>1.7369313357275505E-2</v>
      </c>
      <c r="I21" s="633"/>
      <c r="J21" s="633"/>
      <c r="K21" s="633" t="s">
        <v>2565</v>
      </c>
      <c r="L21">
        <v>92</v>
      </c>
      <c r="M21">
        <v>1989</v>
      </c>
      <c r="N21">
        <v>1383</v>
      </c>
      <c r="O21">
        <v>652</v>
      </c>
      <c r="P21">
        <v>2286</v>
      </c>
      <c r="Q21" s="696">
        <f t="shared" si="2"/>
        <v>1.1372330426038866E-2</v>
      </c>
      <c r="R21" s="696">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93" t="s">
        <v>1499</v>
      </c>
      <c r="B4" s="793" t="s">
        <v>864</v>
      </c>
      <c r="C4" s="793" t="s">
        <v>865</v>
      </c>
      <c r="D4" s="793" t="s">
        <v>866</v>
      </c>
      <c r="E4" s="795" t="s">
        <v>868</v>
      </c>
      <c r="F4" s="793" t="s">
        <v>1500</v>
      </c>
      <c r="G4" s="793" t="s">
        <v>1501</v>
      </c>
      <c r="H4" s="793" t="s">
        <v>1502</v>
      </c>
      <c r="I4" s="793" t="s">
        <v>1503</v>
      </c>
      <c r="J4" s="795" t="s">
        <v>1504</v>
      </c>
    </row>
    <row r="5" spans="1:10" ht="15.75" thickBot="1" x14ac:dyDescent="0.3">
      <c r="A5" s="794"/>
      <c r="B5" s="794"/>
      <c r="C5" s="794"/>
      <c r="D5" s="794"/>
      <c r="E5" s="796"/>
      <c r="F5" s="794"/>
      <c r="G5" s="794"/>
      <c r="H5" s="794"/>
      <c r="I5" s="794"/>
      <c r="J5" s="796"/>
    </row>
    <row r="6" spans="1:10" x14ac:dyDescent="0.25">
      <c r="A6" s="793" t="s">
        <v>575</v>
      </c>
      <c r="B6" s="791">
        <v>3563</v>
      </c>
      <c r="C6" s="791">
        <v>3583</v>
      </c>
      <c r="D6" s="791">
        <v>3689</v>
      </c>
      <c r="E6" s="789">
        <v>3712</v>
      </c>
      <c r="F6" s="791">
        <v>3656</v>
      </c>
      <c r="G6" s="791">
        <v>3751</v>
      </c>
      <c r="H6" s="791">
        <v>3693</v>
      </c>
      <c r="I6" s="791">
        <v>3676</v>
      </c>
      <c r="J6" s="789">
        <v>3638</v>
      </c>
    </row>
    <row r="7" spans="1:10" ht="15.75" thickBot="1" x14ac:dyDescent="0.3">
      <c r="A7" s="794"/>
      <c r="B7" s="792"/>
      <c r="C7" s="792"/>
      <c r="D7" s="792"/>
      <c r="E7" s="790"/>
      <c r="F7" s="792"/>
      <c r="G7" s="792"/>
      <c r="H7" s="792"/>
      <c r="I7" s="792"/>
      <c r="J7" s="790"/>
    </row>
    <row r="8" spans="1:10" x14ac:dyDescent="0.25">
      <c r="A8" s="793" t="s">
        <v>576</v>
      </c>
      <c r="B8" s="791">
        <v>2957</v>
      </c>
      <c r="C8" s="791">
        <v>3253</v>
      </c>
      <c r="D8" s="791">
        <v>3342</v>
      </c>
      <c r="E8" s="789">
        <v>3325</v>
      </c>
      <c r="F8" s="791">
        <v>3461</v>
      </c>
      <c r="G8" s="791">
        <v>3392</v>
      </c>
      <c r="H8" s="791">
        <v>3455</v>
      </c>
      <c r="I8" s="791">
        <v>3369</v>
      </c>
      <c r="J8" s="789">
        <v>3372</v>
      </c>
    </row>
    <row r="9" spans="1:10" ht="15.75" thickBot="1" x14ac:dyDescent="0.3">
      <c r="A9" s="794"/>
      <c r="B9" s="792"/>
      <c r="C9" s="792"/>
      <c r="D9" s="792"/>
      <c r="E9" s="790"/>
      <c r="F9" s="792"/>
      <c r="G9" s="792"/>
      <c r="H9" s="792"/>
      <c r="I9" s="792"/>
      <c r="J9" s="790"/>
    </row>
    <row r="10" spans="1:10" x14ac:dyDescent="0.25">
      <c r="A10" s="793" t="s">
        <v>577</v>
      </c>
      <c r="B10" s="791">
        <v>2354</v>
      </c>
      <c r="C10" s="791">
        <v>2997</v>
      </c>
      <c r="D10" s="791">
        <v>3041</v>
      </c>
      <c r="E10" s="789">
        <v>3085</v>
      </c>
      <c r="F10" s="791">
        <v>3118</v>
      </c>
      <c r="G10" s="791">
        <v>3100</v>
      </c>
      <c r="H10" s="791">
        <v>3130</v>
      </c>
      <c r="I10" s="791">
        <v>3102</v>
      </c>
      <c r="J10" s="789">
        <v>3098</v>
      </c>
    </row>
    <row r="11" spans="1:10" ht="15.75" thickBot="1" x14ac:dyDescent="0.3">
      <c r="A11" s="794"/>
      <c r="B11" s="792"/>
      <c r="C11" s="792"/>
      <c r="D11" s="792"/>
      <c r="E11" s="790"/>
      <c r="F11" s="792"/>
      <c r="G11" s="792"/>
      <c r="H11" s="792"/>
      <c r="I11" s="792"/>
      <c r="J11" s="790"/>
    </row>
    <row r="12" spans="1:10" x14ac:dyDescent="0.25">
      <c r="A12" s="793" t="s">
        <v>578</v>
      </c>
      <c r="B12" s="791"/>
      <c r="C12" s="791">
        <v>2361</v>
      </c>
      <c r="D12" s="791">
        <v>2778</v>
      </c>
      <c r="E12" s="789">
        <v>2793</v>
      </c>
      <c r="F12" s="791">
        <v>2808</v>
      </c>
      <c r="G12" s="791">
        <v>2810</v>
      </c>
      <c r="H12" s="791">
        <v>2814</v>
      </c>
      <c r="I12" s="791">
        <v>2795</v>
      </c>
      <c r="J12" s="789">
        <v>2793</v>
      </c>
    </row>
    <row r="13" spans="1:10" ht="15.75" thickBot="1" x14ac:dyDescent="0.3">
      <c r="A13" s="794"/>
      <c r="B13" s="792"/>
      <c r="C13" s="792"/>
      <c r="D13" s="792"/>
      <c r="E13" s="790"/>
      <c r="F13" s="792"/>
      <c r="G13" s="792"/>
      <c r="H13" s="792"/>
      <c r="I13" s="792"/>
      <c r="J13" s="790"/>
    </row>
    <row r="14" spans="1:10" x14ac:dyDescent="0.25">
      <c r="A14" s="793" t="s">
        <v>579</v>
      </c>
      <c r="B14" s="791"/>
      <c r="C14" s="791"/>
      <c r="D14" s="791">
        <v>2241</v>
      </c>
      <c r="E14" s="789">
        <v>2467</v>
      </c>
      <c r="F14" s="791">
        <v>2521</v>
      </c>
      <c r="G14" s="791">
        <v>2507</v>
      </c>
      <c r="H14" s="791">
        <v>2536</v>
      </c>
      <c r="I14" s="791">
        <v>2517</v>
      </c>
      <c r="J14" s="789">
        <v>2525</v>
      </c>
    </row>
    <row r="15" spans="1:10" ht="15.75" thickBot="1" x14ac:dyDescent="0.3">
      <c r="A15" s="794"/>
      <c r="B15" s="792"/>
      <c r="C15" s="792"/>
      <c r="D15" s="792"/>
      <c r="E15" s="790"/>
      <c r="F15" s="792"/>
      <c r="G15" s="792"/>
      <c r="H15" s="792"/>
      <c r="I15" s="792"/>
      <c r="J15" s="790"/>
    </row>
    <row r="16" spans="1:10" x14ac:dyDescent="0.25">
      <c r="A16" s="793" t="s">
        <v>580</v>
      </c>
      <c r="B16" s="791"/>
      <c r="C16" s="791"/>
      <c r="D16" s="791"/>
      <c r="E16" s="789">
        <v>2113</v>
      </c>
      <c r="F16" s="791">
        <v>2226</v>
      </c>
      <c r="G16" s="791">
        <v>2202</v>
      </c>
      <c r="H16" s="791">
        <v>2232</v>
      </c>
      <c r="I16" s="791">
        <v>2235</v>
      </c>
      <c r="J16" s="789">
        <v>2227</v>
      </c>
    </row>
    <row r="17" spans="1:10" ht="15.75" thickBot="1" x14ac:dyDescent="0.3">
      <c r="A17" s="794"/>
      <c r="B17" s="792"/>
      <c r="C17" s="792"/>
      <c r="D17" s="792"/>
      <c r="E17" s="790"/>
      <c r="F17" s="792"/>
      <c r="G17" s="792"/>
      <c r="H17" s="792"/>
      <c r="I17" s="792"/>
      <c r="J17" s="790"/>
    </row>
    <row r="18" spans="1:10" x14ac:dyDescent="0.25">
      <c r="A18" s="793" t="s">
        <v>581</v>
      </c>
      <c r="B18" s="791"/>
      <c r="C18" s="791"/>
      <c r="D18" s="791"/>
      <c r="E18" s="789"/>
      <c r="F18" s="791">
        <v>1537</v>
      </c>
      <c r="G18" s="791">
        <v>1762</v>
      </c>
      <c r="H18" s="791">
        <v>1905</v>
      </c>
      <c r="I18" s="791">
        <v>1879</v>
      </c>
      <c r="J18" s="789">
        <v>1893</v>
      </c>
    </row>
    <row r="19" spans="1:10" ht="15.75" thickBot="1" x14ac:dyDescent="0.3">
      <c r="A19" s="794"/>
      <c r="B19" s="792"/>
      <c r="C19" s="792"/>
      <c r="D19" s="792"/>
      <c r="E19" s="790"/>
      <c r="F19" s="792"/>
      <c r="G19" s="792"/>
      <c r="H19" s="792"/>
      <c r="I19" s="792"/>
      <c r="J19" s="790"/>
    </row>
    <row r="20" spans="1:10" x14ac:dyDescent="0.25">
      <c r="A20" s="793" t="s">
        <v>582</v>
      </c>
      <c r="B20" s="791"/>
      <c r="C20" s="791"/>
      <c r="D20" s="791"/>
      <c r="E20" s="789"/>
      <c r="F20" s="791"/>
      <c r="G20" s="791">
        <v>1412</v>
      </c>
      <c r="H20" s="791">
        <v>1689</v>
      </c>
      <c r="I20" s="791">
        <v>1630</v>
      </c>
      <c r="J20" s="789">
        <v>1640</v>
      </c>
    </row>
    <row r="21" spans="1:10" ht="15.75" thickBot="1" x14ac:dyDescent="0.3">
      <c r="A21" s="794"/>
      <c r="B21" s="792"/>
      <c r="C21" s="792"/>
      <c r="D21" s="792"/>
      <c r="E21" s="790"/>
      <c r="F21" s="792"/>
      <c r="G21" s="792"/>
      <c r="H21" s="792"/>
      <c r="I21" s="792"/>
      <c r="J21" s="790"/>
    </row>
    <row r="22" spans="1:10" x14ac:dyDescent="0.25">
      <c r="A22" s="793" t="s">
        <v>583</v>
      </c>
      <c r="B22" s="791"/>
      <c r="C22" s="791"/>
      <c r="D22" s="791"/>
      <c r="E22" s="789"/>
      <c r="F22" s="791"/>
      <c r="G22" s="791"/>
      <c r="H22" s="791">
        <v>1082</v>
      </c>
      <c r="I22" s="791">
        <v>1341</v>
      </c>
      <c r="J22" s="789">
        <v>1325</v>
      </c>
    </row>
    <row r="23" spans="1:10" ht="15.75" thickBot="1" x14ac:dyDescent="0.3">
      <c r="A23" s="794"/>
      <c r="B23" s="792"/>
      <c r="C23" s="792"/>
      <c r="D23" s="792"/>
      <c r="E23" s="790"/>
      <c r="F23" s="792"/>
      <c r="G23" s="792"/>
      <c r="H23" s="792"/>
      <c r="I23" s="792"/>
      <c r="J23" s="790"/>
    </row>
    <row r="24" spans="1:10" x14ac:dyDescent="0.25">
      <c r="A24" s="793" t="s">
        <v>584</v>
      </c>
      <c r="B24" s="791"/>
      <c r="C24" s="791"/>
      <c r="D24" s="791"/>
      <c r="E24" s="789"/>
      <c r="F24" s="791"/>
      <c r="G24" s="791"/>
      <c r="H24" s="791"/>
      <c r="I24" s="791">
        <v>1003</v>
      </c>
      <c r="J24" s="789">
        <v>1016</v>
      </c>
    </row>
    <row r="25" spans="1:10" ht="15.75" thickBot="1" x14ac:dyDescent="0.3">
      <c r="A25" s="794"/>
      <c r="B25" s="792"/>
      <c r="C25" s="792"/>
      <c r="D25" s="792"/>
      <c r="E25" s="790"/>
      <c r="F25" s="792"/>
      <c r="G25" s="792"/>
      <c r="H25" s="792"/>
      <c r="I25" s="792"/>
      <c r="J25" s="790"/>
    </row>
    <row r="26" spans="1:10" x14ac:dyDescent="0.25">
      <c r="A26" s="793" t="s">
        <v>1505</v>
      </c>
      <c r="B26" s="791"/>
      <c r="C26" s="791"/>
      <c r="D26" s="791"/>
      <c r="E26" s="789"/>
      <c r="F26" s="791"/>
      <c r="G26" s="791"/>
      <c r="H26" s="791"/>
      <c r="I26" s="791"/>
      <c r="J26" s="789">
        <v>632</v>
      </c>
    </row>
    <row r="27" spans="1:10" ht="15.75" thickBot="1" x14ac:dyDescent="0.3">
      <c r="A27" s="794"/>
      <c r="B27" s="792"/>
      <c r="C27" s="792"/>
      <c r="D27" s="792"/>
      <c r="E27" s="790"/>
      <c r="F27" s="792"/>
      <c r="G27" s="792"/>
      <c r="H27" s="792"/>
      <c r="I27" s="792"/>
      <c r="J27" s="790"/>
    </row>
    <row r="30" spans="1:10" x14ac:dyDescent="0.25">
      <c r="A30" t="s">
        <v>1507</v>
      </c>
    </row>
  </sheetData>
  <mergeCells count="120">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2019-06-11T11:14:05Z</dcterms:modified>
</cp:coreProperties>
</file>